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4C8E6B31-224B-4BB1-ABE6-92D4C0917DE8}" xr6:coauthVersionLast="44" xr6:coauthVersionMax="44" xr10:uidLastSave="{00000000-0000-0000-0000-000000000000}"/>
  <workbookProtection workbookAlgorithmName="SHA-512" workbookHashValue="tLYycXN2xv+yNqAcPNBeFslQAasecuP1LNOsboxZefL3VTlq2XeXVUXc7iobF/U+TFD/K+7tgauI2fz5sMZEWA==" workbookSaltValue="ULKKDlcC6nzpX9ZjqeMaZw==" workbookSpinCount="100000" lockStructure="1"/>
  <bookViews>
    <workbookView xWindow="-22980" yWindow="12" windowWidth="20676" windowHeight="63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F234" i="75" l="1"/>
  <c r="J82" i="72"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Q1746" i="94" s="1"/>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J1769" i="94"/>
  <c r="Q1754" i="94"/>
  <c r="F1748" i="94"/>
  <c r="Q1747" i="94"/>
  <c r="J1730" i="94"/>
  <c r="K1707" i="94"/>
  <c r="O1691" i="94"/>
  <c r="P1688" i="94" s="1"/>
  <c r="J1691" i="94"/>
  <c r="P1684" i="94" s="1"/>
  <c r="F1691" i="94"/>
  <c r="P1683" i="94" s="1"/>
  <c r="P1665" i="94"/>
  <c r="B1661" i="94"/>
  <c r="A1656" i="94"/>
  <c r="Q276" i="72"/>
  <c r="K1827" i="94" l="1"/>
  <c r="K1822" i="94"/>
  <c r="M1822" i="94" s="1"/>
  <c r="U1822" i="94" s="1"/>
  <c r="K1820" i="94"/>
  <c r="M1820" i="94" s="1"/>
  <c r="S1820" i="94" s="1"/>
  <c r="K1824" i="94"/>
  <c r="K1826" i="94"/>
  <c r="M1826" i="94" s="1"/>
  <c r="U1826" i="94" s="1"/>
  <c r="K1825" i="94"/>
  <c r="Q1769" i="94"/>
  <c r="M1949" i="94"/>
  <c r="M1827" i="94"/>
  <c r="A1827" i="94" s="1"/>
  <c r="K1818" i="94"/>
  <c r="M1818" i="94" s="1"/>
  <c r="S1818" i="94" s="1"/>
  <c r="M1825" i="94"/>
  <c r="U1825"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L1786" i="94"/>
  <c r="F1756" i="94"/>
  <c r="L1975" i="94"/>
  <c r="L2036" i="94"/>
  <c r="H1746" i="94"/>
  <c r="L1774" i="94"/>
  <c r="I1841" i="94"/>
  <c r="K1836" i="94"/>
  <c r="Q1974" i="94"/>
  <c r="L1978" i="94"/>
  <c r="Q1981" i="94"/>
  <c r="R2070" i="94"/>
  <c r="L1869" i="94"/>
  <c r="Q1869" i="94"/>
  <c r="S1823" i="94"/>
  <c r="S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U1820" i="94"/>
  <c r="S1822" i="94"/>
  <c r="U1823" i="94"/>
  <c r="A1822" i="94"/>
  <c r="U1827" i="94"/>
  <c r="S1825" i="94"/>
  <c r="A1821" i="94"/>
  <c r="A1818" i="94"/>
  <c r="U1818" i="94"/>
  <c r="S1821" i="94"/>
  <c r="A1825"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K1342" i="94" l="1"/>
  <c r="AD559" i="94"/>
  <c r="F1342" i="94"/>
  <c r="L1342" i="94"/>
  <c r="H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L980" i="94" s="1"/>
  <c r="K978" i="94"/>
  <c r="J978" i="94"/>
  <c r="I978" i="94"/>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N964" i="94"/>
  <c r="M964" i="94"/>
  <c r="L964" i="94"/>
  <c r="K964" i="94"/>
  <c r="J964" i="94"/>
  <c r="I964" i="94"/>
  <c r="H964" i="94"/>
  <c r="H966" i="94" s="1"/>
  <c r="Q961" i="94"/>
  <c r="P961" i="94"/>
  <c r="O961" i="94"/>
  <c r="N961" i="94"/>
  <c r="M961" i="94"/>
  <c r="L961" i="94"/>
  <c r="K961" i="94"/>
  <c r="J961" i="94"/>
  <c r="I961" i="94"/>
  <c r="H961" i="94"/>
  <c r="Q960" i="94"/>
  <c r="P960" i="94"/>
  <c r="O960" i="94"/>
  <c r="N960" i="94"/>
  <c r="M960" i="94"/>
  <c r="L960" i="94"/>
  <c r="L962" i="94" s="1"/>
  <c r="K960" i="94"/>
  <c r="J960" i="94"/>
  <c r="I960" i="94"/>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MO780" i="94" s="1"/>
  <c r="O780" i="94"/>
  <c r="P780" i="94"/>
  <c r="Q780" i="94"/>
  <c r="JH780" i="94" s="1"/>
  <c r="N781" i="94"/>
  <c r="LS781" i="94" s="1"/>
  <c r="O781" i="94"/>
  <c r="HZ781" i="94" s="1"/>
  <c r="P781" i="94"/>
  <c r="HU781" i="94" s="1"/>
  <c r="Q781" i="94"/>
  <c r="N782" i="94"/>
  <c r="MM782" i="94" s="1"/>
  <c r="O782" i="94"/>
  <c r="P782" i="94"/>
  <c r="Q782" i="94"/>
  <c r="N783" i="94"/>
  <c r="LU783" i="94" s="1"/>
  <c r="O783" i="94"/>
  <c r="IA783" i="94" s="1"/>
  <c r="P783" i="94"/>
  <c r="MJ783" i="94" s="1"/>
  <c r="Q783" i="94"/>
  <c r="N784" i="94"/>
  <c r="LW784" i="94" s="1"/>
  <c r="O784" i="94"/>
  <c r="P784" i="94"/>
  <c r="Q784" i="94"/>
  <c r="N785" i="94"/>
  <c r="LT785" i="94" s="1"/>
  <c r="O785" i="94"/>
  <c r="P785" i="94"/>
  <c r="GJ785" i="94" s="1"/>
  <c r="Q785" i="94"/>
  <c r="N786" i="94"/>
  <c r="GR786" i="94" s="1"/>
  <c r="O786" i="94"/>
  <c r="P786" i="94"/>
  <c r="Q786" i="94"/>
  <c r="LA786" i="94" s="1"/>
  <c r="N787" i="94"/>
  <c r="GC787" i="94" s="1"/>
  <c r="O787" i="94"/>
  <c r="P787" i="94"/>
  <c r="Q787" i="94"/>
  <c r="N788" i="94"/>
  <c r="GI788" i="94" s="1"/>
  <c r="O788" i="94"/>
  <c r="P788" i="94"/>
  <c r="Q788" i="94"/>
  <c r="N789" i="94"/>
  <c r="LV789" i="94" s="1"/>
  <c r="O789" i="94"/>
  <c r="P789" i="94"/>
  <c r="Q789" i="94"/>
  <c r="N790" i="94"/>
  <c r="O790" i="94"/>
  <c r="P790" i="94"/>
  <c r="Q790" i="94"/>
  <c r="N791" i="94"/>
  <c r="O791" i="94"/>
  <c r="P791" i="94"/>
  <c r="Q791" i="94"/>
  <c r="N792" i="94"/>
  <c r="BI792" i="94" s="1"/>
  <c r="O792" i="94"/>
  <c r="P792" i="94"/>
  <c r="Q792" i="94"/>
  <c r="IU792" i="94" s="1"/>
  <c r="N793" i="94"/>
  <c r="DX793" i="94" s="1"/>
  <c r="O793" i="94"/>
  <c r="P793" i="94"/>
  <c r="Q793" i="94"/>
  <c r="N794" i="94"/>
  <c r="O794" i="94"/>
  <c r="P794" i="94"/>
  <c r="Q794" i="94"/>
  <c r="IJ794" i="94" s="1"/>
  <c r="N795" i="94"/>
  <c r="O795" i="94"/>
  <c r="P795" i="94"/>
  <c r="Q795" i="94"/>
  <c r="N796" i="94"/>
  <c r="AF796" i="94" s="1"/>
  <c r="O796" i="94"/>
  <c r="P796" i="94"/>
  <c r="Q796" i="94"/>
  <c r="N797" i="94"/>
  <c r="FI797" i="94" s="1"/>
  <c r="O797" i="94"/>
  <c r="P797" i="94"/>
  <c r="Q797" i="94"/>
  <c r="N798" i="94"/>
  <c r="HF798" i="94" s="1"/>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FW780" i="94" s="1"/>
  <c r="K781" i="94"/>
  <c r="DX781" i="94" s="1"/>
  <c r="K782" i="94"/>
  <c r="CD782" i="94" s="1"/>
  <c r="K783" i="94"/>
  <c r="K784" i="94"/>
  <c r="FX784" i="94" s="1"/>
  <c r="K785" i="94"/>
  <c r="K786" i="94"/>
  <c r="K787" i="94"/>
  <c r="K788" i="94"/>
  <c r="CU788" i="94" s="1"/>
  <c r="K789" i="94"/>
  <c r="CT789" i="94" s="1"/>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IA786" i="94" s="1"/>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LN779" i="94" s="1"/>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HZ796" i="94"/>
  <c r="EM796" i="94"/>
  <c r="EJ795" i="94"/>
  <c r="CB794" i="94"/>
  <c r="DD793" i="94"/>
  <c r="BH793" i="94"/>
  <c r="HY792" i="94"/>
  <c r="GS792" i="94"/>
  <c r="EK792" i="94"/>
  <c r="AM792" i="94"/>
  <c r="AE792" i="94"/>
  <c r="EH791" i="94"/>
  <c r="AV791" i="94"/>
  <c r="LQ790" i="94"/>
  <c r="IB790" i="94"/>
  <c r="GO790" i="94"/>
  <c r="GI790" i="94"/>
  <c r="GC790" i="94"/>
  <c r="FN790" i="94"/>
  <c r="AO790" i="94"/>
  <c r="GC789" i="94"/>
  <c r="EM789" i="94"/>
  <c r="AJ789" i="94"/>
  <c r="X789" i="94"/>
  <c r="HG788" i="94"/>
  <c r="FA788" i="94"/>
  <c r="EQ788" i="94"/>
  <c r="EK788" i="94"/>
  <c r="DK788" i="94"/>
  <c r="CE788" i="94"/>
  <c r="BE788" i="94"/>
  <c r="AA788" i="94"/>
  <c r="Y788" i="94"/>
  <c r="LR787" i="94"/>
  <c r="EX787" i="94"/>
  <c r="AC787" i="94"/>
  <c r="MJ786" i="94"/>
  <c r="LX786" i="94"/>
  <c r="IC786" i="94"/>
  <c r="HO786" i="94"/>
  <c r="FY786" i="94"/>
  <c r="FL786" i="94"/>
  <c r="FI786" i="94"/>
  <c r="FE786" i="94"/>
  <c r="ES786" i="94"/>
  <c r="DY786" i="94"/>
  <c r="DX786" i="94"/>
  <c r="DR786" i="94"/>
  <c r="DE786" i="94"/>
  <c r="DA786" i="94"/>
  <c r="CC786" i="94"/>
  <c r="BV786" i="94"/>
  <c r="BU786" i="94"/>
  <c r="BT786" i="94"/>
  <c r="BA786" i="94"/>
  <c r="AN786" i="94"/>
  <c r="AG786" i="94"/>
  <c r="LY785" i="94"/>
  <c r="LU785" i="94"/>
  <c r="LQ785" i="94"/>
  <c r="FO785" i="94"/>
  <c r="FG785" i="94"/>
  <c r="FD785" i="94"/>
  <c r="EZ785" i="94"/>
  <c r="EJ785" i="94"/>
  <c r="DT785" i="94"/>
  <c r="DK785" i="94"/>
  <c r="DD785" i="94"/>
  <c r="DC785" i="94"/>
  <c r="CR785" i="94"/>
  <c r="BY785" i="94"/>
  <c r="BT785" i="94"/>
  <c r="BO785" i="94"/>
  <c r="BE785" i="94"/>
  <c r="BC785" i="94"/>
  <c r="AS785" i="94"/>
  <c r="AQ785" i="94"/>
  <c r="AM785" i="94"/>
  <c r="AL785" i="94"/>
  <c r="AC785" i="94"/>
  <c r="X785" i="94"/>
  <c r="MK784" i="94"/>
  <c r="MF784" i="94"/>
  <c r="MC784" i="94"/>
  <c r="MA784" i="94"/>
  <c r="LM784" i="94"/>
  <c r="ID784" i="94"/>
  <c r="IC784" i="94"/>
  <c r="IB784" i="94"/>
  <c r="IA784" i="94"/>
  <c r="HZ784" i="94"/>
  <c r="HW784" i="94"/>
  <c r="HU784" i="94"/>
  <c r="HT784" i="94"/>
  <c r="HR784" i="94"/>
  <c r="HK784" i="94"/>
  <c r="HE784" i="94"/>
  <c r="GZ784" i="94"/>
  <c r="GY784" i="94"/>
  <c r="GW784" i="94"/>
  <c r="GR784" i="94"/>
  <c r="GJ784" i="94"/>
  <c r="GI784" i="94"/>
  <c r="GG784" i="94"/>
  <c r="GA784" i="94"/>
  <c r="FY784" i="94"/>
  <c r="FP784" i="94"/>
  <c r="FO784" i="94"/>
  <c r="FL784" i="94"/>
  <c r="FK784" i="94"/>
  <c r="FC784" i="94"/>
  <c r="EY784" i="94"/>
  <c r="EV784" i="94"/>
  <c r="ET784" i="94"/>
  <c r="EQ784" i="94"/>
  <c r="EN784" i="94"/>
  <c r="EH784" i="94"/>
  <c r="EE784" i="94"/>
  <c r="ED784" i="94"/>
  <c r="EB784" i="94"/>
  <c r="DW784" i="94"/>
  <c r="DR784" i="94"/>
  <c r="DO784" i="94"/>
  <c r="DN784" i="94"/>
  <c r="DL784" i="94"/>
  <c r="DF784" i="94"/>
  <c r="DC784" i="94"/>
  <c r="CY784" i="94"/>
  <c r="CW784" i="94"/>
  <c r="CU784" i="94"/>
  <c r="CQ784" i="94"/>
  <c r="CL784" i="94"/>
  <c r="CH784" i="94"/>
  <c r="CG784" i="94"/>
  <c r="CE784" i="94"/>
  <c r="CA784" i="94"/>
  <c r="BT784" i="94"/>
  <c r="BS784" i="94"/>
  <c r="BR784" i="94"/>
  <c r="BO784" i="94"/>
  <c r="BJ784" i="94"/>
  <c r="BF784" i="94"/>
  <c r="BB784" i="94"/>
  <c r="BA784" i="94"/>
  <c r="AX784" i="94"/>
  <c r="AT784" i="94"/>
  <c r="AN784" i="94"/>
  <c r="AK784" i="94"/>
  <c r="AJ784" i="94"/>
  <c r="AI784" i="94"/>
  <c r="AD784" i="94"/>
  <c r="X784" i="94"/>
  <c r="MB783" i="94"/>
  <c r="LZ783" i="94"/>
  <c r="LW783" i="94"/>
  <c r="LR783" i="94"/>
  <c r="GK783" i="94"/>
  <c r="GE783" i="94"/>
  <c r="GC783" i="94"/>
  <c r="FT783" i="94"/>
  <c r="FR783" i="94"/>
  <c r="FK783" i="94"/>
  <c r="FI783" i="94"/>
  <c r="FH783" i="94"/>
  <c r="FE783" i="94"/>
  <c r="FA783" i="94"/>
  <c r="EU783" i="94"/>
  <c r="ES783" i="94"/>
  <c r="ER783" i="94"/>
  <c r="EO783" i="94"/>
  <c r="EJ783" i="94"/>
  <c r="EF783" i="94"/>
  <c r="BK783" i="94"/>
  <c r="BH783" i="94"/>
  <c r="BF783" i="94"/>
  <c r="BC783" i="94"/>
  <c r="AW783" i="94"/>
  <c r="AS783" i="94"/>
  <c r="AR783" i="94"/>
  <c r="AP783" i="94"/>
  <c r="AM783" i="94"/>
  <c r="AF783" i="94"/>
  <c r="AE783" i="94"/>
  <c r="AC783" i="94"/>
  <c r="Z783" i="94"/>
  <c r="MN782" i="94"/>
  <c r="MI782" i="94"/>
  <c r="MF782" i="94"/>
  <c r="ME782" i="94"/>
  <c r="MB782" i="94"/>
  <c r="LZ782" i="94"/>
  <c r="LV782" i="94"/>
  <c r="LS782" i="94"/>
  <c r="LR782" i="94"/>
  <c r="LQ782" i="94"/>
  <c r="ID782" i="94"/>
  <c r="IB782" i="94"/>
  <c r="IA782" i="94"/>
  <c r="HZ782" i="94"/>
  <c r="HX782" i="94"/>
  <c r="HT782" i="94"/>
  <c r="HQ782" i="94"/>
  <c r="HO782" i="94"/>
  <c r="HN782" i="94"/>
  <c r="HK782" i="94"/>
  <c r="HI782" i="94"/>
  <c r="HD782" i="94"/>
  <c r="HB782" i="94"/>
  <c r="HA782" i="94"/>
  <c r="GZ782" i="94"/>
  <c r="GV782" i="94"/>
  <c r="GR782" i="94"/>
  <c r="GQ782" i="94"/>
  <c r="GP782" i="94"/>
  <c r="GM782" i="94"/>
  <c r="GJ782" i="94"/>
  <c r="GF782" i="94"/>
  <c r="GD782" i="94"/>
  <c r="GC782" i="94"/>
  <c r="GA782" i="94"/>
  <c r="FT782" i="94"/>
  <c r="FP782" i="94"/>
  <c r="FN782" i="94"/>
  <c r="FL782" i="94"/>
  <c r="FK782" i="94"/>
  <c r="FH782" i="94"/>
  <c r="FC782" i="94"/>
  <c r="FB782" i="94"/>
  <c r="FA782" i="94"/>
  <c r="EY782" i="94"/>
  <c r="EU782" i="94"/>
  <c r="ER782" i="94"/>
  <c r="EP782" i="94"/>
  <c r="EN782" i="94"/>
  <c r="EL782" i="94"/>
  <c r="EJ782" i="94"/>
  <c r="EE782" i="94"/>
  <c r="DR782" i="94"/>
  <c r="DJ782" i="94"/>
  <c r="CL782" i="94"/>
  <c r="BI782" i="94"/>
  <c r="BE782" i="94"/>
  <c r="BD782" i="94"/>
  <c r="BB782" i="94"/>
  <c r="AZ782" i="94"/>
  <c r="AW782" i="94"/>
  <c r="AS782" i="94"/>
  <c r="AQ782" i="94"/>
  <c r="AP782" i="94"/>
  <c r="AN782" i="94"/>
  <c r="AK782" i="94"/>
  <c r="AG782" i="94"/>
  <c r="AD782" i="94"/>
  <c r="AC782" i="94"/>
  <c r="AB782" i="94"/>
  <c r="Y782" i="94"/>
  <c r="LY781" i="94"/>
  <c r="LX781" i="94"/>
  <c r="LW781" i="94"/>
  <c r="LU781" i="94"/>
  <c r="LQ781" i="94"/>
  <c r="HM781" i="94"/>
  <c r="GF781" i="94"/>
  <c r="GE781" i="94"/>
  <c r="GC781" i="94"/>
  <c r="FR781" i="94"/>
  <c r="FP781" i="94"/>
  <c r="FO781" i="94"/>
  <c r="FM781" i="94"/>
  <c r="FJ781" i="94"/>
  <c r="FE781" i="94"/>
  <c r="FD781" i="94"/>
  <c r="FC781" i="94"/>
  <c r="FA781" i="94"/>
  <c r="EW781" i="94"/>
  <c r="EV781" i="94"/>
  <c r="ET781" i="94"/>
  <c r="ER781" i="94"/>
  <c r="EQ781" i="94"/>
  <c r="EN781" i="94"/>
  <c r="EL781" i="94"/>
  <c r="EK781" i="94"/>
  <c r="EG781" i="94"/>
  <c r="EE781" i="94"/>
  <c r="ED781" i="94"/>
  <c r="DZ781" i="94"/>
  <c r="DG781" i="94"/>
  <c r="CZ781" i="94"/>
  <c r="CR781" i="94"/>
  <c r="CA781" i="94"/>
  <c r="BS781" i="94"/>
  <c r="BL781" i="94"/>
  <c r="BI781" i="94"/>
  <c r="BH781" i="94"/>
  <c r="BE781" i="94"/>
  <c r="BC781" i="94"/>
  <c r="BA781" i="94"/>
  <c r="AZ781" i="94"/>
  <c r="AW781" i="94"/>
  <c r="AV781" i="94"/>
  <c r="AR781" i="94"/>
  <c r="AQ781" i="94"/>
  <c r="AP781" i="94"/>
  <c r="AN781" i="94"/>
  <c r="AK781" i="94"/>
  <c r="AJ781" i="94"/>
  <c r="AH781" i="94"/>
  <c r="AG781" i="94"/>
  <c r="AF781" i="94"/>
  <c r="AE781" i="94"/>
  <c r="AC781" i="94"/>
  <c r="AB781" i="94"/>
  <c r="Z781" i="94"/>
  <c r="Y781" i="94"/>
  <c r="X781" i="94"/>
  <c r="MZ780" i="94"/>
  <c r="MN780" i="94"/>
  <c r="MM780" i="94"/>
  <c r="MK780" i="94"/>
  <c r="MJ780" i="94"/>
  <c r="MI780" i="94"/>
  <c r="MH780" i="94"/>
  <c r="MF780" i="94"/>
  <c r="ME780" i="94"/>
  <c r="MC780" i="94"/>
  <c r="MB780" i="94"/>
  <c r="MA780" i="94"/>
  <c r="LZ780" i="94"/>
  <c r="LX780" i="94"/>
  <c r="LW780" i="94"/>
  <c r="LU780" i="94"/>
  <c r="LT780" i="94"/>
  <c r="LS780" i="94"/>
  <c r="LR780" i="94"/>
  <c r="LL780" i="94"/>
  <c r="KN780" i="94"/>
  <c r="KF780" i="94"/>
  <c r="JX780" i="94"/>
  <c r="JP780" i="94"/>
  <c r="IZ780" i="94"/>
  <c r="IF780" i="94"/>
  <c r="ID780" i="94"/>
  <c r="IC780" i="94"/>
  <c r="IB780" i="94"/>
  <c r="IA780" i="94"/>
  <c r="HZ780" i="94"/>
  <c r="HY780" i="94"/>
  <c r="HW780" i="94"/>
  <c r="HV780" i="94"/>
  <c r="HU780" i="94"/>
  <c r="HT780" i="94"/>
  <c r="HR780" i="94"/>
  <c r="HQ780" i="94"/>
  <c r="HO780" i="94"/>
  <c r="HN780" i="94"/>
  <c r="HM780" i="94"/>
  <c r="HL780" i="94"/>
  <c r="HJ780" i="94"/>
  <c r="HI780" i="94"/>
  <c r="HG780" i="94"/>
  <c r="HF780" i="94"/>
  <c r="HE780" i="94"/>
  <c r="HD780" i="94"/>
  <c r="HB780" i="94"/>
  <c r="HA780" i="94"/>
  <c r="GY780" i="94"/>
  <c r="GX780" i="94"/>
  <c r="GW780" i="94"/>
  <c r="GV780" i="94"/>
  <c r="GT780" i="94"/>
  <c r="GS780" i="94"/>
  <c r="GQ780" i="94"/>
  <c r="GP780" i="94"/>
  <c r="GO780" i="94"/>
  <c r="GN780" i="94"/>
  <c r="GL780" i="94"/>
  <c r="GK780" i="94"/>
  <c r="GI780" i="94"/>
  <c r="GH780" i="94"/>
  <c r="GG780" i="94"/>
  <c r="GF780" i="94"/>
  <c r="GD780" i="94"/>
  <c r="GC780" i="94"/>
  <c r="GA780" i="94"/>
  <c r="FZ780" i="94"/>
  <c r="FY780" i="94"/>
  <c r="FX780" i="94"/>
  <c r="FV780" i="94"/>
  <c r="FU780" i="94"/>
  <c r="FS780" i="94"/>
  <c r="FR780" i="94"/>
  <c r="FQ780" i="94"/>
  <c r="FP780" i="94"/>
  <c r="FN780" i="94"/>
  <c r="FM780" i="94"/>
  <c r="FK780" i="94"/>
  <c r="FJ780" i="94"/>
  <c r="FI780" i="94"/>
  <c r="FH780" i="94"/>
  <c r="FF780" i="94"/>
  <c r="FE780" i="94"/>
  <c r="FC780" i="94"/>
  <c r="FB780" i="94"/>
  <c r="FA780" i="94"/>
  <c r="EZ780" i="94"/>
  <c r="EX780" i="94"/>
  <c r="EW780" i="94"/>
  <c r="EU780" i="94"/>
  <c r="ET780" i="94"/>
  <c r="ES780" i="94"/>
  <c r="ER780" i="94"/>
  <c r="EP780" i="94"/>
  <c r="EO780" i="94"/>
  <c r="EM780" i="94"/>
  <c r="EL780" i="94"/>
  <c r="EK780" i="94"/>
  <c r="EJ780" i="94"/>
  <c r="EH780" i="94"/>
  <c r="EG780" i="94"/>
  <c r="EE780" i="94"/>
  <c r="ED780" i="94"/>
  <c r="EC780" i="94"/>
  <c r="EB780" i="94"/>
  <c r="DZ780" i="94"/>
  <c r="DY780" i="94"/>
  <c r="DW780" i="94"/>
  <c r="DV780" i="94"/>
  <c r="DU780" i="94"/>
  <c r="DT780" i="94"/>
  <c r="DR780" i="94"/>
  <c r="DQ780" i="94"/>
  <c r="DO780" i="94"/>
  <c r="DN780" i="94"/>
  <c r="DM780" i="94"/>
  <c r="DL780" i="94"/>
  <c r="DJ780" i="94"/>
  <c r="DI780" i="94"/>
  <c r="DG780" i="94"/>
  <c r="DF780" i="94"/>
  <c r="DE780" i="94"/>
  <c r="DD780" i="94"/>
  <c r="DB780" i="94"/>
  <c r="DA780" i="94"/>
  <c r="CY780" i="94"/>
  <c r="CX780" i="94"/>
  <c r="CW780" i="94"/>
  <c r="CV780" i="94"/>
  <c r="CT780" i="94"/>
  <c r="CS780" i="94"/>
  <c r="CQ780" i="94"/>
  <c r="CP780" i="94"/>
  <c r="CO780" i="94"/>
  <c r="CN780" i="94"/>
  <c r="CL780" i="94"/>
  <c r="CK780" i="94"/>
  <c r="CI780" i="94"/>
  <c r="CH780" i="94"/>
  <c r="CG780" i="94"/>
  <c r="CF780" i="94"/>
  <c r="CD780" i="94"/>
  <c r="CC780" i="94"/>
  <c r="CA780" i="94"/>
  <c r="BZ780" i="94"/>
  <c r="BY780" i="94"/>
  <c r="BX780" i="94"/>
  <c r="BV780" i="94"/>
  <c r="BU780" i="94"/>
  <c r="BS780" i="94"/>
  <c r="BR780" i="94"/>
  <c r="BQ780" i="94"/>
  <c r="BP780" i="94"/>
  <c r="BN780" i="94"/>
  <c r="BM780" i="94"/>
  <c r="BK780" i="94"/>
  <c r="BJ780" i="94"/>
  <c r="BI780" i="94"/>
  <c r="BH780" i="94"/>
  <c r="BF780" i="94"/>
  <c r="BE780" i="94"/>
  <c r="BC780" i="94"/>
  <c r="BB780" i="94"/>
  <c r="BA780" i="94"/>
  <c r="AZ780" i="94"/>
  <c r="AX780" i="94"/>
  <c r="AW780" i="94"/>
  <c r="AU780" i="94"/>
  <c r="AT780" i="94"/>
  <c r="AS780" i="94"/>
  <c r="AR780" i="94"/>
  <c r="AP780" i="94"/>
  <c r="AO780" i="94"/>
  <c r="AM780" i="94"/>
  <c r="AL780" i="94"/>
  <c r="AK780" i="94"/>
  <c r="AJ780" i="94"/>
  <c r="AH780" i="94"/>
  <c r="AG780" i="94"/>
  <c r="AE780" i="94"/>
  <c r="AD780" i="94"/>
  <c r="AC780" i="94"/>
  <c r="AB780" i="94"/>
  <c r="Z780" i="94"/>
  <c r="Y780" i="94"/>
  <c r="NC779" i="94"/>
  <c r="MJ779" i="94"/>
  <c r="MD779" i="94"/>
  <c r="LS779" i="94"/>
  <c r="KV779" i="94"/>
  <c r="KQ779" i="94"/>
  <c r="KM779" i="94"/>
  <c r="KH779" i="94"/>
  <c r="JK779" i="94"/>
  <c r="JG779" i="94"/>
  <c r="JC779" i="94"/>
  <c r="IY779" i="94"/>
  <c r="IE779" i="94"/>
  <c r="IA779" i="94"/>
  <c r="HW779" i="94"/>
  <c r="HQ779" i="94"/>
  <c r="GX779" i="94"/>
  <c r="GR779" i="94"/>
  <c r="GP779" i="94"/>
  <c r="GJ779" i="94"/>
  <c r="GC779" i="94"/>
  <c r="GB779" i="94"/>
  <c r="GA779" i="94"/>
  <c r="FZ779" i="94"/>
  <c r="FR779" i="94"/>
  <c r="FL779" i="94"/>
  <c r="FJ779" i="94"/>
  <c r="FD779" i="94"/>
  <c r="EL779" i="94"/>
  <c r="EH779" i="94"/>
  <c r="EG779" i="94"/>
  <c r="EF779" i="94"/>
  <c r="DP779" i="94"/>
  <c r="DN779" i="94"/>
  <c r="DH779" i="94"/>
  <c r="DF779" i="94"/>
  <c r="CJ779" i="94"/>
  <c r="CH779" i="94"/>
  <c r="CB779" i="94"/>
  <c r="BZ779" i="94"/>
  <c r="BD779" i="94"/>
  <c r="BB779" i="94"/>
  <c r="AV779" i="94"/>
  <c r="AT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B779" i="94" l="1"/>
  <c r="LM779" i="94"/>
  <c r="LG790" i="94"/>
  <c r="IM790" i="94"/>
  <c r="KU784" i="94"/>
  <c r="JJ784" i="94"/>
  <c r="IR784" i="94"/>
  <c r="KU782" i="94"/>
  <c r="IR782" i="94"/>
  <c r="AD779" i="94"/>
  <c r="BJ779" i="94"/>
  <c r="CP779" i="94"/>
  <c r="DV779" i="94"/>
  <c r="EN779" i="94"/>
  <c r="FT779" i="94"/>
  <c r="GD779" i="94"/>
  <c r="GZ779" i="94"/>
  <c r="II779" i="94"/>
  <c r="JP779" i="94"/>
  <c r="LA779"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H780" i="94"/>
  <c r="HP780" i="94"/>
  <c r="HX780" i="94"/>
  <c r="IK780" i="94"/>
  <c r="KV780" i="94"/>
  <c r="LV780" i="94"/>
  <c r="MD780" i="94"/>
  <c r="ML780" i="94"/>
  <c r="AA781" i="94"/>
  <c r="AI781" i="94"/>
  <c r="AS781" i="94"/>
  <c r="BF781" i="94"/>
  <c r="CD781" i="94"/>
  <c r="DH781" i="94"/>
  <c r="EI781" i="94"/>
  <c r="EU781" i="94"/>
  <c r="FG781" i="94"/>
  <c r="FS781" i="94"/>
  <c r="LZ781" i="94"/>
  <c r="AH782" i="94"/>
  <c r="AT782" i="94"/>
  <c r="BF782" i="94"/>
  <c r="EF782" i="94"/>
  <c r="ES782" i="94"/>
  <c r="FD782" i="94"/>
  <c r="FQ782" i="94"/>
  <c r="GH782" i="94"/>
  <c r="GS782" i="94"/>
  <c r="HF782" i="94"/>
  <c r="HR782" i="94"/>
  <c r="LW782" i="94"/>
  <c r="MJ782" i="94"/>
  <c r="AG783" i="94"/>
  <c r="AX783" i="94"/>
  <c r="EG783" i="94"/>
  <c r="EV783" i="94"/>
  <c r="FM783" i="94"/>
  <c r="HQ783" i="94"/>
  <c r="Z784" i="94"/>
  <c r="AQ784" i="94"/>
  <c r="BG784" i="94"/>
  <c r="BV784" i="94"/>
  <c r="CM784" i="94"/>
  <c r="DD784" i="94"/>
  <c r="DS784" i="94"/>
  <c r="EJ784" i="94"/>
  <c r="EZ784" i="94"/>
  <c r="FT784" i="94"/>
  <c r="GM784" i="94"/>
  <c r="HH784" i="94"/>
  <c r="HX784" i="94"/>
  <c r="LR784" i="94"/>
  <c r="AA785" i="94"/>
  <c r="AV785" i="94"/>
  <c r="CE785" i="94"/>
  <c r="EB785" i="94"/>
  <c r="FQ785" i="94"/>
  <c r="AS786" i="94"/>
  <c r="CL786" i="94"/>
  <c r="EG786" i="94"/>
  <c r="GC786" i="94"/>
  <c r="AO787" i="94"/>
  <c r="BO788" i="94"/>
  <c r="FG788" i="94"/>
  <c r="GF789" i="94"/>
  <c r="BA792" i="94"/>
  <c r="CH793" i="94"/>
  <c r="AF779" i="94"/>
  <c r="BL779" i="94"/>
  <c r="CR779" i="94"/>
  <c r="DX779" i="94"/>
  <c r="ET779" i="94"/>
  <c r="FW779" i="94"/>
  <c r="GE779" i="94"/>
  <c r="HF779" i="94"/>
  <c r="IM779" i="94"/>
  <c r="JU779" i="94"/>
  <c r="LE779" i="94"/>
  <c r="IR780" i="94"/>
  <c r="LD780" i="94"/>
  <c r="CI781" i="94"/>
  <c r="DO781" i="94"/>
  <c r="FI781" i="94"/>
  <c r="FU781" i="94"/>
  <c r="X782" i="94"/>
  <c r="AJ782" i="94"/>
  <c r="AV782" i="94"/>
  <c r="BH782" i="94"/>
  <c r="EI782" i="94"/>
  <c r="ET782" i="94"/>
  <c r="FG782" i="94"/>
  <c r="FS782" i="94"/>
  <c r="GI782" i="94"/>
  <c r="GU782" i="94"/>
  <c r="HH782" i="94"/>
  <c r="HS782" i="94"/>
  <c r="JK782" i="94"/>
  <c r="LY782" i="94"/>
  <c r="AJ783" i="94"/>
  <c r="BA783" i="94"/>
  <c r="EI783" i="94"/>
  <c r="EZ783" i="94"/>
  <c r="FQ783" i="94"/>
  <c r="LQ783" i="94"/>
  <c r="AB784" i="94"/>
  <c r="AS784" i="94"/>
  <c r="BI784" i="94"/>
  <c r="BY784" i="94"/>
  <c r="CP784" i="94"/>
  <c r="DE784" i="94"/>
  <c r="DV784" i="94"/>
  <c r="EM784" i="94"/>
  <c r="FB784" i="94"/>
  <c r="GN784" i="94"/>
  <c r="HJ784" i="94"/>
  <c r="AB785" i="94"/>
  <c r="BB785" i="94"/>
  <c r="CF785" i="94"/>
  <c r="EI785" i="94"/>
  <c r="FX785" i="94"/>
  <c r="AW786" i="94"/>
  <c r="CW786" i="94"/>
  <c r="EK786" i="94"/>
  <c r="ED787" i="94"/>
  <c r="BU788" i="94"/>
  <c r="KV790" i="94"/>
  <c r="CX793" i="94"/>
  <c r="CJ781" i="94"/>
  <c r="DP781" i="94"/>
  <c r="DM792" i="94"/>
  <c r="CQ792" i="94"/>
  <c r="BQ792" i="94"/>
  <c r="DU792" i="94"/>
  <c r="DG792" i="94"/>
  <c r="FW784" i="94"/>
  <c r="EC784" i="94"/>
  <c r="DT784" i="94"/>
  <c r="DK784" i="94"/>
  <c r="DB784" i="94"/>
  <c r="CR784" i="94"/>
  <c r="CI784" i="94"/>
  <c r="BZ784" i="94"/>
  <c r="BQ784" i="94"/>
  <c r="DZ784" i="94"/>
  <c r="DP784" i="94"/>
  <c r="DG784" i="94"/>
  <c r="CX784" i="94"/>
  <c r="CO784" i="94"/>
  <c r="CF784" i="94"/>
  <c r="BW784" i="94"/>
  <c r="BN784" i="94"/>
  <c r="DX784" i="94"/>
  <c r="DM784" i="94"/>
  <c r="CZ784" i="94"/>
  <c r="CN784" i="94"/>
  <c r="CB784" i="94"/>
  <c r="BP784" i="94"/>
  <c r="DU784" i="94"/>
  <c r="DH784" i="94"/>
  <c r="CV784" i="94"/>
  <c r="CJ784" i="94"/>
  <c r="BX784" i="94"/>
  <c r="LS794" i="94"/>
  <c r="FB794" i="94"/>
  <c r="EI794" i="94"/>
  <c r="BL794" i="94"/>
  <c r="AV794" i="94"/>
  <c r="HM792" i="94"/>
  <c r="GG792" i="94"/>
  <c r="FS792" i="94"/>
  <c r="EQ792" i="94"/>
  <c r="MK792" i="94"/>
  <c r="HY790" i="94"/>
  <c r="FT790" i="94"/>
  <c r="BA790" i="94"/>
  <c r="MC790" i="94"/>
  <c r="HO790" i="94"/>
  <c r="FD790" i="94"/>
  <c r="AK790" i="94"/>
  <c r="LW790" i="94"/>
  <c r="GY790" i="94"/>
  <c r="ET790" i="94"/>
  <c r="AE790" i="94"/>
  <c r="EN790" i="94"/>
  <c r="HU790" i="94"/>
  <c r="EF790" i="94"/>
  <c r="GS790" i="94"/>
  <c r="BK790" i="94"/>
  <c r="MG788" i="94"/>
  <c r="GB788" i="94"/>
  <c r="EG788" i="94"/>
  <c r="AY788" i="94"/>
  <c r="LS788" i="94"/>
  <c r="FQ788" i="94"/>
  <c r="AQ788" i="94"/>
  <c r="HY788" i="94"/>
  <c r="FK788" i="94"/>
  <c r="AO788" i="94"/>
  <c r="GS788" i="94"/>
  <c r="EE788" i="94"/>
  <c r="BG788" i="94"/>
  <c r="GE788" i="94"/>
  <c r="AS788" i="94"/>
  <c r="AI788" i="94"/>
  <c r="MB786" i="94"/>
  <c r="GY786" i="94"/>
  <c r="FT786" i="94"/>
  <c r="FA786" i="94"/>
  <c r="EH786" i="94"/>
  <c r="DQ786" i="94"/>
  <c r="CZ786" i="94"/>
  <c r="CG786" i="94"/>
  <c r="BM786" i="94"/>
  <c r="AV786" i="94"/>
  <c r="AC786" i="94"/>
  <c r="LT786" i="94"/>
  <c r="GI786" i="94"/>
  <c r="FN786" i="94"/>
  <c r="EW786" i="94"/>
  <c r="EF786" i="94"/>
  <c r="DM786" i="94"/>
  <c r="CS786" i="94"/>
  <c r="CB786" i="94"/>
  <c r="BI786" i="94"/>
  <c r="AP786" i="94"/>
  <c r="Y786" i="94"/>
  <c r="LS786" i="94"/>
  <c r="GD786" i="94"/>
  <c r="FM786" i="94"/>
  <c r="EV786" i="94"/>
  <c r="EC786" i="94"/>
  <c r="DI786" i="94"/>
  <c r="CR786" i="94"/>
  <c r="BY786" i="94"/>
  <c r="BF786" i="94"/>
  <c r="AO786" i="94"/>
  <c r="X786" i="94"/>
  <c r="ME786" i="94"/>
  <c r="GB786" i="94"/>
  <c r="EX786" i="94"/>
  <c r="DU786" i="94"/>
  <c r="CO786" i="94"/>
  <c r="BQ786" i="94"/>
  <c r="AK786" i="94"/>
  <c r="FU786" i="94"/>
  <c r="EO786" i="94"/>
  <c r="DP786" i="94"/>
  <c r="CK786" i="94"/>
  <c r="BE786" i="94"/>
  <c r="AF786" i="94"/>
  <c r="FQ786" i="94"/>
  <c r="EN786" i="94"/>
  <c r="DH786" i="94"/>
  <c r="CJ786" i="94"/>
  <c r="BD786" i="94"/>
  <c r="Z786" i="94"/>
  <c r="MH784" i="94"/>
  <c r="LX784" i="94"/>
  <c r="HP784" i="94"/>
  <c r="HG784" i="94"/>
  <c r="GX784" i="94"/>
  <c r="GO784" i="94"/>
  <c r="GF784" i="94"/>
  <c r="FN784" i="94"/>
  <c r="FD784" i="94"/>
  <c r="EU784" i="94"/>
  <c r="EL784" i="94"/>
  <c r="BH784" i="94"/>
  <c r="AY784" i="94"/>
  <c r="AP784" i="94"/>
  <c r="AF784" i="94"/>
  <c r="MN784" i="94"/>
  <c r="ME784" i="94"/>
  <c r="LV784" i="94"/>
  <c r="MM784" i="94"/>
  <c r="MD784" i="94"/>
  <c r="LU784" i="94"/>
  <c r="HV784" i="94"/>
  <c r="HM784" i="94"/>
  <c r="HD784" i="94"/>
  <c r="GU784" i="94"/>
  <c r="GL784" i="94"/>
  <c r="GB784" i="94"/>
  <c r="FS784" i="94"/>
  <c r="FJ784" i="94"/>
  <c r="FA784" i="94"/>
  <c r="ER784" i="94"/>
  <c r="EI784" i="94"/>
  <c r="BD784" i="94"/>
  <c r="AU784" i="94"/>
  <c r="AL784" i="94"/>
  <c r="AC784" i="94"/>
  <c r="ML784" i="94"/>
  <c r="LZ784" i="94"/>
  <c r="HS784" i="94"/>
  <c r="HF784" i="94"/>
  <c r="GT784" i="94"/>
  <c r="GH784" i="94"/>
  <c r="FV784" i="94"/>
  <c r="FI784" i="94"/>
  <c r="EX784" i="94"/>
  <c r="EK784" i="94"/>
  <c r="BC784" i="94"/>
  <c r="AR784" i="94"/>
  <c r="AE784" i="94"/>
  <c r="MJ784" i="94"/>
  <c r="LT784" i="94"/>
  <c r="HO784" i="94"/>
  <c r="HC784" i="94"/>
  <c r="GQ784" i="94"/>
  <c r="GE784" i="94"/>
  <c r="FR784" i="94"/>
  <c r="FG784" i="94"/>
  <c r="MI784" i="94"/>
  <c r="LS784" i="94"/>
  <c r="HN784" i="94"/>
  <c r="HB784" i="94"/>
  <c r="GP784" i="94"/>
  <c r="GD784" i="94"/>
  <c r="FQ784" i="94"/>
  <c r="FF784" i="94"/>
  <c r="ES784" i="94"/>
  <c r="EF784" i="94"/>
  <c r="BK784" i="94"/>
  <c r="AZ784" i="94"/>
  <c r="AM784" i="94"/>
  <c r="AA784" i="94"/>
  <c r="ML782" i="94"/>
  <c r="MH782" i="94"/>
  <c r="MG782" i="94"/>
  <c r="LX782" i="94"/>
  <c r="HY782" i="94"/>
  <c r="HP782" i="94"/>
  <c r="HG782" i="94"/>
  <c r="GX782" i="94"/>
  <c r="GN782" i="94"/>
  <c r="GE782" i="94"/>
  <c r="FR782" i="94"/>
  <c r="FI782" i="94"/>
  <c r="EZ782" i="94"/>
  <c r="EQ782" i="94"/>
  <c r="EH782" i="94"/>
  <c r="BJ782" i="94"/>
  <c r="BA782" i="94"/>
  <c r="AR782" i="94"/>
  <c r="AI782" i="94"/>
  <c r="Z782" i="94"/>
  <c r="MO782" i="94"/>
  <c r="MD782" i="94"/>
  <c r="LT782" i="94"/>
  <c r="HV782" i="94"/>
  <c r="HL782" i="94"/>
  <c r="HC782" i="94"/>
  <c r="GT782" i="94"/>
  <c r="GK782" i="94"/>
  <c r="GB782" i="94"/>
  <c r="FO782" i="94"/>
  <c r="FF782" i="94"/>
  <c r="EV782" i="94"/>
  <c r="EM782" i="94"/>
  <c r="ED782" i="94"/>
  <c r="BG782" i="94"/>
  <c r="AX782" i="94"/>
  <c r="AO782" i="94"/>
  <c r="AF782" i="94"/>
  <c r="AL779" i="94"/>
  <c r="BR779" i="94"/>
  <c r="CX779" i="94"/>
  <c r="ED779" i="94"/>
  <c r="EV779" i="94"/>
  <c r="FX779" i="94"/>
  <c r="GF779" i="94"/>
  <c r="HH779" i="94"/>
  <c r="IQ779" i="94"/>
  <c r="JY779" i="94"/>
  <c r="LJ779" i="94"/>
  <c r="GA781" i="94"/>
  <c r="KC782" i="94"/>
  <c r="AN779" i="94"/>
  <c r="BT779" i="94"/>
  <c r="CZ779" i="94"/>
  <c r="EE779" i="94"/>
  <c r="FB779" i="94"/>
  <c r="FY779" i="94"/>
  <c r="GH779" i="94"/>
  <c r="HN779" i="94"/>
  <c r="IU779" i="94"/>
  <c r="KD779" i="94"/>
  <c r="AA780" i="94"/>
  <c r="AI780" i="94"/>
  <c r="AQ780" i="94"/>
  <c r="AY780" i="94"/>
  <c r="BG780" i="94"/>
  <c r="BO780" i="94"/>
  <c r="BW780" i="94"/>
  <c r="CE780" i="94"/>
  <c r="CM780" i="94"/>
  <c r="CU780" i="94"/>
  <c r="DC780" i="94"/>
  <c r="DK780" i="94"/>
  <c r="DS780" i="94"/>
  <c r="EA780" i="94"/>
  <c r="EI780" i="94"/>
  <c r="EQ780" i="94"/>
  <c r="EY780" i="94"/>
  <c r="FG780" i="94"/>
  <c r="FO780" i="94"/>
  <c r="GE780" i="94"/>
  <c r="GM780" i="94"/>
  <c r="GU780" i="94"/>
  <c r="HC780" i="94"/>
  <c r="HK780" i="94"/>
  <c r="HS780" i="94"/>
  <c r="LQ780" i="94"/>
  <c r="LY780" i="94"/>
  <c r="MG780" i="94"/>
  <c r="AD781" i="94"/>
  <c r="AM781" i="94"/>
  <c r="AY781" i="94"/>
  <c r="BK781" i="94"/>
  <c r="CQ781" i="94"/>
  <c r="EM781" i="94"/>
  <c r="EZ781" i="94"/>
  <c r="FL781" i="94"/>
  <c r="GB781" i="94"/>
  <c r="AA782" i="94"/>
  <c r="AL782" i="94"/>
  <c r="AY782" i="94"/>
  <c r="EK782" i="94"/>
  <c r="EX782" i="94"/>
  <c r="FJ782" i="94"/>
  <c r="FV782" i="94"/>
  <c r="GL782" i="94"/>
  <c r="GY782" i="94"/>
  <c r="HJ782" i="94"/>
  <c r="HW782" i="94"/>
  <c r="LN782" i="94"/>
  <c r="MA782" i="94"/>
  <c r="X783" i="94"/>
  <c r="AO783" i="94"/>
  <c r="BE783" i="94"/>
  <c r="EM783" i="94"/>
  <c r="FD783" i="94"/>
  <c r="FS783" i="94"/>
  <c r="AH784" i="94"/>
  <c r="AV784" i="94"/>
  <c r="BL784" i="94"/>
  <c r="CD784" i="94"/>
  <c r="CT784" i="94"/>
  <c r="DJ784" i="94"/>
  <c r="EA784" i="94"/>
  <c r="EP784" i="94"/>
  <c r="FH784" i="94"/>
  <c r="FZ784" i="94"/>
  <c r="GV784" i="94"/>
  <c r="HL784" i="94"/>
  <c r="MB784" i="94"/>
  <c r="AJ785" i="94"/>
  <c r="BD785" i="94"/>
  <c r="CZ785" i="94"/>
  <c r="EK785" i="94"/>
  <c r="BL786" i="94"/>
  <c r="DB786" i="94"/>
  <c r="FD786" i="94"/>
  <c r="HX786" i="94"/>
  <c r="LY788" i="94"/>
  <c r="EH790" i="94"/>
  <c r="MM790" i="94"/>
  <c r="FE792" i="94"/>
  <c r="GG781" i="94"/>
  <c r="MC781" i="94"/>
  <c r="DW781" i="94"/>
  <c r="CT781" i="94"/>
  <c r="BV781" i="94"/>
  <c r="DJ781" i="94"/>
  <c r="CL781" i="94"/>
  <c r="BN781" i="94"/>
  <c r="BT781" i="94"/>
  <c r="DB781" i="94"/>
  <c r="KB784" i="94"/>
  <c r="CK788" i="94"/>
  <c r="EA788" i="94"/>
  <c r="BY788" i="94"/>
  <c r="DQ788" i="94"/>
  <c r="BW788" i="94"/>
  <c r="DE788" i="94"/>
  <c r="FW788" i="94"/>
  <c r="DA788" i="94"/>
  <c r="LS793" i="94"/>
  <c r="BL793" i="94"/>
  <c r="DT793" i="94"/>
  <c r="AR793" i="94"/>
  <c r="DN793" i="94"/>
  <c r="AL793" i="94"/>
  <c r="CB793" i="94"/>
  <c r="AF793" i="94"/>
  <c r="GE791" i="94"/>
  <c r="Z791" i="94"/>
  <c r="FC791" i="94"/>
  <c r="EW791" i="94"/>
  <c r="GC791" i="94"/>
  <c r="EE791" i="94"/>
  <c r="AZ791" i="94"/>
  <c r="FG789" i="94"/>
  <c r="EG789" i="94"/>
  <c r="ED789" i="94"/>
  <c r="FS789" i="94"/>
  <c r="BD789" i="94"/>
  <c r="GD787" i="94"/>
  <c r="EE787" i="94"/>
  <c r="GB787" i="94"/>
  <c r="BI787" i="94"/>
  <c r="FR787" i="94"/>
  <c r="AS787" i="94"/>
  <c r="FB787" i="94"/>
  <c r="EL787" i="94"/>
  <c r="EF787" i="94"/>
  <c r="FP785" i="94"/>
  <c r="EY785" i="94"/>
  <c r="EF785" i="94"/>
  <c r="DL785" i="94"/>
  <c r="CU785" i="94"/>
  <c r="CB785" i="94"/>
  <c r="BJ785" i="94"/>
  <c r="BA785" i="94"/>
  <c r="AR785" i="94"/>
  <c r="AI785" i="94"/>
  <c r="Y785" i="94"/>
  <c r="GE785" i="94"/>
  <c r="FL785" i="94"/>
  <c r="ER785" i="94"/>
  <c r="EA785" i="94"/>
  <c r="DH785" i="94"/>
  <c r="CO785" i="94"/>
  <c r="BX785" i="94"/>
  <c r="BH785" i="94"/>
  <c r="AY785" i="94"/>
  <c r="AO785" i="94"/>
  <c r="AF785" i="94"/>
  <c r="GB785" i="94"/>
  <c r="FH785" i="94"/>
  <c r="EQ785" i="94"/>
  <c r="DX785" i="94"/>
  <c r="DE785" i="94"/>
  <c r="CN785" i="94"/>
  <c r="BW785" i="94"/>
  <c r="BG785" i="94"/>
  <c r="AW785" i="94"/>
  <c r="AN785" i="94"/>
  <c r="AE785" i="94"/>
  <c r="GF785" i="94"/>
  <c r="FA785" i="94"/>
  <c r="DU785" i="94"/>
  <c r="CV785" i="94"/>
  <c r="BP785" i="94"/>
  <c r="AZ785" i="94"/>
  <c r="AK785" i="94"/>
  <c r="FW785" i="94"/>
  <c r="EV785" i="94"/>
  <c r="DS785" i="94"/>
  <c r="CM785" i="94"/>
  <c r="BL785" i="94"/>
  <c r="AU785" i="94"/>
  <c r="AG785" i="94"/>
  <c r="FT785" i="94"/>
  <c r="EN785" i="94"/>
  <c r="DP785" i="94"/>
  <c r="CJ785" i="94"/>
  <c r="BI785" i="94"/>
  <c r="AT785" i="94"/>
  <c r="AD785" i="94"/>
  <c r="LS783" i="94"/>
  <c r="GD783" i="94"/>
  <c r="FP783" i="94"/>
  <c r="FG783" i="94"/>
  <c r="EW783" i="94"/>
  <c r="EN783" i="94"/>
  <c r="EE783" i="94"/>
  <c r="BD783" i="94"/>
  <c r="AU783" i="94"/>
  <c r="AK783" i="94"/>
  <c r="AB783" i="94"/>
  <c r="LY783" i="94"/>
  <c r="FU783" i="94"/>
  <c r="FL783" i="94"/>
  <c r="FC783" i="94"/>
  <c r="ET783" i="94"/>
  <c r="EK783" i="94"/>
  <c r="BI783" i="94"/>
  <c r="AZ783" i="94"/>
  <c r="AQ783" i="94"/>
  <c r="AH783" i="94"/>
  <c r="Y783" i="94"/>
  <c r="LX783" i="94"/>
  <c r="GF783" i="94"/>
  <c r="FO783" i="94"/>
  <c r="FB783" i="94"/>
  <c r="EQ783" i="94"/>
  <c r="ED783" i="94"/>
  <c r="AY783" i="94"/>
  <c r="AN783" i="94"/>
  <c r="AA783" i="94"/>
  <c r="LT783" i="94"/>
  <c r="GB783" i="94"/>
  <c r="FJ783" i="94"/>
  <c r="EY783" i="94"/>
  <c r="EL783" i="94"/>
  <c r="BG783" i="94"/>
  <c r="AV783" i="94"/>
  <c r="AI783" i="94"/>
  <c r="LV781" i="94"/>
  <c r="FT781" i="94"/>
  <c r="FK781" i="94"/>
  <c r="FB781" i="94"/>
  <c r="ES781" i="94"/>
  <c r="EJ781" i="94"/>
  <c r="BG781" i="94"/>
  <c r="AX781" i="94"/>
  <c r="AO781" i="94"/>
  <c r="LR781" i="94"/>
  <c r="GD781" i="94"/>
  <c r="FQ781" i="94"/>
  <c r="FH781" i="94"/>
  <c r="EY781" i="94"/>
  <c r="EO781" i="94"/>
  <c r="EF781" i="94"/>
  <c r="BD781" i="94"/>
  <c r="AU781" i="94"/>
  <c r="AL781" i="94"/>
  <c r="FT793" i="94"/>
  <c r="N953" i="94"/>
  <c r="Q957" i="94"/>
  <c r="K971" i="94"/>
  <c r="N1223" i="94"/>
  <c r="CK791" i="94"/>
  <c r="JE781" i="94"/>
  <c r="J975" i="94"/>
  <c r="NB784" i="94"/>
  <c r="LP784" i="94"/>
  <c r="LL784" i="94"/>
  <c r="LG784" i="94"/>
  <c r="LC784" i="94"/>
  <c r="KX784" i="94"/>
  <c r="KT784" i="94"/>
  <c r="KO784" i="94"/>
  <c r="KJ784" i="94"/>
  <c r="KF784" i="94"/>
  <c r="KA784" i="94"/>
  <c r="JW784" i="94"/>
  <c r="JR784" i="94"/>
  <c r="JN784" i="94"/>
  <c r="JI784" i="94"/>
  <c r="JD784" i="94"/>
  <c r="IZ784" i="94"/>
  <c r="IU784" i="94"/>
  <c r="IQ784" i="94"/>
  <c r="IL784" i="94"/>
  <c r="IH784" i="94"/>
  <c r="NA784" i="94"/>
  <c r="LO784" i="94"/>
  <c r="LK784" i="94"/>
  <c r="LF784" i="94"/>
  <c r="LB784" i="94"/>
  <c r="KW784" i="94"/>
  <c r="KR784" i="94"/>
  <c r="KN784" i="94"/>
  <c r="KI784" i="94"/>
  <c r="KE784" i="94"/>
  <c r="JZ784" i="94"/>
  <c r="JV784" i="94"/>
  <c r="JQ784" i="94"/>
  <c r="JL784" i="94"/>
  <c r="JH784" i="94"/>
  <c r="JC784" i="94"/>
  <c r="IY784" i="94"/>
  <c r="IT784" i="94"/>
  <c r="IP784" i="94"/>
  <c r="IK784" i="94"/>
  <c r="IF784" i="94"/>
  <c r="ND784" i="94"/>
  <c r="MZ784" i="94"/>
  <c r="LN784" i="94"/>
  <c r="LJ784" i="94"/>
  <c r="LE784" i="94"/>
  <c r="KZ784" i="94"/>
  <c r="KV784" i="94"/>
  <c r="KQ784" i="94"/>
  <c r="KM784" i="94"/>
  <c r="KH784" i="94"/>
  <c r="KD784" i="94"/>
  <c r="JY784" i="94"/>
  <c r="JT784" i="94"/>
  <c r="JP784" i="94"/>
  <c r="JK784" i="94"/>
  <c r="JG784" i="94"/>
  <c r="JB784" i="94"/>
  <c r="IX784" i="94"/>
  <c r="IS784" i="94"/>
  <c r="IN784" i="94"/>
  <c r="IJ784" i="94"/>
  <c r="IE784" i="94"/>
  <c r="NC780" i="94"/>
  <c r="LM780" i="94"/>
  <c r="LI780" i="94"/>
  <c r="LE780" i="94"/>
  <c r="LA780" i="94"/>
  <c r="KW780" i="94"/>
  <c r="KS780" i="94"/>
  <c r="KO780" i="94"/>
  <c r="KK780" i="94"/>
  <c r="KG780" i="94"/>
  <c r="KC780" i="94"/>
  <c r="JY780" i="94"/>
  <c r="JU780" i="94"/>
  <c r="JQ780" i="94"/>
  <c r="JM780" i="94"/>
  <c r="JI780" i="94"/>
  <c r="JE780" i="94"/>
  <c r="JA780" i="94"/>
  <c r="IW780" i="94"/>
  <c r="IS780" i="94"/>
  <c r="IO780" i="94"/>
  <c r="NA780" i="94"/>
  <c r="LO780" i="94"/>
  <c r="LK780" i="94"/>
  <c r="LG780" i="94"/>
  <c r="LC780" i="94"/>
  <c r="KY780" i="94"/>
  <c r="KU780" i="94"/>
  <c r="KQ780" i="94"/>
  <c r="KM780" i="94"/>
  <c r="KI780" i="94"/>
  <c r="KE780" i="94"/>
  <c r="KA780" i="94"/>
  <c r="JW780" i="94"/>
  <c r="JS780" i="94"/>
  <c r="JO780" i="94"/>
  <c r="JK780" i="94"/>
  <c r="JG780" i="94"/>
  <c r="JC780" i="94"/>
  <c r="IY780" i="94"/>
  <c r="IU780" i="94"/>
  <c r="IQ780" i="94"/>
  <c r="IM780" i="94"/>
  <c r="II780" i="94"/>
  <c r="IE780" i="94"/>
  <c r="LG792" i="94"/>
  <c r="JU792" i="94"/>
  <c r="IE792" i="94"/>
  <c r="LA792" i="94"/>
  <c r="JO792" i="94"/>
  <c r="NC792" i="94"/>
  <c r="KQ792" i="94"/>
  <c r="JK792" i="94"/>
  <c r="IU788" i="94"/>
  <c r="IE788" i="94"/>
  <c r="KQ788" i="94"/>
  <c r="NB782" i="94"/>
  <c r="LL782" i="94"/>
  <c r="LH782" i="94"/>
  <c r="LC782" i="94"/>
  <c r="KY782" i="94"/>
  <c r="KT782" i="94"/>
  <c r="KP782" i="94"/>
  <c r="KK782" i="94"/>
  <c r="KF782" i="94"/>
  <c r="KB782" i="94"/>
  <c r="JW782" i="94"/>
  <c r="JS782" i="94"/>
  <c r="JN782" i="94"/>
  <c r="JJ782" i="94"/>
  <c r="JE782" i="94"/>
  <c r="IZ782" i="94"/>
  <c r="IV782" i="94"/>
  <c r="IQ782" i="94"/>
  <c r="IM782" i="94"/>
  <c r="IH782" i="94"/>
  <c r="NA782" i="94"/>
  <c r="LP782" i="94"/>
  <c r="LK782" i="94"/>
  <c r="LG782" i="94"/>
  <c r="LB782" i="94"/>
  <c r="KX782" i="94"/>
  <c r="KS782" i="94"/>
  <c r="KN782" i="94"/>
  <c r="KJ782" i="94"/>
  <c r="KE782" i="94"/>
  <c r="KA782" i="94"/>
  <c r="JV782" i="94"/>
  <c r="JR782" i="94"/>
  <c r="JM782" i="94"/>
  <c r="JH782" i="94"/>
  <c r="JD782" i="94"/>
  <c r="IY782" i="94"/>
  <c r="IU782" i="94"/>
  <c r="IP782" i="94"/>
  <c r="IL782" i="94"/>
  <c r="IG782" i="94"/>
  <c r="MZ782" i="94"/>
  <c r="LO782" i="94"/>
  <c r="LJ782" i="94"/>
  <c r="LF782" i="94"/>
  <c r="LA782" i="94"/>
  <c r="KV782" i="94"/>
  <c r="KR782" i="94"/>
  <c r="KM782" i="94"/>
  <c r="KI782" i="94"/>
  <c r="KD782" i="94"/>
  <c r="JZ782" i="94"/>
  <c r="JU782" i="94"/>
  <c r="JP782" i="94"/>
  <c r="JL782" i="94"/>
  <c r="JG782" i="94"/>
  <c r="JC782" i="94"/>
  <c r="IX782" i="94"/>
  <c r="IT782" i="94"/>
  <c r="IO782" i="94"/>
  <c r="IJ782" i="94"/>
  <c r="IF782" i="94"/>
  <c r="IF779" i="94"/>
  <c r="IR779" i="94"/>
  <c r="JM779" i="94"/>
  <c r="JZ779" i="94"/>
  <c r="KN779" i="94"/>
  <c r="LF779" i="94"/>
  <c r="IT780" i="94"/>
  <c r="KH780" i="94"/>
  <c r="NB780" i="94"/>
  <c r="IE782" i="94"/>
  <c r="IW782" i="94"/>
  <c r="JO782" i="94"/>
  <c r="KH782" i="94"/>
  <c r="KZ782" i="94"/>
  <c r="IV784" i="94"/>
  <c r="JO784" i="94"/>
  <c r="KG784" i="94"/>
  <c r="KY784" i="94"/>
  <c r="JC790" i="94"/>
  <c r="KK792" i="94"/>
  <c r="FZ783" i="94"/>
  <c r="DO783" i="94"/>
  <c r="NC790" i="94"/>
  <c r="LD790" i="94"/>
  <c r="KQ790" i="94"/>
  <c r="KA790" i="94"/>
  <c r="JK790" i="94"/>
  <c r="IZ790" i="94"/>
  <c r="IJ790" i="94"/>
  <c r="NA790" i="94"/>
  <c r="LA790" i="94"/>
  <c r="KK790" i="94"/>
  <c r="JX790" i="94"/>
  <c r="JH790" i="94"/>
  <c r="IU790" i="94"/>
  <c r="IE790" i="94"/>
  <c r="LL790" i="94"/>
  <c r="KY790" i="94"/>
  <c r="KI790" i="94"/>
  <c r="JU790" i="94"/>
  <c r="JE790" i="94"/>
  <c r="IR790" i="94"/>
  <c r="IJ779" i="94"/>
  <c r="IV779" i="94"/>
  <c r="JD779" i="94"/>
  <c r="JQ779" i="94"/>
  <c r="KI779" i="94"/>
  <c r="KW779" i="94"/>
  <c r="LK779" i="94"/>
  <c r="MZ779" i="94"/>
  <c r="IG780" i="94"/>
  <c r="JJ780" i="94"/>
  <c r="JZ780" i="94"/>
  <c r="KX780" i="94"/>
  <c r="LF780"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NA779" i="94"/>
  <c r="IH780" i="94"/>
  <c r="IN780" i="94"/>
  <c r="IV780" i="94"/>
  <c r="JD780" i="94"/>
  <c r="JL780" i="94"/>
  <c r="JT780" i="94"/>
  <c r="KB780" i="94"/>
  <c r="KJ780" i="94"/>
  <c r="KR780" i="94"/>
  <c r="KZ780" i="94"/>
  <c r="LH780" i="94"/>
  <c r="LP780" i="94"/>
  <c r="ND780" i="94"/>
  <c r="II782" i="94"/>
  <c r="JB782" i="94"/>
  <c r="JT782" i="94"/>
  <c r="KL782" i="94"/>
  <c r="LD782" i="94"/>
  <c r="II784" i="94"/>
  <c r="JA784" i="94"/>
  <c r="JS784" i="94"/>
  <c r="KL784" i="94"/>
  <c r="LD784" i="94"/>
  <c r="NC784" i="94"/>
  <c r="JS790" i="94"/>
  <c r="IB779" i="94"/>
  <c r="IN779" i="94"/>
  <c r="IZ779" i="94"/>
  <c r="JH779" i="94"/>
  <c r="JV779" i="94"/>
  <c r="KE779" i="94"/>
  <c r="KS779" i="94"/>
  <c r="LB779" i="94"/>
  <c r="LO779" i="94"/>
  <c r="IL780" i="94"/>
  <c r="JB780" i="94"/>
  <c r="JR780" i="94"/>
  <c r="KP780" i="94"/>
  <c r="LN780" i="94"/>
  <c r="HZ779" i="94"/>
  <c r="ID779" i="94"/>
  <c r="IH779" i="94"/>
  <c r="IL779" i="94"/>
  <c r="IP779" i="94"/>
  <c r="IT779" i="94"/>
  <c r="IX779" i="94"/>
  <c r="JB779" i="94"/>
  <c r="JF779" i="94"/>
  <c r="JJ779" i="94"/>
  <c r="JO779" i="94"/>
  <c r="JS779" i="94"/>
  <c r="JX779" i="94"/>
  <c r="KC779" i="94"/>
  <c r="KG779" i="94"/>
  <c r="KL779" i="94"/>
  <c r="KP779" i="94"/>
  <c r="KU779" i="94"/>
  <c r="KY779" i="94"/>
  <c r="LD779" i="94"/>
  <c r="LI779" i="94"/>
  <c r="IJ780" i="94"/>
  <c r="IP780" i="94"/>
  <c r="IX780" i="94"/>
  <c r="JF780" i="94"/>
  <c r="JN780" i="94"/>
  <c r="JV780" i="94"/>
  <c r="KD780" i="94"/>
  <c r="KL780" i="94"/>
  <c r="KT780" i="94"/>
  <c r="LB780" i="94"/>
  <c r="LJ780" i="94"/>
  <c r="IN782" i="94"/>
  <c r="JF782" i="94"/>
  <c r="JX782" i="94"/>
  <c r="KQ782" i="94"/>
  <c r="LI782" i="94"/>
  <c r="ND782" i="94"/>
  <c r="CI783" i="94"/>
  <c r="IM784" i="94"/>
  <c r="JF784" i="94"/>
  <c r="JX784" i="94"/>
  <c r="KP784" i="94"/>
  <c r="LH784" i="94"/>
  <c r="JS788" i="94"/>
  <c r="KF790" i="94"/>
  <c r="KV794" i="94"/>
  <c r="LK792" i="94"/>
  <c r="FQ791" i="94"/>
  <c r="LO790" i="94"/>
  <c r="H980" i="94"/>
  <c r="Q1019" i="94"/>
  <c r="L953" i="94"/>
  <c r="Q962" i="94"/>
  <c r="L984" i="94"/>
  <c r="AU790" i="94"/>
  <c r="FJ790" i="94"/>
  <c r="HE790" i="94"/>
  <c r="IO790" i="94"/>
  <c r="JP790" i="94"/>
  <c r="KN790" i="94"/>
  <c r="AF791" i="94"/>
  <c r="CK792" i="94"/>
  <c r="FM792" i="94"/>
  <c r="IY792" i="94"/>
  <c r="BX793" i="94"/>
  <c r="IC816" i="94"/>
  <c r="GG816" i="94"/>
  <c r="DM816" i="94"/>
  <c r="AS816" i="94"/>
  <c r="IB816" i="94"/>
  <c r="FW816" i="94"/>
  <c r="DA816" i="94"/>
  <c r="AK816" i="94"/>
  <c r="HZ816" i="94"/>
  <c r="FO816" i="94"/>
  <c r="CQ816" i="94"/>
  <c r="AC816" i="94"/>
  <c r="HU816" i="94"/>
  <c r="FG816" i="94"/>
  <c r="CG816" i="94"/>
  <c r="HM816" i="94"/>
  <c r="EY816" i="94"/>
  <c r="BY816" i="94"/>
  <c r="MK816" i="94"/>
  <c r="HE816" i="94"/>
  <c r="EQ816" i="94"/>
  <c r="BQ816" i="94"/>
  <c r="ID816" i="94"/>
  <c r="GO816" i="94"/>
  <c r="EA816" i="94"/>
  <c r="BA816" i="94"/>
  <c r="LX816" i="94"/>
  <c r="GW816" i="94"/>
  <c r="EI816" i="94"/>
  <c r="BI816" i="94"/>
  <c r="EV815" i="94"/>
  <c r="EN815" i="94"/>
  <c r="EF815" i="94"/>
  <c r="LY815" i="94"/>
  <c r="BF815" i="94"/>
  <c r="LQ815" i="94"/>
  <c r="AX815" i="94"/>
  <c r="FT815" i="94"/>
  <c r="AP815" i="94"/>
  <c r="FD815" i="94"/>
  <c r="Z815" i="94"/>
  <c r="FL815" i="94"/>
  <c r="AH815" i="94"/>
  <c r="MI814" i="94"/>
  <c r="HY814" i="94"/>
  <c r="HL814" i="94"/>
  <c r="HA814" i="94"/>
  <c r="GP814" i="94"/>
  <c r="GF814" i="94"/>
  <c r="FO814" i="94"/>
  <c r="FE814" i="94"/>
  <c r="EU814" i="94"/>
  <c r="EM814" i="94"/>
  <c r="EE814" i="94"/>
  <c r="BE814" i="94"/>
  <c r="AW814" i="94"/>
  <c r="AO814" i="94"/>
  <c r="AG814" i="94"/>
  <c r="Y814" i="94"/>
  <c r="MA814" i="94"/>
  <c r="HV814" i="94"/>
  <c r="HJ814" i="94"/>
  <c r="GY814" i="94"/>
  <c r="GO814" i="94"/>
  <c r="GD814" i="94"/>
  <c r="FN814" i="94"/>
  <c r="FD814" i="94"/>
  <c r="ET814" i="94"/>
  <c r="EL814" i="94"/>
  <c r="ED814" i="94"/>
  <c r="BD814" i="94"/>
  <c r="AV814" i="94"/>
  <c r="AN814" i="94"/>
  <c r="AF814" i="94"/>
  <c r="X814" i="94"/>
  <c r="LU814" i="94"/>
  <c r="HT814" i="94"/>
  <c r="HI814" i="94"/>
  <c r="GX814" i="94"/>
  <c r="GN814" i="94"/>
  <c r="GC814" i="94"/>
  <c r="FM814" i="94"/>
  <c r="FB814" i="94"/>
  <c r="ES814" i="94"/>
  <c r="EK814" i="94"/>
  <c r="BK814" i="94"/>
  <c r="BC814" i="94"/>
  <c r="AU814" i="94"/>
  <c r="AM814" i="94"/>
  <c r="AE814" i="94"/>
  <c r="LS814" i="94"/>
  <c r="HR814" i="94"/>
  <c r="HG814" i="94"/>
  <c r="GW814" i="94"/>
  <c r="GL814" i="94"/>
  <c r="FV814" i="94"/>
  <c r="FL814" i="94"/>
  <c r="FA814" i="94"/>
  <c r="ER814" i="94"/>
  <c r="EJ814" i="94"/>
  <c r="BJ814" i="94"/>
  <c r="BB814" i="94"/>
  <c r="AT814" i="94"/>
  <c r="AL814" i="94"/>
  <c r="AD814" i="94"/>
  <c r="ID814" i="94"/>
  <c r="HQ814" i="94"/>
  <c r="HF814" i="94"/>
  <c r="GV814" i="94"/>
  <c r="GK814" i="94"/>
  <c r="FU814" i="94"/>
  <c r="FJ814" i="94"/>
  <c r="EY814" i="94"/>
  <c r="EQ814" i="94"/>
  <c r="EI814" i="94"/>
  <c r="BI814" i="94"/>
  <c r="BA814" i="94"/>
  <c r="AS814" i="94"/>
  <c r="AK814" i="94"/>
  <c r="AC814" i="94"/>
  <c r="IC814" i="94"/>
  <c r="HO814" i="94"/>
  <c r="HE814" i="94"/>
  <c r="GT814" i="94"/>
  <c r="GI814" i="94"/>
  <c r="FT814" i="94"/>
  <c r="FI814" i="94"/>
  <c r="EX814" i="94"/>
  <c r="EP814" i="94"/>
  <c r="EH814" i="94"/>
  <c r="BH814" i="94"/>
  <c r="AZ814" i="94"/>
  <c r="AR814" i="94"/>
  <c r="AJ814" i="94"/>
  <c r="AB814" i="94"/>
  <c r="HZ814" i="94"/>
  <c r="HM814" i="94"/>
  <c r="HB814" i="94"/>
  <c r="GQ814" i="94"/>
  <c r="GG814" i="94"/>
  <c r="FQ814" i="94"/>
  <c r="FF814" i="94"/>
  <c r="EV814" i="94"/>
  <c r="EN814" i="94"/>
  <c r="EF814" i="94"/>
  <c r="BF814" i="94"/>
  <c r="AX814" i="94"/>
  <c r="AP814" i="94"/>
  <c r="AH814" i="94"/>
  <c r="Z814" i="94"/>
  <c r="HD814" i="94"/>
  <c r="BG814" i="94"/>
  <c r="GS814" i="94"/>
  <c r="AY814" i="94"/>
  <c r="GH814" i="94"/>
  <c r="AQ814" i="94"/>
  <c r="FR814" i="94"/>
  <c r="AI814" i="94"/>
  <c r="FG814" i="94"/>
  <c r="AA814" i="94"/>
  <c r="HN814" i="94"/>
  <c r="EG814" i="94"/>
  <c r="IB814" i="94"/>
  <c r="EW814" i="94"/>
  <c r="EO814" i="94"/>
  <c r="GF813" i="94"/>
  <c r="FK813" i="94"/>
  <c r="EV813" i="94"/>
  <c r="EK813" i="94"/>
  <c r="BI813" i="94"/>
  <c r="AW813" i="94"/>
  <c r="AJ813" i="94"/>
  <c r="GE813" i="94"/>
  <c r="FJ813" i="94"/>
  <c r="EU813" i="94"/>
  <c r="EI813" i="94"/>
  <c r="BH813" i="94"/>
  <c r="AT813" i="94"/>
  <c r="AI813" i="94"/>
  <c r="LZ813" i="94"/>
  <c r="GD813" i="94"/>
  <c r="FI813" i="94"/>
  <c r="ET813" i="94"/>
  <c r="EF813" i="94"/>
  <c r="BG813" i="94"/>
  <c r="AS813" i="94"/>
  <c r="AG813" i="94"/>
  <c r="LX813" i="94"/>
  <c r="GB813" i="94"/>
  <c r="FG813" i="94"/>
  <c r="ES813" i="94"/>
  <c r="EE813" i="94"/>
  <c r="BE813" i="94"/>
  <c r="AR813" i="94"/>
  <c r="AD813" i="94"/>
  <c r="LT813" i="94"/>
  <c r="FS813" i="94"/>
  <c r="FC813" i="94"/>
  <c r="EQ813" i="94"/>
  <c r="ED813" i="94"/>
  <c r="BB813" i="94"/>
  <c r="AQ813" i="94"/>
  <c r="AC813" i="94"/>
  <c r="LS813" i="94"/>
  <c r="FR813" i="94"/>
  <c r="FB813" i="94"/>
  <c r="EN813" i="94"/>
  <c r="DQ813" i="94"/>
  <c r="BA813" i="94"/>
  <c r="AO813" i="94"/>
  <c r="AB813" i="94"/>
  <c r="IA813" i="94"/>
  <c r="FO813" i="94"/>
  <c r="EY813" i="94"/>
  <c r="EL813" i="94"/>
  <c r="BJ813" i="94"/>
  <c r="AY813" i="94"/>
  <c r="AK813" i="94"/>
  <c r="Y813" i="94"/>
  <c r="EM813" i="94"/>
  <c r="CK813" i="94"/>
  <c r="AZ813" i="94"/>
  <c r="AL813" i="94"/>
  <c r="AA813" i="94"/>
  <c r="FA813" i="94"/>
  <c r="LR813" i="94"/>
  <c r="FQ813"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H812" i="94"/>
  <c r="LZ812" i="94"/>
  <c r="LR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IB812" i="94"/>
  <c r="FO812" i="94"/>
  <c r="DC812" i="94"/>
  <c r="AQ812" i="94"/>
  <c r="HT812" i="94"/>
  <c r="FG812" i="94"/>
  <c r="CU812" i="94"/>
  <c r="AI812" i="94"/>
  <c r="HL812" i="94"/>
  <c r="EY812" i="94"/>
  <c r="CM812" i="94"/>
  <c r="AA812" i="94"/>
  <c r="HD812" i="94"/>
  <c r="EQ812" i="94"/>
  <c r="CE812" i="94"/>
  <c r="GV812" i="94"/>
  <c r="EI812" i="94"/>
  <c r="BW812" i="94"/>
  <c r="LS812" i="94"/>
  <c r="FW812" i="94"/>
  <c r="DK812" i="94"/>
  <c r="AY812" i="94"/>
  <c r="GN812" i="94"/>
  <c r="GF812" i="94"/>
  <c r="EA812" i="94"/>
  <c r="DS812" i="94"/>
  <c r="BO812" i="94"/>
  <c r="BG812" i="94"/>
  <c r="MI812" i="94"/>
  <c r="MA812" i="94"/>
  <c r="LT811" i="94"/>
  <c r="GC811" i="94"/>
  <c r="FQ811" i="94"/>
  <c r="FI811" i="94"/>
  <c r="FA811" i="94"/>
  <c r="ES811" i="94"/>
  <c r="EK811" i="94"/>
  <c r="BK811" i="94"/>
  <c r="LS811" i="94"/>
  <c r="GB811" i="94"/>
  <c r="FP811" i="94"/>
  <c r="FH811" i="94"/>
  <c r="EZ811" i="94"/>
  <c r="ER811" i="94"/>
  <c r="EJ811" i="94"/>
  <c r="BJ811" i="94"/>
  <c r="BB811" i="94"/>
  <c r="AT811" i="94"/>
  <c r="AL811" i="94"/>
  <c r="AD811" i="94"/>
  <c r="LZ811" i="94"/>
  <c r="LR811" i="94"/>
  <c r="FX811" i="94"/>
  <c r="FO811" i="94"/>
  <c r="FG811" i="94"/>
  <c r="EY811" i="94"/>
  <c r="EQ811" i="94"/>
  <c r="EI811" i="94"/>
  <c r="BI811" i="94"/>
  <c r="BA811" i="94"/>
  <c r="AS811" i="94"/>
  <c r="AK811" i="94"/>
  <c r="AC811" i="94"/>
  <c r="LY811" i="94"/>
  <c r="LQ811" i="94"/>
  <c r="FV811" i="94"/>
  <c r="FN811" i="94"/>
  <c r="FF811" i="94"/>
  <c r="EX811" i="94"/>
  <c r="EP811" i="94"/>
  <c r="EH811" i="94"/>
  <c r="BH811" i="94"/>
  <c r="AZ811" i="94"/>
  <c r="AR811" i="94"/>
  <c r="AJ811" i="94"/>
  <c r="AB811" i="94"/>
  <c r="LX811" i="94"/>
  <c r="HZ811" i="94"/>
  <c r="FU811" i="94"/>
  <c r="FM811" i="94"/>
  <c r="FE811" i="94"/>
  <c r="EW811" i="94"/>
  <c r="EO811" i="94"/>
  <c r="EG811" i="94"/>
  <c r="BG811" i="94"/>
  <c r="AY811" i="94"/>
  <c r="AQ811" i="94"/>
  <c r="AI811" i="94"/>
  <c r="AA811" i="94"/>
  <c r="LW811" i="94"/>
  <c r="GF811" i="94"/>
  <c r="FT811" i="94"/>
  <c r="FL811" i="94"/>
  <c r="FD811" i="94"/>
  <c r="EV811" i="94"/>
  <c r="EN811" i="94"/>
  <c r="EF811" i="94"/>
  <c r="BF811" i="94"/>
  <c r="AX811" i="94"/>
  <c r="AP811" i="94"/>
  <c r="AH811" i="94"/>
  <c r="Z811" i="94"/>
  <c r="LU811" i="94"/>
  <c r="GD811" i="94"/>
  <c r="FR811" i="94"/>
  <c r="FJ811" i="94"/>
  <c r="FB811" i="94"/>
  <c r="ET811" i="94"/>
  <c r="EL811" i="94"/>
  <c r="ED811" i="94"/>
  <c r="BD811" i="94"/>
  <c r="AV811" i="94"/>
  <c r="AN811" i="94"/>
  <c r="AF811" i="94"/>
  <c r="X811" i="94"/>
  <c r="EU811" i="94"/>
  <c r="AM811" i="94"/>
  <c r="EM811" i="94"/>
  <c r="AG811" i="94"/>
  <c r="EE811" i="94"/>
  <c r="AE811" i="94"/>
  <c r="LV811" i="94"/>
  <c r="BE811" i="94"/>
  <c r="Y811" i="94"/>
  <c r="GE811" i="94"/>
  <c r="BC811" i="94"/>
  <c r="FC811" i="94"/>
  <c r="AO811" i="94"/>
  <c r="AW811" i="94"/>
  <c r="AU811" i="94"/>
  <c r="FS811" i="94"/>
  <c r="FK811" i="94"/>
  <c r="MO810" i="94"/>
  <c r="MG810" i="94"/>
  <c r="LY810" i="94"/>
  <c r="LQ810" i="94"/>
  <c r="MN810" i="94"/>
  <c r="MF810" i="94"/>
  <c r="LX810" i="94"/>
  <c r="LG810" i="94"/>
  <c r="MM810" i="94"/>
  <c r="ME810" i="94"/>
  <c r="LW810" i="94"/>
  <c r="KY810" i="94"/>
  <c r="ML810" i="94"/>
  <c r="MD810" i="94"/>
  <c r="LV810" i="94"/>
  <c r="MK810" i="94"/>
  <c r="MC810" i="94"/>
  <c r="LU810" i="94"/>
  <c r="MI810" i="94"/>
  <c r="MA810" i="94"/>
  <c r="LS810" i="94"/>
  <c r="LZ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AB810" i="94"/>
  <c r="LT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LR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KA810" i="94"/>
  <c r="HY810" i="94"/>
  <c r="HQ810" i="94"/>
  <c r="HI810" i="94"/>
  <c r="HA810" i="94"/>
  <c r="GS810" i="94"/>
  <c r="GK810" i="94"/>
  <c r="GC810" i="94"/>
  <c r="FU810" i="94"/>
  <c r="FM810" i="94"/>
  <c r="FE810" i="94"/>
  <c r="EW810" i="94"/>
  <c r="EO810" i="94"/>
  <c r="EG810" i="94"/>
  <c r="DY810" i="94"/>
  <c r="DQ810" i="94"/>
  <c r="DI810" i="94"/>
  <c r="DA810" i="94"/>
  <c r="CS810" i="94"/>
  <c r="CK810" i="94"/>
  <c r="CC810" i="94"/>
  <c r="BU810" i="94"/>
  <c r="BM810" i="94"/>
  <c r="BE810" i="94"/>
  <c r="AW810" i="94"/>
  <c r="AO810" i="94"/>
  <c r="AG810" i="94"/>
  <c r="Y810" i="94"/>
  <c r="NC810" i="94"/>
  <c r="I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AV810" i="94"/>
  <c r="AN810" i="94"/>
  <c r="AF810" i="94"/>
  <c r="X810" i="94"/>
  <c r="MB810" i="94"/>
  <c r="IC810" i="94"/>
  <c r="HU810" i="94"/>
  <c r="HM810" i="94"/>
  <c r="HE810" i="94"/>
  <c r="GW810" i="94"/>
  <c r="GO810" i="94"/>
  <c r="GG810" i="94"/>
  <c r="FY810" i="94"/>
  <c r="FQ810" i="94"/>
  <c r="FI810" i="94"/>
  <c r="FA810" i="94"/>
  <c r="ES810" i="94"/>
  <c r="EK810" i="94"/>
  <c r="EC810" i="94"/>
  <c r="DU810" i="94"/>
  <c r="DM810" i="94"/>
  <c r="DE810" i="94"/>
  <c r="CW810" i="94"/>
  <c r="CO810" i="94"/>
  <c r="CG810" i="94"/>
  <c r="BY810" i="94"/>
  <c r="BQ810" i="94"/>
  <c r="BI810" i="94"/>
  <c r="BA810" i="94"/>
  <c r="AS810" i="94"/>
  <c r="AK810" i="94"/>
  <c r="AC810" i="94"/>
  <c r="HO810" i="94"/>
  <c r="GI810" i="94"/>
  <c r="FC810" i="94"/>
  <c r="DW810" i="94"/>
  <c r="CQ810" i="94"/>
  <c r="BK810" i="94"/>
  <c r="AE810" i="94"/>
  <c r="HN810" i="94"/>
  <c r="GH810" i="94"/>
  <c r="FB810" i="94"/>
  <c r="DV810" i="94"/>
  <c r="CP810" i="94"/>
  <c r="BJ810" i="94"/>
  <c r="AD810" i="94"/>
  <c r="MJ810" i="94"/>
  <c r="HG810" i="94"/>
  <c r="GA810" i="94"/>
  <c r="EU810" i="94"/>
  <c r="DO810" i="94"/>
  <c r="CI810" i="94"/>
  <c r="BC810" i="94"/>
  <c r="MH810" i="94"/>
  <c r="HF810" i="94"/>
  <c r="FZ810" i="94"/>
  <c r="ET810" i="94"/>
  <c r="DN810" i="94"/>
  <c r="CH810" i="94"/>
  <c r="BB810" i="94"/>
  <c r="IM810" i="94"/>
  <c r="GY810" i="94"/>
  <c r="FS810" i="94"/>
  <c r="EM810" i="94"/>
  <c r="DG810" i="94"/>
  <c r="CA810" i="94"/>
  <c r="AU810" i="94"/>
  <c r="ID810" i="94"/>
  <c r="GX810" i="94"/>
  <c r="FR810" i="94"/>
  <c r="EL810" i="94"/>
  <c r="DF810" i="94"/>
  <c r="BZ810" i="94"/>
  <c r="AT810" i="94"/>
  <c r="FK810" i="94"/>
  <c r="AM810" i="94"/>
  <c r="FJ810" i="94"/>
  <c r="AL810" i="94"/>
  <c r="EE810" i="94"/>
  <c r="ED810" i="94"/>
  <c r="HW810" i="94"/>
  <c r="CY810" i="94"/>
  <c r="GP810" i="94"/>
  <c r="BR810" i="94"/>
  <c r="HV810" i="94"/>
  <c r="GQ810" i="94"/>
  <c r="CX810" i="94"/>
  <c r="BS810"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LX809" i="94"/>
  <c r="IC809" i="94"/>
  <c r="FY809" i="94"/>
  <c r="FQ809" i="94"/>
  <c r="FI809" i="94"/>
  <c r="FA809" i="94"/>
  <c r="ES809" i="94"/>
  <c r="EK809" i="94"/>
  <c r="EC809" i="94"/>
  <c r="DU809" i="94"/>
  <c r="DM809" i="94"/>
  <c r="DE809" i="94"/>
  <c r="CW809" i="94"/>
  <c r="CO809" i="94"/>
  <c r="CG809" i="94"/>
  <c r="BY809" i="94"/>
  <c r="BQ809" i="94"/>
  <c r="BI809" i="94"/>
  <c r="BA809" i="94"/>
  <c r="AS809" i="94"/>
  <c r="AK809" i="94"/>
  <c r="AC809" i="94"/>
  <c r="FS809" i="94"/>
  <c r="EM809" i="94"/>
  <c r="DG809" i="94"/>
  <c r="CA809" i="94"/>
  <c r="AU809" i="94"/>
  <c r="FR809" i="94"/>
  <c r="EL809" i="94"/>
  <c r="DF809" i="94"/>
  <c r="BZ809" i="94"/>
  <c r="AT809" i="94"/>
  <c r="LZ809" i="94"/>
  <c r="FK809" i="94"/>
  <c r="EE809" i="94"/>
  <c r="CY809" i="94"/>
  <c r="BS809" i="94"/>
  <c r="AM809" i="94"/>
  <c r="LY809" i="94"/>
  <c r="FJ809" i="94"/>
  <c r="ED809" i="94"/>
  <c r="CX809" i="94"/>
  <c r="BR809" i="94"/>
  <c r="AL809" i="94"/>
  <c r="LR809" i="94"/>
  <c r="FC809" i="94"/>
  <c r="DW809" i="94"/>
  <c r="CQ809" i="94"/>
  <c r="BK809" i="94"/>
  <c r="AE809" i="94"/>
  <c r="LQ809" i="94"/>
  <c r="FB809" i="94"/>
  <c r="DV809" i="94"/>
  <c r="CP809" i="94"/>
  <c r="BJ809" i="94"/>
  <c r="AD809" i="94"/>
  <c r="CI809" i="94"/>
  <c r="CH809" i="94"/>
  <c r="GA809" i="94"/>
  <c r="BC809" i="94"/>
  <c r="FZ809" i="94"/>
  <c r="BB809" i="94"/>
  <c r="EU809" i="94"/>
  <c r="DN809" i="94"/>
  <c r="ET809" i="94"/>
  <c r="DO809" i="94"/>
  <c r="ML808" i="94"/>
  <c r="MD808" i="94"/>
  <c r="LV808" i="94"/>
  <c r="LK808" i="94"/>
  <c r="KS808" i="94"/>
  <c r="KA808" i="94"/>
  <c r="JK808" i="94"/>
  <c r="IW808" i="94"/>
  <c r="IJ808" i="94"/>
  <c r="IB808" i="94"/>
  <c r="HT808" i="94"/>
  <c r="HL808" i="94"/>
  <c r="HD808" i="94"/>
  <c r="GV808" i="94"/>
  <c r="GN808" i="94"/>
  <c r="MK808" i="94"/>
  <c r="MC808" i="94"/>
  <c r="LU808" i="94"/>
  <c r="LI808" i="94"/>
  <c r="KQ808" i="94"/>
  <c r="JX808" i="94"/>
  <c r="JG808" i="94"/>
  <c r="IV808" i="94"/>
  <c r="II808" i="94"/>
  <c r="IA808" i="94"/>
  <c r="HS808" i="94"/>
  <c r="HK808" i="94"/>
  <c r="HC808" i="94"/>
  <c r="GU808" i="94"/>
  <c r="GM808" i="94"/>
  <c r="GE808" i="94"/>
  <c r="FW808" i="94"/>
  <c r="FO808" i="94"/>
  <c r="FG808" i="94"/>
  <c r="EY808" i="94"/>
  <c r="EQ808" i="94"/>
  <c r="EI808" i="94"/>
  <c r="EA808" i="94"/>
  <c r="DS808" i="94"/>
  <c r="MJ808" i="94"/>
  <c r="MB808" i="94"/>
  <c r="LT808" i="94"/>
  <c r="LG808" i="94"/>
  <c r="KN808" i="94"/>
  <c r="JU808" i="94"/>
  <c r="JF808" i="94"/>
  <c r="IU808" i="94"/>
  <c r="IH808" i="94"/>
  <c r="HZ808" i="94"/>
  <c r="HR808" i="94"/>
  <c r="HJ808" i="94"/>
  <c r="HB808" i="94"/>
  <c r="GT808" i="94"/>
  <c r="GL808" i="94"/>
  <c r="GD808" i="94"/>
  <c r="FV808" i="94"/>
  <c r="FN808" i="94"/>
  <c r="FF808" i="94"/>
  <c r="EX808" i="94"/>
  <c r="EP808" i="94"/>
  <c r="EH808" i="94"/>
  <c r="DZ808" i="94"/>
  <c r="DR808" i="94"/>
  <c r="MI808" i="94"/>
  <c r="MA808" i="94"/>
  <c r="LS808" i="94"/>
  <c r="LD808" i="94"/>
  <c r="KK808" i="94"/>
  <c r="JS808" i="94"/>
  <c r="JE808" i="94"/>
  <c r="IR808" i="94"/>
  <c r="IG808" i="94"/>
  <c r="HY808" i="94"/>
  <c r="HQ808" i="94"/>
  <c r="HI808" i="94"/>
  <c r="HA808" i="94"/>
  <c r="GS808" i="94"/>
  <c r="GK808" i="94"/>
  <c r="GC808" i="94"/>
  <c r="FU808" i="94"/>
  <c r="FM808" i="94"/>
  <c r="FE808" i="94"/>
  <c r="EW808" i="94"/>
  <c r="EO808" i="94"/>
  <c r="EG808" i="94"/>
  <c r="DY808" i="94"/>
  <c r="DQ808" i="94"/>
  <c r="DI808" i="94"/>
  <c r="MH808" i="94"/>
  <c r="LZ808" i="94"/>
  <c r="LR808" i="94"/>
  <c r="LA808" i="94"/>
  <c r="KI808" i="94"/>
  <c r="JP808" i="94"/>
  <c r="JD808" i="94"/>
  <c r="IQ808" i="94"/>
  <c r="IF808" i="94"/>
  <c r="HX808" i="94"/>
  <c r="HP808" i="94"/>
  <c r="HH808" i="94"/>
  <c r="GZ808" i="94"/>
  <c r="GR808" i="94"/>
  <c r="GJ808" i="94"/>
  <c r="GB808" i="94"/>
  <c r="FT808" i="94"/>
  <c r="FL808" i="94"/>
  <c r="FD808" i="94"/>
  <c r="EV808" i="94"/>
  <c r="EN808" i="94"/>
  <c r="EF808" i="94"/>
  <c r="DX808" i="94"/>
  <c r="DP808" i="94"/>
  <c r="DH808" i="94"/>
  <c r="CZ808" i="94"/>
  <c r="MM808" i="94"/>
  <c r="ME808" i="94"/>
  <c r="LW808" i="94"/>
  <c r="LL808" i="94"/>
  <c r="KU808" i="94"/>
  <c r="KC808" i="94"/>
  <c r="JL808" i="94"/>
  <c r="MG808" i="94"/>
  <c r="KF808" i="94"/>
  <c r="IO808" i="94"/>
  <c r="HO808" i="94"/>
  <c r="GW808" i="94"/>
  <c r="GA808" i="94"/>
  <c r="FK808" i="94"/>
  <c r="EU808" i="94"/>
  <c r="EE808" i="94"/>
  <c r="DO808" i="94"/>
  <c r="DE808" i="94"/>
  <c r="CV808" i="94"/>
  <c r="CN808" i="94"/>
  <c r="CF808" i="94"/>
  <c r="BX808" i="94"/>
  <c r="BP808" i="94"/>
  <c r="BH808" i="94"/>
  <c r="AZ808" i="94"/>
  <c r="AR808" i="94"/>
  <c r="AJ808" i="94"/>
  <c r="AB808" i="94"/>
  <c r="MF808" i="94"/>
  <c r="KE808" i="94"/>
  <c r="IM808" i="94"/>
  <c r="HN808" i="94"/>
  <c r="GQ808" i="94"/>
  <c r="FZ808" i="94"/>
  <c r="FJ808" i="94"/>
  <c r="ET808" i="94"/>
  <c r="ED808" i="94"/>
  <c r="DN808" i="94"/>
  <c r="DD808" i="94"/>
  <c r="CU808" i="94"/>
  <c r="CM808" i="94"/>
  <c r="CE808" i="94"/>
  <c r="BW808" i="94"/>
  <c r="BO808" i="94"/>
  <c r="BG808" i="94"/>
  <c r="AY808" i="94"/>
  <c r="AQ808" i="94"/>
  <c r="AI808" i="94"/>
  <c r="AA808" i="94"/>
  <c r="LY808" i="94"/>
  <c r="JO808" i="94"/>
  <c r="IE808" i="94"/>
  <c r="HM808" i="94"/>
  <c r="GP808" i="94"/>
  <c r="FY808" i="94"/>
  <c r="FI808" i="94"/>
  <c r="ES808" i="94"/>
  <c r="EC808" i="94"/>
  <c r="DM808" i="94"/>
  <c r="DC808" i="94"/>
  <c r="CT808" i="94"/>
  <c r="CL808" i="94"/>
  <c r="CD808" i="94"/>
  <c r="BV808" i="94"/>
  <c r="BN808" i="94"/>
  <c r="BF808" i="94"/>
  <c r="AX808" i="94"/>
  <c r="AP808" i="94"/>
  <c r="AH808" i="94"/>
  <c r="Z808" i="94"/>
  <c r="LX808" i="94"/>
  <c r="JM808" i="94"/>
  <c r="ID808" i="94"/>
  <c r="HG808" i="94"/>
  <c r="GO808" i="94"/>
  <c r="FX808" i="94"/>
  <c r="FH808" i="94"/>
  <c r="ER808" i="94"/>
  <c r="EB808" i="94"/>
  <c r="DL808" i="94"/>
  <c r="DB808" i="94"/>
  <c r="CS808" i="94"/>
  <c r="CK808" i="94"/>
  <c r="CC808" i="94"/>
  <c r="BU808" i="94"/>
  <c r="BM808" i="94"/>
  <c r="BE808" i="94"/>
  <c r="AW808" i="94"/>
  <c r="AO808" i="94"/>
  <c r="AG808" i="94"/>
  <c r="Y808" i="94"/>
  <c r="LQ808" i="94"/>
  <c r="JC808" i="94"/>
  <c r="IC808" i="94"/>
  <c r="HF808" i="94"/>
  <c r="GI808" i="94"/>
  <c r="FS808" i="94"/>
  <c r="FC808" i="94"/>
  <c r="EM808" i="94"/>
  <c r="DW808" i="94"/>
  <c r="DK808" i="94"/>
  <c r="DA808" i="94"/>
  <c r="CR808" i="94"/>
  <c r="CJ808" i="94"/>
  <c r="CB808" i="94"/>
  <c r="BT808" i="94"/>
  <c r="BL808" i="94"/>
  <c r="BD808" i="94"/>
  <c r="AV808" i="94"/>
  <c r="AN808" i="94"/>
  <c r="AF808" i="94"/>
  <c r="X808" i="94"/>
  <c r="LO808" i="94"/>
  <c r="IZ808" i="94"/>
  <c r="HW808" i="94"/>
  <c r="HE808" i="94"/>
  <c r="GH808" i="94"/>
  <c r="FR808" i="94"/>
  <c r="FB808" i="94"/>
  <c r="EL808" i="94"/>
  <c r="DV808" i="94"/>
  <c r="DJ808" i="94"/>
  <c r="CY808" i="94"/>
  <c r="CQ808" i="94"/>
  <c r="CI808" i="94"/>
  <c r="CA808" i="94"/>
  <c r="BS808" i="94"/>
  <c r="BK808" i="94"/>
  <c r="BC808" i="94"/>
  <c r="AU808" i="94"/>
  <c r="AM808" i="94"/>
  <c r="AE808" i="94"/>
  <c r="IY808" i="94"/>
  <c r="FQ808" i="94"/>
  <c r="DG808" i="94"/>
  <c r="BZ808" i="94"/>
  <c r="AT808" i="94"/>
  <c r="IP808" i="94"/>
  <c r="FP808" i="94"/>
  <c r="DF808" i="94"/>
  <c r="BY808" i="94"/>
  <c r="AS808" i="94"/>
  <c r="HV808" i="94"/>
  <c r="FA808" i="94"/>
  <c r="CX808" i="94"/>
  <c r="BR808" i="94"/>
  <c r="AL808" i="94"/>
  <c r="HU808" i="94"/>
  <c r="EZ808" i="94"/>
  <c r="CW808" i="94"/>
  <c r="BQ808" i="94"/>
  <c r="AK808" i="94"/>
  <c r="MO808" i="94"/>
  <c r="GY808" i="94"/>
  <c r="EK808" i="94"/>
  <c r="CP808" i="94"/>
  <c r="BJ808" i="94"/>
  <c r="AD808" i="94"/>
  <c r="KV808" i="94"/>
  <c r="GF808" i="94"/>
  <c r="DT808" i="94"/>
  <c r="CG808" i="94"/>
  <c r="BA808" i="94"/>
  <c r="GX808" i="94"/>
  <c r="AC808" i="94"/>
  <c r="GG808" i="94"/>
  <c r="EJ808" i="94"/>
  <c r="DU808" i="94"/>
  <c r="CO808" i="94"/>
  <c r="KY808" i="94"/>
  <c r="CH808" i="94"/>
  <c r="BI808" i="94"/>
  <c r="MN808" i="94"/>
  <c r="BB808"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U807" i="94"/>
  <c r="GC807" i="94"/>
  <c r="FP807" i="94"/>
  <c r="FH807" i="94"/>
  <c r="EZ807" i="94"/>
  <c r="ER807" i="94"/>
  <c r="EJ807" i="94"/>
  <c r="BJ807" i="94"/>
  <c r="BB807" i="94"/>
  <c r="AT807" i="94"/>
  <c r="AL807" i="94"/>
  <c r="AD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AJ807" i="94"/>
  <c r="AB807" i="94"/>
  <c r="LZ807" i="94"/>
  <c r="LR807" i="94"/>
  <c r="FU807" i="94"/>
  <c r="FM807" i="94"/>
  <c r="FE807" i="94"/>
  <c r="EW807" i="94"/>
  <c r="EO807" i="94"/>
  <c r="EG807" i="94"/>
  <c r="BG807" i="94"/>
  <c r="AY807" i="94"/>
  <c r="AQ807" i="94"/>
  <c r="AI807" i="94"/>
  <c r="AA807" i="94"/>
  <c r="LQ807" i="94"/>
  <c r="EV807" i="94"/>
  <c r="AX807" i="94"/>
  <c r="GF807" i="94"/>
  <c r="EU807" i="94"/>
  <c r="AW807" i="94"/>
  <c r="FT807" i="94"/>
  <c r="EN807" i="94"/>
  <c r="AP807" i="94"/>
  <c r="FS807" i="94"/>
  <c r="EM807" i="94"/>
  <c r="AO807" i="94"/>
  <c r="FL807" i="94"/>
  <c r="EF807" i="94"/>
  <c r="AH807" i="94"/>
  <c r="LX807" i="94"/>
  <c r="FC807" i="94"/>
  <c r="BE807" i="94"/>
  <c r="Y807" i="94"/>
  <c r="LY807" i="94"/>
  <c r="FK807" i="94"/>
  <c r="FD807" i="94"/>
  <c r="EE807" i="94"/>
  <c r="Z807" i="94"/>
  <c r="AG807" i="94"/>
  <c r="BF807" i="94"/>
  <c r="MM806" i="94"/>
  <c r="ME806" i="94"/>
  <c r="LW806" i="94"/>
  <c r="LO806" i="94"/>
  <c r="LG806" i="94"/>
  <c r="KY806" i="94"/>
  <c r="KQ806" i="94"/>
  <c r="KI806" i="94"/>
  <c r="KA806" i="94"/>
  <c r="JS806" i="94"/>
  <c r="JK806" i="94"/>
  <c r="JC806" i="94"/>
  <c r="IU806" i="94"/>
  <c r="IM806" i="94"/>
  <c r="IE806" i="94"/>
  <c r="HW806" i="94"/>
  <c r="HO806" i="94"/>
  <c r="HG806" i="94"/>
  <c r="GY806" i="94"/>
  <c r="GQ806" i="94"/>
  <c r="GI806" i="94"/>
  <c r="FV806" i="94"/>
  <c r="FN806" i="94"/>
  <c r="FF806" i="94"/>
  <c r="EX806" i="94"/>
  <c r="EP806" i="94"/>
  <c r="EH806" i="94"/>
  <c r="BH806" i="94"/>
  <c r="AZ806" i="94"/>
  <c r="AR806" i="94"/>
  <c r="AJ806" i="94"/>
  <c r="AB806" i="94"/>
  <c r="ND806" i="94"/>
  <c r="ML806" i="94"/>
  <c r="MD806" i="94"/>
  <c r="LV806" i="94"/>
  <c r="LN806" i="94"/>
  <c r="LF806" i="94"/>
  <c r="KX806" i="94"/>
  <c r="KP806" i="94"/>
  <c r="KH806" i="94"/>
  <c r="JZ806" i="94"/>
  <c r="JR806" i="94"/>
  <c r="JJ806" i="94"/>
  <c r="JB806" i="94"/>
  <c r="IT806" i="94"/>
  <c r="IL806" i="94"/>
  <c r="ID806" i="94"/>
  <c r="HV806" i="94"/>
  <c r="HN806" i="94"/>
  <c r="HF806" i="94"/>
  <c r="GX806" i="94"/>
  <c r="GP806" i="94"/>
  <c r="GH806" i="94"/>
  <c r="FU806" i="94"/>
  <c r="FM806" i="94"/>
  <c r="FE806" i="94"/>
  <c r="EW806" i="94"/>
  <c r="EO806" i="94"/>
  <c r="EG806" i="94"/>
  <c r="BG806" i="94"/>
  <c r="AY806" i="94"/>
  <c r="AQ806" i="94"/>
  <c r="AI806" i="94"/>
  <c r="AA806" i="94"/>
  <c r="NC806" i="94"/>
  <c r="MK806" i="94"/>
  <c r="MC806" i="94"/>
  <c r="LU806" i="94"/>
  <c r="LM806" i="94"/>
  <c r="LE806" i="94"/>
  <c r="KW806" i="94"/>
  <c r="KO806" i="94"/>
  <c r="KG806" i="94"/>
  <c r="JY806" i="94"/>
  <c r="JQ806" i="94"/>
  <c r="JI806" i="94"/>
  <c r="JA806" i="94"/>
  <c r="IS806" i="94"/>
  <c r="IK806" i="94"/>
  <c r="NB806" i="94"/>
  <c r="MJ806" i="94"/>
  <c r="MB806" i="94"/>
  <c r="LT806" i="94"/>
  <c r="LL806" i="94"/>
  <c r="LD806" i="94"/>
  <c r="KV806" i="94"/>
  <c r="KN806" i="94"/>
  <c r="KF806" i="94"/>
  <c r="JX806" i="94"/>
  <c r="JP806" i="94"/>
  <c r="JH806" i="94"/>
  <c r="IZ806" i="94"/>
  <c r="IR806" i="94"/>
  <c r="IJ806" i="94"/>
  <c r="IB806" i="94"/>
  <c r="HT806" i="94"/>
  <c r="HL806" i="94"/>
  <c r="HD806" i="94"/>
  <c r="GV806" i="94"/>
  <c r="GN806" i="94"/>
  <c r="GF806" i="94"/>
  <c r="FS806" i="94"/>
  <c r="FK806" i="94"/>
  <c r="FC806" i="94"/>
  <c r="EU806" i="94"/>
  <c r="EM806" i="94"/>
  <c r="EE806" i="94"/>
  <c r="BE806" i="94"/>
  <c r="AW806" i="94"/>
  <c r="AO806" i="94"/>
  <c r="AG806" i="94"/>
  <c r="Y806" i="94"/>
  <c r="NA806" i="94"/>
  <c r="MI806" i="94"/>
  <c r="MA806" i="94"/>
  <c r="LS806" i="94"/>
  <c r="LK806" i="94"/>
  <c r="LC806" i="94"/>
  <c r="KU806" i="94"/>
  <c r="KM806" i="94"/>
  <c r="KE806" i="94"/>
  <c r="JW806" i="94"/>
  <c r="MZ806" i="94"/>
  <c r="MH806" i="94"/>
  <c r="LZ806" i="94"/>
  <c r="LR806" i="94"/>
  <c r="LJ806" i="94"/>
  <c r="LB806" i="94"/>
  <c r="KT806" i="94"/>
  <c r="KL806" i="94"/>
  <c r="KD806" i="94"/>
  <c r="JV806" i="94"/>
  <c r="JN806" i="94"/>
  <c r="JF806" i="94"/>
  <c r="IX806" i="94"/>
  <c r="IP806" i="94"/>
  <c r="IH806" i="94"/>
  <c r="HZ806" i="94"/>
  <c r="HR806" i="94"/>
  <c r="MO806" i="94"/>
  <c r="LI806" i="94"/>
  <c r="KC806" i="94"/>
  <c r="JE806" i="94"/>
  <c r="II806" i="94"/>
  <c r="HS806" i="94"/>
  <c r="HE806" i="94"/>
  <c r="GS806" i="94"/>
  <c r="GE806" i="94"/>
  <c r="FO806" i="94"/>
  <c r="FA806" i="94"/>
  <c r="EN806" i="94"/>
  <c r="BJ806" i="94"/>
  <c r="AV806" i="94"/>
  <c r="AK806" i="94"/>
  <c r="MN806" i="94"/>
  <c r="LH806" i="94"/>
  <c r="KB806" i="94"/>
  <c r="JD806" i="94"/>
  <c r="IG806" i="94"/>
  <c r="HQ806" i="94"/>
  <c r="HC806" i="94"/>
  <c r="GR806" i="94"/>
  <c r="GD806" i="94"/>
  <c r="FL806" i="94"/>
  <c r="EZ806" i="94"/>
  <c r="EL806" i="94"/>
  <c r="BI806" i="94"/>
  <c r="AU806" i="94"/>
  <c r="AH806" i="94"/>
  <c r="MG806" i="94"/>
  <c r="LA806" i="94"/>
  <c r="JU806" i="94"/>
  <c r="IY806" i="94"/>
  <c r="IF806" i="94"/>
  <c r="HP806" i="94"/>
  <c r="HB806" i="94"/>
  <c r="GO806" i="94"/>
  <c r="GC806" i="94"/>
  <c r="FJ806" i="94"/>
  <c r="EY806" i="94"/>
  <c r="EK806" i="94"/>
  <c r="BF806" i="94"/>
  <c r="AT806" i="94"/>
  <c r="AF806" i="94"/>
  <c r="MF806" i="94"/>
  <c r="KZ806" i="94"/>
  <c r="JT806" i="94"/>
  <c r="IW806" i="94"/>
  <c r="IC806" i="94"/>
  <c r="HM806" i="94"/>
  <c r="HA806" i="94"/>
  <c r="GM806" i="94"/>
  <c r="GB806" i="94"/>
  <c r="FI806" i="94"/>
  <c r="EV806" i="94"/>
  <c r="EJ806" i="94"/>
  <c r="BD806" i="94"/>
  <c r="AS806" i="94"/>
  <c r="AE806" i="94"/>
  <c r="LY806" i="94"/>
  <c r="KS806" i="94"/>
  <c r="JO806" i="94"/>
  <c r="IV806" i="94"/>
  <c r="IA806" i="94"/>
  <c r="HK806" i="94"/>
  <c r="GZ806" i="94"/>
  <c r="GL806" i="94"/>
  <c r="FT806" i="94"/>
  <c r="FH806" i="94"/>
  <c r="ET806" i="94"/>
  <c r="EI806" i="94"/>
  <c r="BC806" i="94"/>
  <c r="AP806" i="94"/>
  <c r="AD806" i="94"/>
  <c r="LP806" i="94"/>
  <c r="KJ806" i="94"/>
  <c r="JG806" i="94"/>
  <c r="IN806" i="94"/>
  <c r="HU806" i="94"/>
  <c r="HH806" i="94"/>
  <c r="GT806" i="94"/>
  <c r="GG806" i="94"/>
  <c r="FP806" i="94"/>
  <c r="FB806" i="94"/>
  <c r="EQ806" i="94"/>
  <c r="BK806" i="94"/>
  <c r="AX806" i="94"/>
  <c r="AL806" i="94"/>
  <c r="X806" i="94"/>
  <c r="LX806" i="94"/>
  <c r="HY806" i="94"/>
  <c r="FR806" i="94"/>
  <c r="BB806" i="94"/>
  <c r="LQ806" i="94"/>
  <c r="HX806" i="94"/>
  <c r="FQ806" i="94"/>
  <c r="BA806" i="94"/>
  <c r="KR806" i="94"/>
  <c r="HJ806" i="94"/>
  <c r="FG806" i="94"/>
  <c r="AN806" i="94"/>
  <c r="KK806" i="94"/>
  <c r="HI806" i="94"/>
  <c r="FD806" i="94"/>
  <c r="AM806" i="94"/>
  <c r="JM806" i="94"/>
  <c r="GW806" i="94"/>
  <c r="ES806" i="94"/>
  <c r="AC806" i="94"/>
  <c r="EF806" i="94"/>
  <c r="IQ806" i="94"/>
  <c r="Z806" i="94"/>
  <c r="IO806" i="94"/>
  <c r="GU806" i="94"/>
  <c r="ER806" i="94"/>
  <c r="JL806" i="94"/>
  <c r="GK806" i="94"/>
  <c r="GJ806" i="94"/>
  <c r="ED806" i="94"/>
  <c r="LW805" i="94"/>
  <c r="GF805" i="94"/>
  <c r="FS805" i="94"/>
  <c r="FK805" i="94"/>
  <c r="LV805" i="94"/>
  <c r="GE805" i="94"/>
  <c r="FR805" i="94"/>
  <c r="FJ805" i="94"/>
  <c r="LT805" i="94"/>
  <c r="GC805" i="94"/>
  <c r="FP805" i="94"/>
  <c r="FH805" i="94"/>
  <c r="LZ805" i="94"/>
  <c r="GD805" i="94"/>
  <c r="FM805" i="94"/>
  <c r="FB805" i="94"/>
  <c r="ET805" i="94"/>
  <c r="EL805" i="94"/>
  <c r="ED805" i="94"/>
  <c r="BM805" i="94"/>
  <c r="BD805" i="94"/>
  <c r="AV805" i="94"/>
  <c r="AN805" i="94"/>
  <c r="AF805" i="94"/>
  <c r="X805" i="94"/>
  <c r="LY805" i="94"/>
  <c r="GB805" i="94"/>
  <c r="FL805" i="94"/>
  <c r="FA805" i="94"/>
  <c r="ES805" i="94"/>
  <c r="EK805" i="94"/>
  <c r="DY805" i="94"/>
  <c r="BK805" i="94"/>
  <c r="BC805" i="94"/>
  <c r="AU805" i="94"/>
  <c r="AM805" i="94"/>
  <c r="AE805" i="94"/>
  <c r="LX805" i="94"/>
  <c r="FV805" i="94"/>
  <c r="FI805" i="94"/>
  <c r="EZ805" i="94"/>
  <c r="ER805" i="94"/>
  <c r="EJ805" i="94"/>
  <c r="DQ805" i="94"/>
  <c r="BJ805" i="94"/>
  <c r="BB805" i="94"/>
  <c r="AT805" i="94"/>
  <c r="AL805" i="94"/>
  <c r="AD805" i="94"/>
  <c r="LU805" i="94"/>
  <c r="FU805" i="94"/>
  <c r="FG805" i="94"/>
  <c r="EY805" i="94"/>
  <c r="EQ805" i="94"/>
  <c r="EI805" i="94"/>
  <c r="DI805" i="94"/>
  <c r="BI805" i="94"/>
  <c r="BA805" i="94"/>
  <c r="AS805" i="94"/>
  <c r="AK805" i="94"/>
  <c r="AC805" i="94"/>
  <c r="LS805" i="94"/>
  <c r="FT805" i="94"/>
  <c r="FF805" i="94"/>
  <c r="EX805" i="94"/>
  <c r="EP805" i="94"/>
  <c r="EH805" i="94"/>
  <c r="CS805" i="94"/>
  <c r="BH805" i="94"/>
  <c r="AZ805" i="94"/>
  <c r="AR805" i="94"/>
  <c r="AJ805" i="94"/>
  <c r="AB805" i="94"/>
  <c r="ID805" i="94"/>
  <c r="FN805" i="94"/>
  <c r="FC805" i="94"/>
  <c r="EU805" i="94"/>
  <c r="EM805" i="94"/>
  <c r="EE805" i="94"/>
  <c r="BU805" i="94"/>
  <c r="BE805" i="94"/>
  <c r="AW805" i="94"/>
  <c r="AO805" i="94"/>
  <c r="AG805" i="94"/>
  <c r="Y805" i="94"/>
  <c r="FQ805" i="94"/>
  <c r="EG805" i="94"/>
  <c r="AQ805" i="94"/>
  <c r="FO805" i="94"/>
  <c r="EF805" i="94"/>
  <c r="AP805" i="94"/>
  <c r="FE805" i="94"/>
  <c r="CK805" i="94"/>
  <c r="AI805" i="94"/>
  <c r="FD805" i="94"/>
  <c r="CC805" i="94"/>
  <c r="AH805" i="94"/>
  <c r="EW805" i="94"/>
  <c r="BG805" i="94"/>
  <c r="AA805" i="94"/>
  <c r="BF805" i="94"/>
  <c r="AX805" i="94"/>
  <c r="LR805" i="94"/>
  <c r="Z805" i="94"/>
  <c r="LQ805" i="94"/>
  <c r="EN805" i="94"/>
  <c r="EV805" i="94"/>
  <c r="EO805" i="94"/>
  <c r="AY805" i="94"/>
  <c r="MM804" i="94"/>
  <c r="ME804" i="94"/>
  <c r="LW804" i="94"/>
  <c r="LO804" i="94"/>
  <c r="LG804" i="94"/>
  <c r="KY804" i="94"/>
  <c r="KQ804" i="94"/>
  <c r="KI804" i="94"/>
  <c r="KA804" i="94"/>
  <c r="JS804" i="94"/>
  <c r="JK804" i="94"/>
  <c r="JC804" i="94"/>
  <c r="IU804" i="94"/>
  <c r="IM804" i="94"/>
  <c r="IE804" i="94"/>
  <c r="HW804" i="94"/>
  <c r="HO804" i="94"/>
  <c r="HG804" i="94"/>
  <c r="GY804" i="94"/>
  <c r="GQ804" i="94"/>
  <c r="GI804" i="94"/>
  <c r="GA804" i="94"/>
  <c r="FS804" i="94"/>
  <c r="FK804" i="94"/>
  <c r="FC804" i="94"/>
  <c r="EU804" i="94"/>
  <c r="EM804" i="94"/>
  <c r="EE804" i="94"/>
  <c r="DW804" i="94"/>
  <c r="DO804" i="94"/>
  <c r="DG804" i="94"/>
  <c r="CY804" i="94"/>
  <c r="CQ804" i="94"/>
  <c r="CI804" i="94"/>
  <c r="CA804" i="94"/>
  <c r="BS804" i="94"/>
  <c r="BK804" i="94"/>
  <c r="BC804" i="94"/>
  <c r="ND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NC804" i="94"/>
  <c r="MK804" i="94"/>
  <c r="MC804" i="94"/>
  <c r="LU804" i="94"/>
  <c r="LM804" i="94"/>
  <c r="LE804" i="94"/>
  <c r="KW804" i="94"/>
  <c r="KO804" i="94"/>
  <c r="KG804" i="94"/>
  <c r="JY804" i="94"/>
  <c r="JQ804" i="94"/>
  <c r="JI804" i="94"/>
  <c r="JA804" i="94"/>
  <c r="IS804" i="94"/>
  <c r="IK804" i="94"/>
  <c r="IC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NB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DT804" i="94"/>
  <c r="DL804" i="94"/>
  <c r="DD804" i="94"/>
  <c r="CV804" i="94"/>
  <c r="NA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MN804" i="94"/>
  <c r="MF804" i="94"/>
  <c r="LX804" i="94"/>
  <c r="LP804" i="94"/>
  <c r="LH804" i="94"/>
  <c r="MH804" i="94"/>
  <c r="LB804" i="94"/>
  <c r="KJ804" i="94"/>
  <c r="JM804" i="94"/>
  <c r="IP804" i="94"/>
  <c r="HX804" i="94"/>
  <c r="HA804" i="94"/>
  <c r="GD804" i="94"/>
  <c r="FL804" i="94"/>
  <c r="EO804" i="94"/>
  <c r="DR804" i="94"/>
  <c r="CZ804" i="94"/>
  <c r="CF804" i="94"/>
  <c r="BU804" i="94"/>
  <c r="BG804" i="94"/>
  <c r="AV804" i="94"/>
  <c r="AJ804" i="94"/>
  <c r="Z804" i="94"/>
  <c r="MG804" i="94"/>
  <c r="LA804" i="94"/>
  <c r="KD804" i="94"/>
  <c r="JL804" i="94"/>
  <c r="IO804" i="94"/>
  <c r="HR804" i="94"/>
  <c r="GZ804" i="94"/>
  <c r="GC804" i="94"/>
  <c r="FF804" i="94"/>
  <c r="EN804" i="94"/>
  <c r="DQ804" i="94"/>
  <c r="CT804" i="94"/>
  <c r="CE804" i="94"/>
  <c r="BT804" i="94"/>
  <c r="BF804" i="94"/>
  <c r="AU804" i="94"/>
  <c r="AI804" i="94"/>
  <c r="Y804" i="94"/>
  <c r="LZ804" i="94"/>
  <c r="KZ804" i="94"/>
  <c r="KC804" i="94"/>
  <c r="JF804" i="94"/>
  <c r="IN804" i="94"/>
  <c r="HQ804" i="94"/>
  <c r="GT804" i="94"/>
  <c r="GB804" i="94"/>
  <c r="FE804" i="94"/>
  <c r="EH804" i="94"/>
  <c r="DP804" i="94"/>
  <c r="CS804" i="94"/>
  <c r="CD804" i="94"/>
  <c r="BP804" i="94"/>
  <c r="BE804" i="94"/>
  <c r="AR804" i="94"/>
  <c r="AH804" i="94"/>
  <c r="X804" i="94"/>
  <c r="LY804" i="94"/>
  <c r="KT804" i="94"/>
  <c r="KB804" i="94"/>
  <c r="JE804" i="94"/>
  <c r="IH804" i="94"/>
  <c r="HP804" i="94"/>
  <c r="GS804" i="94"/>
  <c r="FV804" i="94"/>
  <c r="FD804" i="94"/>
  <c r="EG804" i="94"/>
  <c r="DJ804" i="94"/>
  <c r="CR804" i="94"/>
  <c r="CC804" i="94"/>
  <c r="BO804" i="94"/>
  <c r="BD804" i="94"/>
  <c r="AQ804" i="94"/>
  <c r="AG804" i="94"/>
  <c r="LR804" i="94"/>
  <c r="KS804" i="94"/>
  <c r="JV804" i="94"/>
  <c r="JD804" i="94"/>
  <c r="IG804" i="94"/>
  <c r="HJ804" i="94"/>
  <c r="GR804" i="94"/>
  <c r="FU804" i="94"/>
  <c r="EX804" i="94"/>
  <c r="EF804" i="94"/>
  <c r="DI804" i="94"/>
  <c r="CN804" i="94"/>
  <c r="CB804" i="94"/>
  <c r="BN804" i="94"/>
  <c r="AZ804" i="94"/>
  <c r="AP804" i="94"/>
  <c r="AF804" i="94"/>
  <c r="LI804" i="94"/>
  <c r="IW804" i="94"/>
  <c r="GL804" i="94"/>
  <c r="EP804" i="94"/>
  <c r="CK804" i="94"/>
  <c r="AY804" i="94"/>
  <c r="AA804" i="94"/>
  <c r="KL804" i="94"/>
  <c r="IF804" i="94"/>
  <c r="GJ804" i="94"/>
  <c r="DY804" i="94"/>
  <c r="BX804" i="94"/>
  <c r="AW804" i="94"/>
  <c r="KK804" i="94"/>
  <c r="HZ804" i="94"/>
  <c r="FT804" i="94"/>
  <c r="DX804" i="94"/>
  <c r="BW804" i="94"/>
  <c r="AO804" i="94"/>
  <c r="MZ804" i="94"/>
  <c r="JU804" i="94"/>
  <c r="HY804" i="94"/>
  <c r="FN804" i="94"/>
  <c r="DH804" i="94"/>
  <c r="BV804" i="94"/>
  <c r="AN804" i="94"/>
  <c r="LJ804" i="94"/>
  <c r="IX804" i="94"/>
  <c r="HB804" i="94"/>
  <c r="EV804" i="94"/>
  <c r="CL804" i="94"/>
  <c r="BH804" i="94"/>
  <c r="AB804" i="94"/>
  <c r="MO804" i="94"/>
  <c r="GK804" i="94"/>
  <c r="BL804" i="94"/>
  <c r="LQ804" i="94"/>
  <c r="FM804" i="94"/>
  <c r="AX804" i="94"/>
  <c r="KR804" i="94"/>
  <c r="EW804" i="94"/>
  <c r="AM804" i="94"/>
  <c r="JT804" i="94"/>
  <c r="DZ804" i="94"/>
  <c r="AE804" i="94"/>
  <c r="IV804" i="94"/>
  <c r="DA804" i="94"/>
  <c r="BM804" i="94"/>
  <c r="HH804" i="94"/>
  <c r="JN804" i="94"/>
  <c r="HI804" i="94"/>
  <c r="DB804" i="94"/>
  <c r="CJ804" i="94"/>
  <c r="LY803" i="94"/>
  <c r="LQ803" i="94"/>
  <c r="FV803" i="94"/>
  <c r="FN803" i="94"/>
  <c r="FF803" i="94"/>
  <c r="LX803" i="94"/>
  <c r="IB803" i="94"/>
  <c r="FU803" i="94"/>
  <c r="FM803" i="94"/>
  <c r="LS803" i="94"/>
  <c r="FT803" i="94"/>
  <c r="FJ803" i="94"/>
  <c r="FA803" i="94"/>
  <c r="ES803" i="94"/>
  <c r="EK803" i="94"/>
  <c r="DV803" i="94"/>
  <c r="BK803" i="94"/>
  <c r="BC803" i="94"/>
  <c r="AU803" i="94"/>
  <c r="AM803" i="94"/>
  <c r="AE803" i="94"/>
  <c r="LR803" i="94"/>
  <c r="FS803" i="94"/>
  <c r="FI803" i="94"/>
  <c r="EZ803" i="94"/>
  <c r="ER803" i="94"/>
  <c r="EJ803" i="94"/>
  <c r="DN803" i="94"/>
  <c r="BJ803" i="94"/>
  <c r="BB803" i="94"/>
  <c r="AT803" i="94"/>
  <c r="AL803" i="94"/>
  <c r="AD803" i="94"/>
  <c r="GF803" i="94"/>
  <c r="FR803" i="94"/>
  <c r="FH803" i="94"/>
  <c r="EY803" i="94"/>
  <c r="EQ803" i="94"/>
  <c r="EI803" i="94"/>
  <c r="DF803" i="94"/>
  <c r="BI803" i="94"/>
  <c r="BA803" i="94"/>
  <c r="AS803" i="94"/>
  <c r="AK803" i="94"/>
  <c r="AC803" i="94"/>
  <c r="LZ803" i="94"/>
  <c r="GE803" i="94"/>
  <c r="FQ803" i="94"/>
  <c r="FG803" i="94"/>
  <c r="EX803" i="94"/>
  <c r="EP803" i="94"/>
  <c r="EH803" i="94"/>
  <c r="CX803" i="94"/>
  <c r="BH803" i="94"/>
  <c r="AZ803" i="94"/>
  <c r="AR803" i="94"/>
  <c r="AJ803" i="94"/>
  <c r="AB803" i="94"/>
  <c r="LW803" i="94"/>
  <c r="GD803" i="94"/>
  <c r="FP803" i="94"/>
  <c r="FE803" i="94"/>
  <c r="EW803" i="94"/>
  <c r="EO803" i="94"/>
  <c r="EG803" i="94"/>
  <c r="CP803" i="94"/>
  <c r="BG803" i="94"/>
  <c r="AY803" i="94"/>
  <c r="AQ803" i="94"/>
  <c r="AI803" i="94"/>
  <c r="AA803" i="94"/>
  <c r="FL803" i="94"/>
  <c r="EN803" i="94"/>
  <c r="BR803" i="94"/>
  <c r="AO803" i="94"/>
  <c r="LU803" i="94"/>
  <c r="FD803" i="94"/>
  <c r="EL803" i="94"/>
  <c r="BE803" i="94"/>
  <c r="AH803" i="94"/>
  <c r="LT803" i="94"/>
  <c r="FC803" i="94"/>
  <c r="EF803" i="94"/>
  <c r="BD803" i="94"/>
  <c r="AG803" i="94"/>
  <c r="GC803" i="94"/>
  <c r="FB803" i="94"/>
  <c r="EE803" i="94"/>
  <c r="AX803" i="94"/>
  <c r="AF803" i="94"/>
  <c r="FO803" i="94"/>
  <c r="ET803" i="94"/>
  <c r="BZ803" i="94"/>
  <c r="AP803" i="94"/>
  <c r="X803" i="94"/>
  <c r="EV803" i="94"/>
  <c r="AN803" i="94"/>
  <c r="EU803" i="94"/>
  <c r="Z803" i="94"/>
  <c r="EM803" i="94"/>
  <c r="Y803" i="94"/>
  <c r="ED803" i="94"/>
  <c r="GB803" i="94"/>
  <c r="BF803" i="94"/>
  <c r="LV803" i="94"/>
  <c r="FZ803" i="94"/>
  <c r="AW803" i="94"/>
  <c r="CH803" i="94"/>
  <c r="FK803" i="94"/>
  <c r="AV803" i="94"/>
  <c r="ND802" i="94"/>
  <c r="ML802" i="94"/>
  <c r="MD802" i="94"/>
  <c r="LV802" i="94"/>
  <c r="LN802" i="94"/>
  <c r="LF802" i="94"/>
  <c r="KX802" i="94"/>
  <c r="KP802" i="94"/>
  <c r="KH802" i="94"/>
  <c r="NC802" i="94"/>
  <c r="MK802" i="94"/>
  <c r="MC802" i="94"/>
  <c r="LU802" i="94"/>
  <c r="LM802" i="94"/>
  <c r="LE802" i="94"/>
  <c r="KW802" i="94"/>
  <c r="KO802" i="94"/>
  <c r="KG802" i="94"/>
  <c r="NB802" i="94"/>
  <c r="MJ802" i="94"/>
  <c r="MB802" i="94"/>
  <c r="LT802" i="94"/>
  <c r="LL802" i="94"/>
  <c r="LD802" i="94"/>
  <c r="KV802" i="94"/>
  <c r="KN802" i="94"/>
  <c r="KF802" i="94"/>
  <c r="JX802" i="94"/>
  <c r="JP802" i="94"/>
  <c r="JH802" i="94"/>
  <c r="IZ802" i="94"/>
  <c r="IR802" i="94"/>
  <c r="IJ802" i="94"/>
  <c r="IB802" i="94"/>
  <c r="HT802" i="94"/>
  <c r="HL802" i="94"/>
  <c r="HD802" i="94"/>
  <c r="GV802" i="94"/>
  <c r="GN802" i="94"/>
  <c r="GF802" i="94"/>
  <c r="FX802" i="94"/>
  <c r="FP802" i="94"/>
  <c r="FH802" i="94"/>
  <c r="EZ802" i="94"/>
  <c r="ER802" i="94"/>
  <c r="EJ802" i="94"/>
  <c r="EB802" i="94"/>
  <c r="DT802" i="94"/>
  <c r="DL802" i="94"/>
  <c r="DD802" i="94"/>
  <c r="CV802" i="94"/>
  <c r="CN802" i="94"/>
  <c r="CF802" i="94"/>
  <c r="BX802" i="94"/>
  <c r="BP802" i="94"/>
  <c r="BH802" i="94"/>
  <c r="AZ802" i="94"/>
  <c r="AR802" i="94"/>
  <c r="AJ802" i="94"/>
  <c r="AB802" i="94"/>
  <c r="NA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MZ802" i="94"/>
  <c r="MH802" i="94"/>
  <c r="LZ802" i="94"/>
  <c r="LR802" i="94"/>
  <c r="LJ802" i="94"/>
  <c r="LB802" i="94"/>
  <c r="KT802" i="94"/>
  <c r="KL802" i="94"/>
  <c r="KD802" i="94"/>
  <c r="JV802" i="94"/>
  <c r="JN802" i="94"/>
  <c r="JF802" i="94"/>
  <c r="IX802" i="94"/>
  <c r="IP802" i="94"/>
  <c r="IH802" i="94"/>
  <c r="HZ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MO802" i="94"/>
  <c r="LW802" i="94"/>
  <c r="KZ802" i="94"/>
  <c r="KC802" i="94"/>
  <c r="JR802" i="94"/>
  <c r="JD802" i="94"/>
  <c r="IS802" i="94"/>
  <c r="IE802" i="94"/>
  <c r="HQ802" i="94"/>
  <c r="HF802" i="94"/>
  <c r="GR802" i="94"/>
  <c r="GG802" i="94"/>
  <c r="FS802" i="94"/>
  <c r="FE802" i="94"/>
  <c r="ET802" i="94"/>
  <c r="EF802" i="94"/>
  <c r="DU802" i="94"/>
  <c r="DG802" i="94"/>
  <c r="CS802" i="94"/>
  <c r="CH802" i="94"/>
  <c r="BT802" i="94"/>
  <c r="BI802" i="94"/>
  <c r="AW802" i="94"/>
  <c r="AM802" i="94"/>
  <c r="AC802" i="94"/>
  <c r="MM802" i="94"/>
  <c r="LP802" i="94"/>
  <c r="KS802" i="94"/>
  <c r="KA802" i="94"/>
  <c r="JM802" i="94"/>
  <c r="JB802" i="94"/>
  <c r="IN802" i="94"/>
  <c r="IC802" i="94"/>
  <c r="HO802" i="94"/>
  <c r="HA802" i="94"/>
  <c r="GP802" i="94"/>
  <c r="GB802" i="94"/>
  <c r="FQ802" i="94"/>
  <c r="FC802" i="94"/>
  <c r="EO802" i="94"/>
  <c r="ED802" i="94"/>
  <c r="DP802" i="94"/>
  <c r="DE802" i="94"/>
  <c r="CQ802" i="94"/>
  <c r="CC802" i="94"/>
  <c r="BR802" i="94"/>
  <c r="BE802" i="94"/>
  <c r="AU802" i="94"/>
  <c r="AK802" i="94"/>
  <c r="Y802" i="94"/>
  <c r="MG802" i="94"/>
  <c r="LO802" i="94"/>
  <c r="KR802" i="94"/>
  <c r="JZ802" i="94"/>
  <c r="JL802" i="94"/>
  <c r="JA802" i="94"/>
  <c r="IM802" i="94"/>
  <c r="HY802" i="94"/>
  <c r="HN802" i="94"/>
  <c r="GZ802" i="94"/>
  <c r="GO802" i="94"/>
  <c r="GA802" i="94"/>
  <c r="FM802" i="94"/>
  <c r="FB802" i="94"/>
  <c r="EN802" i="94"/>
  <c r="EC802" i="94"/>
  <c r="DO802" i="94"/>
  <c r="DA802" i="94"/>
  <c r="CP802" i="94"/>
  <c r="CB802" i="94"/>
  <c r="BQ802" i="94"/>
  <c r="BD802" i="94"/>
  <c r="AT802" i="94"/>
  <c r="AH802" i="94"/>
  <c r="X802" i="94"/>
  <c r="MF802" i="94"/>
  <c r="LI802" i="94"/>
  <c r="KQ802" i="94"/>
  <c r="JY802" i="94"/>
  <c r="JK802" i="94"/>
  <c r="IW802" i="94"/>
  <c r="IL802" i="94"/>
  <c r="HX802" i="94"/>
  <c r="HM802" i="94"/>
  <c r="GY802" i="94"/>
  <c r="GK802" i="94"/>
  <c r="FZ802" i="94"/>
  <c r="FL802" i="94"/>
  <c r="FA802" i="94"/>
  <c r="EM802" i="94"/>
  <c r="DY802" i="94"/>
  <c r="DN802" i="94"/>
  <c r="CZ802" i="94"/>
  <c r="CO802" i="94"/>
  <c r="CA802" i="94"/>
  <c r="BM802" i="94"/>
  <c r="BC802" i="94"/>
  <c r="AS802" i="94"/>
  <c r="AG802" i="94"/>
  <c r="LX802" i="94"/>
  <c r="LA802" i="94"/>
  <c r="KI802" i="94"/>
  <c r="JS802" i="94"/>
  <c r="JE802" i="94"/>
  <c r="IT802" i="94"/>
  <c r="IF802" i="94"/>
  <c r="HU802" i="94"/>
  <c r="HG802" i="94"/>
  <c r="GS802" i="94"/>
  <c r="GH802" i="94"/>
  <c r="FT802" i="94"/>
  <c r="FI802" i="94"/>
  <c r="EU802" i="94"/>
  <c r="EG802" i="94"/>
  <c r="DV802" i="94"/>
  <c r="DH802" i="94"/>
  <c r="CW802" i="94"/>
  <c r="CI802" i="94"/>
  <c r="BU802" i="94"/>
  <c r="LG802" i="94"/>
  <c r="JJ802" i="94"/>
  <c r="ID802" i="94"/>
  <c r="GW802" i="94"/>
  <c r="FK802" i="94"/>
  <c r="EE802" i="94"/>
  <c r="CX802" i="94"/>
  <c r="BL802" i="94"/>
  <c r="AP802" i="94"/>
  <c r="KY802" i="94"/>
  <c r="JI802" i="94"/>
  <c r="HW802" i="94"/>
  <c r="GQ802" i="94"/>
  <c r="FJ802" i="94"/>
  <c r="DX802" i="94"/>
  <c r="CR802" i="94"/>
  <c r="BK802" i="94"/>
  <c r="AO802" i="94"/>
  <c r="KK802" i="94"/>
  <c r="JC802" i="94"/>
  <c r="HV802" i="94"/>
  <c r="GJ802" i="94"/>
  <c r="FD802" i="94"/>
  <c r="DW802" i="94"/>
  <c r="CK802" i="94"/>
  <c r="BJ802" i="94"/>
  <c r="AN802" i="94"/>
  <c r="MN802" i="94"/>
  <c r="KJ802" i="94"/>
  <c r="IV802" i="94"/>
  <c r="HP802" i="94"/>
  <c r="GI802" i="94"/>
  <c r="EW802" i="94"/>
  <c r="DQ802" i="94"/>
  <c r="CJ802" i="94"/>
  <c r="BF802" i="94"/>
  <c r="AL802" i="94"/>
  <c r="LY802" i="94"/>
  <c r="JU802" i="94"/>
  <c r="IO802" i="94"/>
  <c r="HH802" i="94"/>
  <c r="FY802" i="94"/>
  <c r="ES802" i="94"/>
  <c r="DI802" i="94"/>
  <c r="BZ802" i="94"/>
  <c r="BA802" i="94"/>
  <c r="AE802" i="94"/>
  <c r="LQ802" i="94"/>
  <c r="HI802" i="94"/>
  <c r="EK802" i="94"/>
  <c r="AX802" i="94"/>
  <c r="LH802" i="94"/>
  <c r="HE802" i="94"/>
  <c r="DM802" i="94"/>
  <c r="AV802" i="94"/>
  <c r="KB802" i="94"/>
  <c r="GX802" i="94"/>
  <c r="DF802" i="94"/>
  <c r="AF802" i="94"/>
  <c r="IU802" i="94"/>
  <c r="FR802" i="94"/>
  <c r="BY802" i="94"/>
  <c r="JT802" i="94"/>
  <c r="CY802" i="94"/>
  <c r="JQ802" i="94"/>
  <c r="CG802" i="94"/>
  <c r="IK802" i="94"/>
  <c r="BS802" i="94"/>
  <c r="IG802" i="94"/>
  <c r="BB802" i="94"/>
  <c r="FU802" i="94"/>
  <c r="Z802" i="94"/>
  <c r="AD802" i="94"/>
  <c r="ME802" i="94"/>
  <c r="GC802" i="94"/>
  <c r="EL802" i="94"/>
  <c r="EV802"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T801" i="94"/>
  <c r="GA801" i="94"/>
  <c r="FQ801" i="94"/>
  <c r="FE801" i="94"/>
  <c r="EU801" i="94"/>
  <c r="EK801" i="94"/>
  <c r="DY801" i="94"/>
  <c r="DO801" i="94"/>
  <c r="DE801" i="94"/>
  <c r="CS801" i="94"/>
  <c r="CI801" i="94"/>
  <c r="BY801" i="94"/>
  <c r="BM801" i="94"/>
  <c r="BC801" i="94"/>
  <c r="AS801" i="94"/>
  <c r="AG801" i="94"/>
  <c r="LR801" i="94"/>
  <c r="FY801" i="94"/>
  <c r="FM801" i="94"/>
  <c r="FC801" i="94"/>
  <c r="ES801" i="94"/>
  <c r="EG801" i="94"/>
  <c r="DW801" i="94"/>
  <c r="DM801" i="94"/>
  <c r="DA801" i="94"/>
  <c r="CQ801" i="94"/>
  <c r="CG801" i="94"/>
  <c r="BU801" i="94"/>
  <c r="BK801" i="94"/>
  <c r="BA801" i="94"/>
  <c r="AO801" i="94"/>
  <c r="AE801" i="94"/>
  <c r="LQ801" i="94"/>
  <c r="LZ801" i="94"/>
  <c r="GB801" i="94"/>
  <c r="FL801" i="94"/>
  <c r="EX801" i="94"/>
  <c r="EL801" i="94"/>
  <c r="DV801" i="94"/>
  <c r="DH801" i="94"/>
  <c r="CT801" i="94"/>
  <c r="CD801" i="94"/>
  <c r="BR801" i="94"/>
  <c r="BD801" i="94"/>
  <c r="AN801" i="94"/>
  <c r="Z801" i="94"/>
  <c r="LY801" i="94"/>
  <c r="FZ801" i="94"/>
  <c r="FK801" i="94"/>
  <c r="EW801" i="94"/>
  <c r="EH801" i="94"/>
  <c r="DU801" i="94"/>
  <c r="DG801" i="94"/>
  <c r="CR801" i="94"/>
  <c r="CC801" i="94"/>
  <c r="BQ801" i="94"/>
  <c r="BB801" i="94"/>
  <c r="AM801" i="94"/>
  <c r="Y801" i="94"/>
  <c r="LX801" i="94"/>
  <c r="FV801" i="94"/>
  <c r="FJ801" i="94"/>
  <c r="EV801" i="94"/>
  <c r="EF801" i="94"/>
  <c r="DR801" i="94"/>
  <c r="DF801" i="94"/>
  <c r="CP801" i="94"/>
  <c r="CB801" i="94"/>
  <c r="BN801" i="94"/>
  <c r="AX801" i="94"/>
  <c r="AL801" i="94"/>
  <c r="X801" i="94"/>
  <c r="LU801" i="94"/>
  <c r="FU801" i="94"/>
  <c r="FI801" i="94"/>
  <c r="ET801" i="94"/>
  <c r="EE801" i="94"/>
  <c r="DQ801" i="94"/>
  <c r="DB801" i="94"/>
  <c r="CO801" i="94"/>
  <c r="CA801" i="94"/>
  <c r="BL801" i="94"/>
  <c r="AW801" i="94"/>
  <c r="AK801" i="94"/>
  <c r="ID801" i="94"/>
  <c r="FS801" i="94"/>
  <c r="FD801" i="94"/>
  <c r="EO801" i="94"/>
  <c r="EC801" i="94"/>
  <c r="DN801" i="94"/>
  <c r="CY801" i="94"/>
  <c r="CK801" i="94"/>
  <c r="BV801" i="94"/>
  <c r="BI801" i="94"/>
  <c r="AU801" i="94"/>
  <c r="AF801" i="94"/>
  <c r="FT801" i="94"/>
  <c r="EM801" i="94"/>
  <c r="CX801" i="94"/>
  <c r="BJ801" i="94"/>
  <c r="AC801" i="94"/>
  <c r="FR801" i="94"/>
  <c r="ED801" i="94"/>
  <c r="CW801" i="94"/>
  <c r="BF801" i="94"/>
  <c r="FN801" i="94"/>
  <c r="DZ801" i="94"/>
  <c r="CL801" i="94"/>
  <c r="BE801" i="94"/>
  <c r="LS801" i="94"/>
  <c r="FA801" i="94"/>
  <c r="DJ801" i="94"/>
  <c r="BZ801" i="94"/>
  <c r="AP801" i="94"/>
  <c r="FF801" i="94"/>
  <c r="CJ801" i="94"/>
  <c r="FB801" i="94"/>
  <c r="CH801" i="94"/>
  <c r="EP801" i="94"/>
  <c r="BT801" i="94"/>
  <c r="EN801" i="94"/>
  <c r="BS801" i="94"/>
  <c r="DP801" i="94"/>
  <c r="AT801" i="94"/>
  <c r="AD801" i="94"/>
  <c r="GD801" i="94"/>
  <c r="GC801" i="94"/>
  <c r="DX801" i="94"/>
  <c r="DI801" i="94"/>
  <c r="CZ801" i="94"/>
  <c r="AH801" i="94"/>
  <c r="AV801" i="94"/>
  <c r="NA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MZ800" i="94"/>
  <c r="MH800" i="94"/>
  <c r="LZ800" i="94"/>
  <c r="LR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ND800" i="94"/>
  <c r="MJ800" i="94"/>
  <c r="LX800" i="94"/>
  <c r="LN800" i="94"/>
  <c r="LD800" i="94"/>
  <c r="KR800" i="94"/>
  <c r="KH800" i="94"/>
  <c r="JX800" i="94"/>
  <c r="JL800" i="94"/>
  <c r="JB800" i="94"/>
  <c r="IR800" i="94"/>
  <c r="IF800" i="94"/>
  <c r="HV800" i="94"/>
  <c r="HL800" i="94"/>
  <c r="GZ800" i="94"/>
  <c r="GP800" i="94"/>
  <c r="GF800" i="94"/>
  <c r="FT800" i="94"/>
  <c r="FJ800" i="94"/>
  <c r="EZ800" i="94"/>
  <c r="EN800" i="94"/>
  <c r="ED800" i="94"/>
  <c r="DT800" i="94"/>
  <c r="DH800" i="94"/>
  <c r="CX800" i="94"/>
  <c r="CN800" i="94"/>
  <c r="CB800" i="94"/>
  <c r="BR800" i="94"/>
  <c r="BH800" i="94"/>
  <c r="NB800" i="94"/>
  <c r="MF800" i="94"/>
  <c r="LV800" i="94"/>
  <c r="LL800" i="94"/>
  <c r="KZ800" i="94"/>
  <c r="KP800" i="94"/>
  <c r="KF800" i="94"/>
  <c r="JT800" i="94"/>
  <c r="JJ800" i="94"/>
  <c r="IZ800" i="94"/>
  <c r="IN800" i="94"/>
  <c r="ID800" i="94"/>
  <c r="HT800" i="94"/>
  <c r="HH800" i="94"/>
  <c r="GX800" i="94"/>
  <c r="GN800" i="94"/>
  <c r="GB800" i="94"/>
  <c r="FR800" i="94"/>
  <c r="FH800" i="94"/>
  <c r="EV800" i="94"/>
  <c r="EL800" i="94"/>
  <c r="EB800" i="94"/>
  <c r="DP800" i="94"/>
  <c r="DF800" i="94"/>
  <c r="CV800" i="94"/>
  <c r="CJ800" i="94"/>
  <c r="BZ800" i="94"/>
  <c r="BP800" i="94"/>
  <c r="BD800" i="94"/>
  <c r="MK800" i="94"/>
  <c r="LU800" i="94"/>
  <c r="LG800" i="94"/>
  <c r="KS800" i="94"/>
  <c r="KC800" i="94"/>
  <c r="JQ800" i="94"/>
  <c r="JC800" i="94"/>
  <c r="IM800" i="94"/>
  <c r="HY800" i="94"/>
  <c r="HM800" i="94"/>
  <c r="GW800" i="94"/>
  <c r="GI800" i="94"/>
  <c r="FU800" i="94"/>
  <c r="FE800" i="94"/>
  <c r="ES800" i="94"/>
  <c r="EE800" i="94"/>
  <c r="DO800" i="94"/>
  <c r="DA800" i="94"/>
  <c r="CO800" i="94"/>
  <c r="BY800" i="94"/>
  <c r="BK800" i="94"/>
  <c r="AW800" i="94"/>
  <c r="AM800" i="94"/>
  <c r="AC800" i="94"/>
  <c r="MG800" i="94"/>
  <c r="LT800" i="94"/>
  <c r="LF800" i="94"/>
  <c r="KQ800" i="94"/>
  <c r="KB800" i="94"/>
  <c r="JP800" i="94"/>
  <c r="JA800" i="94"/>
  <c r="IL800" i="94"/>
  <c r="HX800" i="94"/>
  <c r="HI800" i="94"/>
  <c r="GV800" i="94"/>
  <c r="GH800" i="94"/>
  <c r="FS800" i="94"/>
  <c r="FD800" i="94"/>
  <c r="ER800" i="94"/>
  <c r="EC800" i="94"/>
  <c r="DN800" i="94"/>
  <c r="CZ800" i="94"/>
  <c r="CK800" i="94"/>
  <c r="BX800" i="94"/>
  <c r="BJ800" i="94"/>
  <c r="AV800" i="94"/>
  <c r="AL800" i="94"/>
  <c r="AB800" i="94"/>
  <c r="ME800" i="94"/>
  <c r="LQ800" i="94"/>
  <c r="LE800" i="94"/>
  <c r="KO800" i="94"/>
  <c r="KA800" i="94"/>
  <c r="JM800" i="94"/>
  <c r="IW800" i="94"/>
  <c r="IK800" i="94"/>
  <c r="HW800" i="94"/>
  <c r="HG800" i="94"/>
  <c r="GS800" i="94"/>
  <c r="GG800" i="94"/>
  <c r="FQ800" i="94"/>
  <c r="FC800" i="94"/>
  <c r="EO800" i="94"/>
  <c r="DY800" i="94"/>
  <c r="DM800" i="94"/>
  <c r="CY800" i="94"/>
  <c r="CI800" i="94"/>
  <c r="BU800" i="94"/>
  <c r="BI800" i="94"/>
  <c r="AU800" i="94"/>
  <c r="AK800" i="94"/>
  <c r="Y800" i="94"/>
  <c r="NC800" i="94"/>
  <c r="MD800" i="94"/>
  <c r="LP800" i="94"/>
  <c r="LA800" i="94"/>
  <c r="KN800" i="94"/>
  <c r="JZ800" i="94"/>
  <c r="JK800" i="94"/>
  <c r="IV800" i="94"/>
  <c r="IJ800" i="94"/>
  <c r="HU800" i="94"/>
  <c r="HF800" i="94"/>
  <c r="GR800" i="94"/>
  <c r="GC800" i="94"/>
  <c r="FP800" i="94"/>
  <c r="FB800" i="94"/>
  <c r="EM800" i="94"/>
  <c r="DX800" i="94"/>
  <c r="DL800" i="94"/>
  <c r="CW800" i="94"/>
  <c r="CH800" i="94"/>
  <c r="BT800" i="94"/>
  <c r="BE800" i="94"/>
  <c r="AT800" i="94"/>
  <c r="AJ800" i="94"/>
  <c r="X800" i="94"/>
  <c r="MN800" i="94"/>
  <c r="MB800" i="94"/>
  <c r="LM800" i="94"/>
  <c r="KX800" i="94"/>
  <c r="KJ800" i="94"/>
  <c r="JU800" i="94"/>
  <c r="JH800" i="94"/>
  <c r="IT800" i="94"/>
  <c r="IE800" i="94"/>
  <c r="HP800" i="94"/>
  <c r="HD800" i="94"/>
  <c r="GO800" i="94"/>
  <c r="FZ800" i="94"/>
  <c r="FL800" i="94"/>
  <c r="EW800" i="94"/>
  <c r="EJ800" i="94"/>
  <c r="DV800" i="94"/>
  <c r="DG800" i="94"/>
  <c r="CR800" i="94"/>
  <c r="CF800" i="94"/>
  <c r="BQ800" i="94"/>
  <c r="BB800" i="94"/>
  <c r="AR800" i="94"/>
  <c r="AF800" i="94"/>
  <c r="LI800" i="94"/>
  <c r="JY800" i="94"/>
  <c r="IO800" i="94"/>
  <c r="HA800" i="94"/>
  <c r="FM800" i="94"/>
  <c r="EF800" i="94"/>
  <c r="CQ800" i="94"/>
  <c r="BC800" i="94"/>
  <c r="AD800" i="94"/>
  <c r="MO800" i="94"/>
  <c r="LH800" i="94"/>
  <c r="JS800" i="94"/>
  <c r="IG800" i="94"/>
  <c r="GY800" i="94"/>
  <c r="FK800" i="94"/>
  <c r="DW800" i="94"/>
  <c r="CP800" i="94"/>
  <c r="BA800" i="94"/>
  <c r="MM800" i="94"/>
  <c r="KY800" i="94"/>
  <c r="JR800" i="94"/>
  <c r="IC800" i="94"/>
  <c r="GQ800" i="94"/>
  <c r="FI800" i="94"/>
  <c r="DU800" i="94"/>
  <c r="CG800" i="94"/>
  <c r="AZ800" i="94"/>
  <c r="LY800" i="94"/>
  <c r="KK800" i="94"/>
  <c r="JD800" i="94"/>
  <c r="HO800" i="94"/>
  <c r="GA800" i="94"/>
  <c r="ET800" i="94"/>
  <c r="DE800" i="94"/>
  <c r="BS800" i="94"/>
  <c r="AN800" i="94"/>
  <c r="ML800" i="94"/>
  <c r="JI800" i="94"/>
  <c r="GK800" i="94"/>
  <c r="DQ800" i="94"/>
  <c r="AS800" i="94"/>
  <c r="MC800" i="94"/>
  <c r="JE800" i="94"/>
  <c r="GJ800" i="94"/>
  <c r="DI800" i="94"/>
  <c r="AO800" i="94"/>
  <c r="LW800" i="94"/>
  <c r="IU800" i="94"/>
  <c r="FY800" i="94"/>
  <c r="DD800" i="94"/>
  <c r="AG800" i="94"/>
  <c r="LO800" i="94"/>
  <c r="IS800" i="94"/>
  <c r="FX800" i="94"/>
  <c r="CS800" i="94"/>
  <c r="AE800" i="94"/>
  <c r="KV800" i="94"/>
  <c r="HQ800" i="94"/>
  <c r="EU800" i="94"/>
  <c r="CA800" i="94"/>
  <c r="EK800" i="94"/>
  <c r="KW800" i="94"/>
  <c r="EG800" i="94"/>
  <c r="KI800" i="94"/>
  <c r="CC800" i="94"/>
  <c r="KG800" i="94"/>
  <c r="BM800" i="94"/>
  <c r="IB800" i="94"/>
  <c r="BL800" i="94"/>
  <c r="HN800" i="94"/>
  <c r="FA800" i="94"/>
  <c r="HE800" i="94"/>
  <c r="LV799" i="94"/>
  <c r="GE799" i="94"/>
  <c r="FR799" i="94"/>
  <c r="FJ799" i="94"/>
  <c r="FB799" i="94"/>
  <c r="ET799" i="94"/>
  <c r="EL799" i="94"/>
  <c r="ED799" i="94"/>
  <c r="BE799" i="94"/>
  <c r="AW799" i="94"/>
  <c r="AO799" i="94"/>
  <c r="AG799" i="94"/>
  <c r="Y799" i="94"/>
  <c r="LU799" i="94"/>
  <c r="GD799" i="94"/>
  <c r="FQ799" i="94"/>
  <c r="FI799" i="94"/>
  <c r="FA799" i="94"/>
  <c r="ES799" i="94"/>
  <c r="EK799" i="94"/>
  <c r="DC799" i="94"/>
  <c r="BD799" i="94"/>
  <c r="AV799" i="94"/>
  <c r="AN799" i="94"/>
  <c r="AF799" i="94"/>
  <c r="X799" i="94"/>
  <c r="LT799" i="94"/>
  <c r="FV799" i="94"/>
  <c r="FL799" i="94"/>
  <c r="EZ799" i="94"/>
  <c r="EP799" i="94"/>
  <c r="EF799" i="94"/>
  <c r="BC799" i="94"/>
  <c r="AS799" i="94"/>
  <c r="AI799" i="94"/>
  <c r="LS799" i="94"/>
  <c r="FU799" i="94"/>
  <c r="FK799" i="94"/>
  <c r="EY799" i="94"/>
  <c r="EO799" i="94"/>
  <c r="LR799" i="94"/>
  <c r="FT799" i="94"/>
  <c r="FH799" i="94"/>
  <c r="EX799" i="94"/>
  <c r="EN799" i="94"/>
  <c r="BK799" i="94"/>
  <c r="BA799" i="94"/>
  <c r="AQ799" i="94"/>
  <c r="AE799" i="94"/>
  <c r="LQ799" i="94"/>
  <c r="FS799" i="94"/>
  <c r="FG799" i="94"/>
  <c r="EW799" i="94"/>
  <c r="EM799" i="94"/>
  <c r="BJ799" i="94"/>
  <c r="AZ799" i="94"/>
  <c r="AP799" i="94"/>
  <c r="AD799" i="94"/>
  <c r="LY799" i="94"/>
  <c r="GF799" i="94"/>
  <c r="FO799" i="94"/>
  <c r="EU799" i="94"/>
  <c r="BI799" i="94"/>
  <c r="AT799" i="94"/>
  <c r="AB799" i="94"/>
  <c r="LZ799" i="94"/>
  <c r="FN799" i="94"/>
  <c r="ER799" i="94"/>
  <c r="BH799" i="94"/>
  <c r="AR799" i="94"/>
  <c r="AA799" i="94"/>
  <c r="LX799" i="94"/>
  <c r="FM799" i="94"/>
  <c r="EQ799" i="94"/>
  <c r="BG799" i="94"/>
  <c r="AM799" i="94"/>
  <c r="Z799" i="94"/>
  <c r="GC799" i="94"/>
  <c r="FD799" i="94"/>
  <c r="EH799" i="94"/>
  <c r="AY799" i="94"/>
  <c r="AJ799" i="94"/>
  <c r="FF799" i="94"/>
  <c r="BF799" i="94"/>
  <c r="FE799" i="94"/>
  <c r="BB799" i="94"/>
  <c r="FC799" i="94"/>
  <c r="AX799" i="94"/>
  <c r="EV799" i="94"/>
  <c r="AU799" i="94"/>
  <c r="HZ799" i="94"/>
  <c r="EI799" i="94"/>
  <c r="AK799" i="94"/>
  <c r="EJ799" i="94"/>
  <c r="EG799" i="94"/>
  <c r="EE799" i="94"/>
  <c r="AL799" i="94"/>
  <c r="AH799" i="94"/>
  <c r="LW799" i="94"/>
  <c r="AC799" i="94"/>
  <c r="FP799" i="94"/>
  <c r="GB799" i="94"/>
  <c r="MN798" i="94"/>
  <c r="MF798" i="94"/>
  <c r="LX798" i="94"/>
  <c r="LP798" i="94"/>
  <c r="LH798" i="94"/>
  <c r="KZ798" i="94"/>
  <c r="KR798" i="94"/>
  <c r="KJ798" i="94"/>
  <c r="KB798" i="94"/>
  <c r="JT798" i="94"/>
  <c r="JL798" i="94"/>
  <c r="MM798" i="94"/>
  <c r="ME798" i="94"/>
  <c r="LW798" i="94"/>
  <c r="LO798" i="94"/>
  <c r="LG798" i="94"/>
  <c r="KY798" i="94"/>
  <c r="KQ798" i="94"/>
  <c r="KI798" i="94"/>
  <c r="KA798" i="94"/>
  <c r="JS798" i="94"/>
  <c r="JK798" i="94"/>
  <c r="ND798" i="94"/>
  <c r="MJ798" i="94"/>
  <c r="LZ798" i="94"/>
  <c r="LN798" i="94"/>
  <c r="LD798" i="94"/>
  <c r="KT798" i="94"/>
  <c r="KH798" i="94"/>
  <c r="JX798" i="94"/>
  <c r="JN798" i="94"/>
  <c r="JD798" i="94"/>
  <c r="IV798" i="94"/>
  <c r="IN798" i="94"/>
  <c r="IF798" i="94"/>
  <c r="HX798" i="94"/>
  <c r="HP798" i="94"/>
  <c r="HH798" i="94"/>
  <c r="GZ798" i="94"/>
  <c r="GR798" i="94"/>
  <c r="GJ798" i="94"/>
  <c r="GB798" i="94"/>
  <c r="FO798" i="94"/>
  <c r="FG798" i="94"/>
  <c r="EY798" i="94"/>
  <c r="EQ798" i="94"/>
  <c r="EI798" i="94"/>
  <c r="NA798" i="94"/>
  <c r="MG798" i="94"/>
  <c r="LU798" i="94"/>
  <c r="LK798" i="94"/>
  <c r="LA798" i="94"/>
  <c r="KO798" i="94"/>
  <c r="KE798" i="94"/>
  <c r="JU798" i="94"/>
  <c r="JI798" i="94"/>
  <c r="JA798" i="94"/>
  <c r="IS798" i="94"/>
  <c r="IK798" i="94"/>
  <c r="IC798" i="94"/>
  <c r="HU798" i="94"/>
  <c r="HM798" i="94"/>
  <c r="HE798" i="94"/>
  <c r="GW798" i="94"/>
  <c r="GO798" i="94"/>
  <c r="GG798" i="94"/>
  <c r="FT798" i="94"/>
  <c r="FL798" i="94"/>
  <c r="FD798" i="94"/>
  <c r="EV798" i="94"/>
  <c r="EN798" i="94"/>
  <c r="MK798" i="94"/>
  <c r="LV798" i="94"/>
  <c r="LI798" i="94"/>
  <c r="KU798" i="94"/>
  <c r="KF798" i="94"/>
  <c r="JQ798" i="94"/>
  <c r="JE798" i="94"/>
  <c r="IT798" i="94"/>
  <c r="II798" i="94"/>
  <c r="HY798" i="94"/>
  <c r="HN798" i="94"/>
  <c r="HC798" i="94"/>
  <c r="GS798" i="94"/>
  <c r="GH798" i="94"/>
  <c r="FR798" i="94"/>
  <c r="FH798" i="94"/>
  <c r="EW798" i="94"/>
  <c r="EL798" i="94"/>
  <c r="BK798" i="94"/>
  <c r="BC798" i="94"/>
  <c r="AU798" i="94"/>
  <c r="AM798" i="94"/>
  <c r="AE798" i="94"/>
  <c r="MI798" i="94"/>
  <c r="LT798" i="94"/>
  <c r="LF798" i="94"/>
  <c r="KS798" i="94"/>
  <c r="KD798" i="94"/>
  <c r="JP798" i="94"/>
  <c r="JC798" i="94"/>
  <c r="IR798" i="94"/>
  <c r="IH798" i="94"/>
  <c r="HW798" i="94"/>
  <c r="HL798" i="94"/>
  <c r="HB798" i="94"/>
  <c r="GQ798" i="94"/>
  <c r="GF798" i="94"/>
  <c r="FQ798" i="94"/>
  <c r="FF798" i="94"/>
  <c r="EU798" i="94"/>
  <c r="EK798" i="94"/>
  <c r="BJ798" i="94"/>
  <c r="BB798" i="94"/>
  <c r="AT798" i="94"/>
  <c r="AL798" i="94"/>
  <c r="AD798" i="94"/>
  <c r="MH798" i="94"/>
  <c r="LS798" i="94"/>
  <c r="LE798" i="94"/>
  <c r="KP798" i="94"/>
  <c r="KC798" i="94"/>
  <c r="JO798" i="94"/>
  <c r="JB798" i="94"/>
  <c r="IQ798" i="94"/>
  <c r="IG798" i="94"/>
  <c r="HV798" i="94"/>
  <c r="HK798" i="94"/>
  <c r="HA798" i="94"/>
  <c r="GP798" i="94"/>
  <c r="GE798" i="94"/>
  <c r="FP798" i="94"/>
  <c r="FE798" i="94"/>
  <c r="ET798" i="94"/>
  <c r="EJ798" i="94"/>
  <c r="BI798" i="94"/>
  <c r="BA798" i="94"/>
  <c r="AS798" i="94"/>
  <c r="AK798" i="94"/>
  <c r="AC798" i="94"/>
  <c r="MZ798" i="94"/>
  <c r="MB798" i="94"/>
  <c r="LM798" i="94"/>
  <c r="KX798" i="94"/>
  <c r="KL798" i="94"/>
  <c r="JW798" i="94"/>
  <c r="JH798" i="94"/>
  <c r="IX798" i="94"/>
  <c r="IM798" i="94"/>
  <c r="IB798" i="94"/>
  <c r="HR798" i="94"/>
  <c r="HG798" i="94"/>
  <c r="GV798" i="94"/>
  <c r="GL798" i="94"/>
  <c r="FV798" i="94"/>
  <c r="FK798" i="94"/>
  <c r="FA798" i="94"/>
  <c r="EP798" i="94"/>
  <c r="EF798" i="94"/>
  <c r="BF798" i="94"/>
  <c r="AX798" i="94"/>
  <c r="AP798" i="94"/>
  <c r="AH798" i="94"/>
  <c r="Z798" i="94"/>
  <c r="NC798" i="94"/>
  <c r="LR798" i="94"/>
  <c r="KN798" i="94"/>
  <c r="JM798" i="94"/>
  <c r="IP798" i="94"/>
  <c r="HT798" i="94"/>
  <c r="GY798" i="94"/>
  <c r="GD798" i="94"/>
  <c r="FC798" i="94"/>
  <c r="EH798" i="94"/>
  <c r="AZ798" i="94"/>
  <c r="AJ798" i="94"/>
  <c r="NB798" i="94"/>
  <c r="LQ798" i="94"/>
  <c r="KM798" i="94"/>
  <c r="JJ798" i="94"/>
  <c r="IO798" i="94"/>
  <c r="HS798" i="94"/>
  <c r="GX798" i="94"/>
  <c r="GC798" i="94"/>
  <c r="FB798" i="94"/>
  <c r="EG798" i="94"/>
  <c r="AY798" i="94"/>
  <c r="AI798" i="94"/>
  <c r="MO798" i="94"/>
  <c r="LL798" i="94"/>
  <c r="KK798" i="94"/>
  <c r="JG798" i="94"/>
  <c r="IL798" i="94"/>
  <c r="HQ798" i="94"/>
  <c r="GU798" i="94"/>
  <c r="FU798" i="94"/>
  <c r="EZ798" i="94"/>
  <c r="EE798" i="94"/>
  <c r="AW798" i="94"/>
  <c r="AG798" i="94"/>
  <c r="ML798" i="94"/>
  <c r="LJ798" i="94"/>
  <c r="KG798" i="94"/>
  <c r="JF798" i="94"/>
  <c r="IJ798" i="94"/>
  <c r="HO798" i="94"/>
  <c r="GT798" i="94"/>
  <c r="FS798" i="94"/>
  <c r="EX798" i="94"/>
  <c r="ED798" i="94"/>
  <c r="AV798" i="94"/>
  <c r="AF798" i="94"/>
  <c r="MC798" i="94"/>
  <c r="LB798" i="94"/>
  <c r="JY798" i="94"/>
  <c r="IY798" i="94"/>
  <c r="ID798" i="94"/>
  <c r="HI798" i="94"/>
  <c r="GM798" i="94"/>
  <c r="FM798" i="94"/>
  <c r="ER798" i="94"/>
  <c r="BG798" i="94"/>
  <c r="AQ798" i="94"/>
  <c r="AA798" i="94"/>
  <c r="LY798" i="94"/>
  <c r="IW798" i="94"/>
  <c r="GN798" i="94"/>
  <c r="EM798" i="94"/>
  <c r="Y798" i="94"/>
  <c r="LC798" i="94"/>
  <c r="IU798" i="94"/>
  <c r="GK798" i="94"/>
  <c r="BH798" i="94"/>
  <c r="X798" i="94"/>
  <c r="KW798" i="94"/>
  <c r="IE798" i="94"/>
  <c r="GI798" i="94"/>
  <c r="BE798" i="94"/>
  <c r="KV798" i="94"/>
  <c r="IA798" i="94"/>
  <c r="FN798" i="94"/>
  <c r="BD798" i="94"/>
  <c r="JZ798" i="94"/>
  <c r="HZ798" i="94"/>
  <c r="FJ798" i="94"/>
  <c r="AR798" i="94"/>
  <c r="JV798" i="94"/>
  <c r="HJ798" i="94"/>
  <c r="FI798" i="94"/>
  <c r="AO798" i="94"/>
  <c r="MA798" i="94"/>
  <c r="IZ798" i="94"/>
  <c r="HD798" i="94"/>
  <c r="EO798" i="94"/>
  <c r="AB798" i="94"/>
  <c r="AN798" i="94"/>
  <c r="MD798" i="94"/>
  <c r="JR798" i="94"/>
  <c r="ES798" i="94"/>
  <c r="LZ797" i="94"/>
  <c r="LR797" i="94"/>
  <c r="FZ797" i="94"/>
  <c r="FO797" i="94"/>
  <c r="FG797" i="94"/>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LX797" i="94"/>
  <c r="ID797" i="94"/>
  <c r="FU797" i="94"/>
  <c r="FM797" i="94"/>
  <c r="FE797" i="94"/>
  <c r="EW797" i="94"/>
  <c r="EO797" i="94"/>
  <c r="EG797" i="94"/>
  <c r="CP797" i="94"/>
  <c r="BG797" i="94"/>
  <c r="AY797" i="94"/>
  <c r="AQ797" i="94"/>
  <c r="AI797" i="94"/>
  <c r="AA797" i="94"/>
  <c r="LU797" i="94"/>
  <c r="GD797" i="94"/>
  <c r="FR797" i="94"/>
  <c r="FJ797" i="94"/>
  <c r="FB797" i="94"/>
  <c r="ET797" i="94"/>
  <c r="EL797" i="94"/>
  <c r="ED797" i="94"/>
  <c r="BR797" i="94"/>
  <c r="BD797" i="94"/>
  <c r="AV797" i="94"/>
  <c r="AN797" i="94"/>
  <c r="AF797" i="94"/>
  <c r="X797" i="94"/>
  <c r="LW797" i="94"/>
  <c r="FT797" i="94"/>
  <c r="FD797" i="94"/>
  <c r="EN797" i="94"/>
  <c r="CH797" i="94"/>
  <c r="AX797" i="94"/>
  <c r="AH797" i="94"/>
  <c r="LV797" i="94"/>
  <c r="FS797" i="94"/>
  <c r="FC797" i="94"/>
  <c r="EM797" i="94"/>
  <c r="BZ797" i="94"/>
  <c r="AW797" i="94"/>
  <c r="AG797" i="94"/>
  <c r="LT797" i="94"/>
  <c r="FQ797" i="94"/>
  <c r="FA797" i="94"/>
  <c r="EK797" i="94"/>
  <c r="BK797" i="94"/>
  <c r="AU797" i="94"/>
  <c r="AE797" i="94"/>
  <c r="LS797" i="94"/>
  <c r="FP797" i="94"/>
  <c r="EZ797" i="94"/>
  <c r="EJ797" i="94"/>
  <c r="BJ797" i="94"/>
  <c r="AT797" i="94"/>
  <c r="AD797" i="94"/>
  <c r="GE797" i="94"/>
  <c r="FK797" i="94"/>
  <c r="EU797" i="94"/>
  <c r="EE797" i="94"/>
  <c r="BE797" i="94"/>
  <c r="AO797" i="94"/>
  <c r="Y797" i="94"/>
  <c r="EV797" i="94"/>
  <c r="BB797" i="94"/>
  <c r="ES797" i="94"/>
  <c r="AP797" i="94"/>
  <c r="GF797" i="94"/>
  <c r="ER797" i="94"/>
  <c r="AM797" i="94"/>
  <c r="GC797" i="94"/>
  <c r="EF797" i="94"/>
  <c r="AL797" i="94"/>
  <c r="GB797" i="94"/>
  <c r="DV797" i="94"/>
  <c r="Z797" i="94"/>
  <c r="FL797" i="94"/>
  <c r="DN797" i="94"/>
  <c r="FH797" i="94"/>
  <c r="BC797" i="94"/>
  <c r="BF797" i="94"/>
  <c r="NB796" i="94"/>
  <c r="MJ796" i="94"/>
  <c r="MB796" i="94"/>
  <c r="LT796" i="94"/>
  <c r="LL796" i="94"/>
  <c r="LD796" i="94"/>
  <c r="KV796" i="94"/>
  <c r="KN796" i="94"/>
  <c r="KF796" i="94"/>
  <c r="JX796" i="94"/>
  <c r="JP796" i="94"/>
  <c r="JH796" i="94"/>
  <c r="IZ796" i="94"/>
  <c r="IR796" i="94"/>
  <c r="IJ796" i="94"/>
  <c r="IB796" i="94"/>
  <c r="HT796" i="94"/>
  <c r="HL796" i="94"/>
  <c r="HD796" i="94"/>
  <c r="GV796" i="94"/>
  <c r="GN796" i="94"/>
  <c r="GF796" i="94"/>
  <c r="FX796" i="94"/>
  <c r="FP796" i="94"/>
  <c r="FH796" i="94"/>
  <c r="EZ796" i="94"/>
  <c r="ER796" i="94"/>
  <c r="EJ796" i="94"/>
  <c r="EB796" i="94"/>
  <c r="NA796" i="94"/>
  <c r="MI796" i="94"/>
  <c r="MA796" i="94"/>
  <c r="LS796" i="94"/>
  <c r="LK796" i="94"/>
  <c r="LC796" i="94"/>
  <c r="KU796" i="94"/>
  <c r="KM796" i="94"/>
  <c r="KE796" i="94"/>
  <c r="JW796" i="94"/>
  <c r="JO796" i="94"/>
  <c r="JG796" i="94"/>
  <c r="IY796" i="94"/>
  <c r="IQ796" i="94"/>
  <c r="II796" i="94"/>
  <c r="IA796" i="94"/>
  <c r="HS796" i="94"/>
  <c r="HK796" i="94"/>
  <c r="HC796" i="94"/>
  <c r="GU796" i="94"/>
  <c r="GM796" i="94"/>
  <c r="GE796" i="94"/>
  <c r="FW796" i="94"/>
  <c r="FO796" i="94"/>
  <c r="MZ796" i="94"/>
  <c r="MH796" i="94"/>
  <c r="LZ796" i="94"/>
  <c r="LR796" i="94"/>
  <c r="LJ796" i="94"/>
  <c r="LB796" i="94"/>
  <c r="KT796" i="94"/>
  <c r="KL796" i="94"/>
  <c r="KD796" i="94"/>
  <c r="JV796" i="94"/>
  <c r="JN796" i="94"/>
  <c r="JF796"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MO796" i="94"/>
  <c r="LY796" i="94"/>
  <c r="LI796" i="94"/>
  <c r="KS796" i="94"/>
  <c r="KC796" i="94"/>
  <c r="JM796" i="94"/>
  <c r="IX796" i="94"/>
  <c r="IL796" i="94"/>
  <c r="HY796" i="94"/>
  <c r="HM796" i="94"/>
  <c r="GZ796" i="94"/>
  <c r="GL796" i="94"/>
  <c r="FZ796" i="94"/>
  <c r="FM796" i="94"/>
  <c r="FD796" i="94"/>
  <c r="EU796" i="94"/>
  <c r="EL796" i="94"/>
  <c r="EC796" i="94"/>
  <c r="DT796" i="94"/>
  <c r="DL796" i="94"/>
  <c r="DD796" i="94"/>
  <c r="CV796" i="94"/>
  <c r="CN796" i="94"/>
  <c r="CF796" i="94"/>
  <c r="BX796" i="94"/>
  <c r="BP796" i="94"/>
  <c r="BH796" i="94"/>
  <c r="AZ796" i="94"/>
  <c r="AR796" i="94"/>
  <c r="AJ796" i="94"/>
  <c r="AB796" i="94"/>
  <c r="MN796" i="94"/>
  <c r="LX796" i="94"/>
  <c r="LH796" i="94"/>
  <c r="KR796" i="94"/>
  <c r="KB796" i="94"/>
  <c r="JL796" i="94"/>
  <c r="IW796" i="94"/>
  <c r="IK796" i="94"/>
  <c r="HX796" i="94"/>
  <c r="HJ796" i="94"/>
  <c r="GX796" i="94"/>
  <c r="GK796" i="94"/>
  <c r="FY796" i="94"/>
  <c r="FL796" i="94"/>
  <c r="FC796" i="94"/>
  <c r="ET796" i="94"/>
  <c r="EK796" i="94"/>
  <c r="EA796" i="94"/>
  <c r="DS796" i="94"/>
  <c r="DK796" i="94"/>
  <c r="DC796" i="94"/>
  <c r="CU796" i="94"/>
  <c r="CM796" i="94"/>
  <c r="CE796" i="94"/>
  <c r="BW796" i="94"/>
  <c r="BO796" i="94"/>
  <c r="BG796" i="94"/>
  <c r="AY796" i="94"/>
  <c r="AQ796" i="94"/>
  <c r="AI796" i="94"/>
  <c r="AA796" i="94"/>
  <c r="ML796" i="94"/>
  <c r="LV796" i="94"/>
  <c r="LF796" i="94"/>
  <c r="KP796" i="94"/>
  <c r="JZ796" i="94"/>
  <c r="JJ796" i="94"/>
  <c r="IV796" i="94"/>
  <c r="IH796" i="94"/>
  <c r="HV796" i="94"/>
  <c r="HI796" i="94"/>
  <c r="GW796" i="94"/>
  <c r="GJ796" i="94"/>
  <c r="FV796" i="94"/>
  <c r="FK796" i="94"/>
  <c r="FB796" i="94"/>
  <c r="ES796" i="94"/>
  <c r="EI796" i="94"/>
  <c r="DZ796" i="94"/>
  <c r="DR796" i="94"/>
  <c r="DJ796" i="94"/>
  <c r="DB796" i="94"/>
  <c r="CT796" i="94"/>
  <c r="CL796" i="94"/>
  <c r="CD796" i="94"/>
  <c r="BV796" i="94"/>
  <c r="BN796" i="94"/>
  <c r="BF796" i="94"/>
  <c r="AX796" i="94"/>
  <c r="AP796" i="94"/>
  <c r="AH796" i="94"/>
  <c r="Z796" i="94"/>
  <c r="MK796" i="94"/>
  <c r="LU796" i="94"/>
  <c r="LE796" i="94"/>
  <c r="KO796" i="94"/>
  <c r="JY796" i="94"/>
  <c r="JI796" i="94"/>
  <c r="IT796" i="94"/>
  <c r="IG796" i="94"/>
  <c r="HU796" i="94"/>
  <c r="HH796" i="94"/>
  <c r="GT796" i="94"/>
  <c r="GH796" i="94"/>
  <c r="FU796" i="94"/>
  <c r="FJ796" i="94"/>
  <c r="FA796" i="94"/>
  <c r="EQ796" i="94"/>
  <c r="EH796" i="94"/>
  <c r="DY796" i="94"/>
  <c r="DQ796" i="94"/>
  <c r="DI796" i="94"/>
  <c r="DA796" i="94"/>
  <c r="CS796" i="94"/>
  <c r="CK796" i="94"/>
  <c r="CC796" i="94"/>
  <c r="BU796" i="94"/>
  <c r="BM796" i="94"/>
  <c r="BE796" i="94"/>
  <c r="AW796" i="94"/>
  <c r="AO796" i="94"/>
  <c r="AG796" i="94"/>
  <c r="Y796" i="94"/>
  <c r="MF796" i="94"/>
  <c r="LP796" i="94"/>
  <c r="KZ796" i="94"/>
  <c r="KJ796" i="94"/>
  <c r="JT796" i="94"/>
  <c r="JD796" i="94"/>
  <c r="IP796" i="94"/>
  <c r="ID796" i="94"/>
  <c r="HQ796" i="94"/>
  <c r="HE796" i="94"/>
  <c r="GR796" i="94"/>
  <c r="GD796" i="94"/>
  <c r="FR796" i="94"/>
  <c r="FG796" i="94"/>
  <c r="EX796" i="94"/>
  <c r="EO796" i="94"/>
  <c r="EF796" i="94"/>
  <c r="DW796" i="94"/>
  <c r="DO796" i="94"/>
  <c r="DG796" i="94"/>
  <c r="CY796" i="94"/>
  <c r="CQ796" i="94"/>
  <c r="CI796" i="94"/>
  <c r="CA796" i="94"/>
  <c r="BS796" i="94"/>
  <c r="BK796" i="94"/>
  <c r="BC796" i="94"/>
  <c r="AU796" i="94"/>
  <c r="AM796" i="94"/>
  <c r="AE796" i="94"/>
  <c r="MD796" i="94"/>
  <c r="KK796" i="94"/>
  <c r="JA796" i="94"/>
  <c r="HP796" i="94"/>
  <c r="GG796" i="94"/>
  <c r="FE796" i="94"/>
  <c r="EE796" i="94"/>
  <c r="DH796" i="94"/>
  <c r="CO796" i="94"/>
  <c r="BR796" i="94"/>
  <c r="AV796" i="94"/>
  <c r="AC796" i="94"/>
  <c r="MC796" i="94"/>
  <c r="KH796" i="94"/>
  <c r="IS796" i="94"/>
  <c r="HN796" i="94"/>
  <c r="GC796" i="94"/>
  <c r="EY796" i="94"/>
  <c r="ED796" i="94"/>
  <c r="DF796" i="94"/>
  <c r="CJ796" i="94"/>
  <c r="BQ796" i="94"/>
  <c r="AT796" i="94"/>
  <c r="X796" i="94"/>
  <c r="LQ796" i="94"/>
  <c r="KG796" i="94"/>
  <c r="IO796" i="94"/>
  <c r="HF796" i="94"/>
  <c r="GB796" i="94"/>
  <c r="EW796" i="94"/>
  <c r="DX796" i="94"/>
  <c r="DE796" i="94"/>
  <c r="CH796" i="94"/>
  <c r="BL796" i="94"/>
  <c r="AS796" i="94"/>
  <c r="LN796" i="94"/>
  <c r="JU796" i="94"/>
  <c r="IN796" i="94"/>
  <c r="HB796" i="94"/>
  <c r="FT796" i="94"/>
  <c r="EV796" i="94"/>
  <c r="DV796" i="94"/>
  <c r="CZ796" i="94"/>
  <c r="CG796" i="94"/>
  <c r="BJ796" i="94"/>
  <c r="AN796" i="94"/>
  <c r="LM796" i="94"/>
  <c r="JR796" i="94"/>
  <c r="IF796" i="94"/>
  <c r="HA796" i="94"/>
  <c r="FQ796" i="94"/>
  <c r="EP796" i="94"/>
  <c r="DU796" i="94"/>
  <c r="CX796" i="94"/>
  <c r="CB796" i="94"/>
  <c r="BI796" i="94"/>
  <c r="AL796" i="94"/>
  <c r="ND796" i="94"/>
  <c r="LA796" i="94"/>
  <c r="JQ796" i="94"/>
  <c r="IC796" i="94"/>
  <c r="GS796" i="94"/>
  <c r="FN796" i="94"/>
  <c r="EN796" i="94"/>
  <c r="DP796" i="94"/>
  <c r="CW796" i="94"/>
  <c r="BZ796" i="94"/>
  <c r="BD796" i="94"/>
  <c r="AK796" i="94"/>
  <c r="MG796" i="94"/>
  <c r="KW796" i="94"/>
  <c r="JB796" i="94"/>
  <c r="HR796" i="94"/>
  <c r="GO796" i="94"/>
  <c r="FF796" i="94"/>
  <c r="EG796" i="94"/>
  <c r="DM796" i="94"/>
  <c r="CP796" i="94"/>
  <c r="BT796" i="94"/>
  <c r="BA796" i="94"/>
  <c r="AD796" i="94"/>
  <c r="FI796" i="94"/>
  <c r="DN796" i="94"/>
  <c r="NC796" i="94"/>
  <c r="CR796" i="94"/>
  <c r="KX796" i="94"/>
  <c r="BY796" i="94"/>
  <c r="JE796" i="94"/>
  <c r="BB796" i="94"/>
  <c r="GP796" i="94"/>
  <c r="LW795" i="94"/>
  <c r="GQ795" i="94"/>
  <c r="FT795" i="94"/>
  <c r="FL795" i="94"/>
  <c r="FD795" i="94"/>
  <c r="EV795" i="94"/>
  <c r="EN795" i="94"/>
  <c r="EF795" i="94"/>
  <c r="CK795" i="94"/>
  <c r="BG795" i="94"/>
  <c r="AY795" i="94"/>
  <c r="AQ795" i="94"/>
  <c r="AI795" i="94"/>
  <c r="AA795" i="94"/>
  <c r="LV795" i="94"/>
  <c r="GF795" i="94"/>
  <c r="FS795" i="94"/>
  <c r="FK795" i="94"/>
  <c r="FC795" i="94"/>
  <c r="EU795" i="94"/>
  <c r="EM795" i="94"/>
  <c r="EE795" i="94"/>
  <c r="CC795" i="94"/>
  <c r="BF795" i="94"/>
  <c r="AX795" i="94"/>
  <c r="AP795" i="94"/>
  <c r="AH795" i="94"/>
  <c r="Z795" i="94"/>
  <c r="LU795" i="94"/>
  <c r="GE795" i="94"/>
  <c r="FR795" i="94"/>
  <c r="FJ795" i="94"/>
  <c r="FB795" i="94"/>
  <c r="ET795" i="94"/>
  <c r="EL795" i="94"/>
  <c r="ED795" i="94"/>
  <c r="BU795" i="94"/>
  <c r="BE795" i="94"/>
  <c r="AW795" i="94"/>
  <c r="AO795" i="94"/>
  <c r="AG795" i="94"/>
  <c r="Y795" i="94"/>
  <c r="LT795" i="94"/>
  <c r="GD795" i="94"/>
  <c r="FQ795" i="94"/>
  <c r="FI795" i="94"/>
  <c r="FA795" i="94"/>
  <c r="ES795" i="94"/>
  <c r="EK795" i="94"/>
  <c r="DY795" i="94"/>
  <c r="BM795" i="94"/>
  <c r="BD795" i="94"/>
  <c r="AV795" i="94"/>
  <c r="AN795" i="94"/>
  <c r="AF795" i="94"/>
  <c r="X795" i="94"/>
  <c r="LZ795" i="94"/>
  <c r="LR795" i="94"/>
  <c r="GB795" i="94"/>
  <c r="FO795" i="94"/>
  <c r="FG795" i="94"/>
  <c r="EY795" i="94"/>
  <c r="EQ795" i="94"/>
  <c r="EI795" i="94"/>
  <c r="DI795" i="94"/>
  <c r="BJ795" i="94"/>
  <c r="BB795" i="94"/>
  <c r="AT795" i="94"/>
  <c r="AL795" i="94"/>
  <c r="AD795" i="94"/>
  <c r="FV795" i="94"/>
  <c r="EZ795" i="94"/>
  <c r="EG795" i="94"/>
  <c r="BA795" i="94"/>
  <c r="AE795" i="94"/>
  <c r="FU795" i="94"/>
  <c r="EX795" i="94"/>
  <c r="DQ795" i="94"/>
  <c r="AZ795" i="94"/>
  <c r="AC795" i="94"/>
  <c r="LY795" i="94"/>
  <c r="FP795" i="94"/>
  <c r="EW795" i="94"/>
  <c r="DA795" i="94"/>
  <c r="AU795" i="94"/>
  <c r="AB795" i="94"/>
  <c r="LX795" i="94"/>
  <c r="FN795" i="94"/>
  <c r="ER795" i="94"/>
  <c r="CS795" i="94"/>
  <c r="AS795" i="94"/>
  <c r="LS795" i="94"/>
  <c r="FM795" i="94"/>
  <c r="EP795" i="94"/>
  <c r="BK795" i="94"/>
  <c r="AR795" i="94"/>
  <c r="LQ795" i="94"/>
  <c r="FH795" i="94"/>
  <c r="EO795" i="94"/>
  <c r="BI795" i="94"/>
  <c r="AM795" i="94"/>
  <c r="GC795" i="94"/>
  <c r="FE795" i="94"/>
  <c r="EH795" i="94"/>
  <c r="BC795" i="94"/>
  <c r="AJ795" i="94"/>
  <c r="FF795" i="94"/>
  <c r="BH795" i="94"/>
  <c r="AK795" i="94"/>
  <c r="IB795" i="94"/>
  <c r="MZ794" i="94"/>
  <c r="MH794" i="94"/>
  <c r="LZ794" i="94"/>
  <c r="LR794" i="94"/>
  <c r="LJ794" i="94"/>
  <c r="LB794" i="94"/>
  <c r="KT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LI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MN794" i="94"/>
  <c r="MF794" i="94"/>
  <c r="LX794" i="94"/>
  <c r="LP794" i="94"/>
  <c r="LH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MM794" i="94"/>
  <c r="ME794" i="94"/>
  <c r="LW794" i="94"/>
  <c r="LO794" i="94"/>
  <c r="LG794" i="94"/>
  <c r="KY794" i="94"/>
  <c r="KQ794" i="94"/>
  <c r="KI794" i="94"/>
  <c r="KA794" i="94"/>
  <c r="JS794" i="94"/>
  <c r="JK794" i="94"/>
  <c r="JC794" i="94"/>
  <c r="IU794" i="94"/>
  <c r="IM794" i="94"/>
  <c r="IE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NC794" i="94"/>
  <c r="MK794" i="94"/>
  <c r="MC794" i="94"/>
  <c r="LU794" i="94"/>
  <c r="LM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I794" i="94"/>
  <c r="LL794" i="94"/>
  <c r="KP794" i="94"/>
  <c r="JW794" i="94"/>
  <c r="IZ794" i="94"/>
  <c r="ID794" i="94"/>
  <c r="HK794" i="94"/>
  <c r="GN794" i="94"/>
  <c r="FR794" i="94"/>
  <c r="EY794" i="94"/>
  <c r="EB794" i="94"/>
  <c r="DF794" i="94"/>
  <c r="CN794" i="94"/>
  <c r="BX794" i="94"/>
  <c r="BH794" i="94"/>
  <c r="AR794" i="94"/>
  <c r="AB794" i="94"/>
  <c r="MD794" i="94"/>
  <c r="LK794" i="94"/>
  <c r="KN794" i="94"/>
  <c r="JR794" i="94"/>
  <c r="IY794" i="94"/>
  <c r="IB794" i="94"/>
  <c r="HF794" i="94"/>
  <c r="GM794" i="94"/>
  <c r="FP794" i="94"/>
  <c r="ET794" i="94"/>
  <c r="EA794" i="94"/>
  <c r="DD794" i="94"/>
  <c r="CM794" i="94"/>
  <c r="BW794" i="94"/>
  <c r="BG794" i="94"/>
  <c r="AQ794" i="94"/>
  <c r="AA794" i="94"/>
  <c r="MB794" i="94"/>
  <c r="LF794" i="94"/>
  <c r="KM794" i="94"/>
  <c r="JP794" i="94"/>
  <c r="IT794" i="94"/>
  <c r="IA794" i="94"/>
  <c r="HD794" i="94"/>
  <c r="GH794" i="94"/>
  <c r="FO794" i="94"/>
  <c r="ER794" i="94"/>
  <c r="DV794" i="94"/>
  <c r="DC794" i="94"/>
  <c r="CJ794" i="94"/>
  <c r="BT794" i="94"/>
  <c r="BD794" i="94"/>
  <c r="AN794" i="94"/>
  <c r="X794" i="94"/>
  <c r="ND794" i="94"/>
  <c r="MA794" i="94"/>
  <c r="LD794" i="94"/>
  <c r="KH794" i="94"/>
  <c r="JO794" i="94"/>
  <c r="IR794" i="94"/>
  <c r="HV794" i="94"/>
  <c r="HC794" i="94"/>
  <c r="GF794" i="94"/>
  <c r="FJ794" i="94"/>
  <c r="EQ794" i="94"/>
  <c r="DT794" i="94"/>
  <c r="CX794" i="94"/>
  <c r="CH794" i="94"/>
  <c r="BR794" i="94"/>
  <c r="BB794" i="94"/>
  <c r="AL794" i="94"/>
  <c r="NB794" i="94"/>
  <c r="LV794" i="94"/>
  <c r="LC794" i="94"/>
  <c r="KF794" i="94"/>
  <c r="JJ794" i="94"/>
  <c r="IQ794" i="94"/>
  <c r="HT794" i="94"/>
  <c r="GX794" i="94"/>
  <c r="GE794" i="94"/>
  <c r="FH794" i="94"/>
  <c r="EL794" i="94"/>
  <c r="DS794" i="94"/>
  <c r="CV794" i="94"/>
  <c r="CF794" i="94"/>
  <c r="BP794" i="94"/>
  <c r="AZ794" i="94"/>
  <c r="AJ794" i="94"/>
  <c r="NA794" i="94"/>
  <c r="LT794" i="94"/>
  <c r="KX794" i="94"/>
  <c r="KE794" i="94"/>
  <c r="JH794" i="94"/>
  <c r="IL794" i="94"/>
  <c r="HS794" i="94"/>
  <c r="GV794" i="94"/>
  <c r="FZ794" i="94"/>
  <c r="FG794" i="94"/>
  <c r="EJ794" i="94"/>
  <c r="DN794" i="94"/>
  <c r="CU794" i="94"/>
  <c r="CE794" i="94"/>
  <c r="BO794" i="94"/>
  <c r="AY794" i="94"/>
  <c r="AI794" i="94"/>
  <c r="MJ794" i="94"/>
  <c r="LN794" i="94"/>
  <c r="KU794" i="94"/>
  <c r="JX794" i="94"/>
  <c r="JB794" i="94"/>
  <c r="II794" i="94"/>
  <c r="HL794" i="94"/>
  <c r="GP794" i="94"/>
  <c r="FW794" i="94"/>
  <c r="EZ794" i="94"/>
  <c r="ED794" i="94"/>
  <c r="DK794" i="94"/>
  <c r="CP794" i="94"/>
  <c r="BZ794" i="94"/>
  <c r="BJ794" i="94"/>
  <c r="AT794" i="94"/>
  <c r="AD794" i="94"/>
  <c r="JG794" i="94"/>
  <c r="CR794" i="94"/>
  <c r="HN794" i="94"/>
  <c r="GU794" i="94"/>
  <c r="ML794" i="94"/>
  <c r="FX794" i="94"/>
  <c r="AF794" i="94"/>
  <c r="JZ794" i="94"/>
  <c r="DL794" i="94"/>
  <c r="LU793" i="94"/>
  <c r="GD793" i="94"/>
  <c r="FV793" i="94"/>
  <c r="FN793" i="94"/>
  <c r="FF793" i="94"/>
  <c r="EX793" i="94"/>
  <c r="EP793" i="94"/>
  <c r="EH793" i="94"/>
  <c r="DZ793" i="94"/>
  <c r="DR793" i="94"/>
  <c r="DJ793" i="94"/>
  <c r="DB793" i="94"/>
  <c r="CT793" i="94"/>
  <c r="CL793" i="94"/>
  <c r="CD793" i="94"/>
  <c r="BV793" i="94"/>
  <c r="BN793" i="94"/>
  <c r="BF793" i="94"/>
  <c r="AX793" i="94"/>
  <c r="AP793" i="94"/>
  <c r="AH793" i="94"/>
  <c r="Z793" i="94"/>
  <c r="LT793" i="94"/>
  <c r="GC793" i="94"/>
  <c r="FU793" i="94"/>
  <c r="FM793" i="94"/>
  <c r="FE793" i="94"/>
  <c r="EW793" i="94"/>
  <c r="EO793" i="94"/>
  <c r="EG793" i="94"/>
  <c r="DY793" i="94"/>
  <c r="DQ793" i="94"/>
  <c r="DI793" i="94"/>
  <c r="DA793" i="94"/>
  <c r="CS793" i="94"/>
  <c r="CK793" i="94"/>
  <c r="CC793" i="94"/>
  <c r="BU793" i="94"/>
  <c r="BM793" i="94"/>
  <c r="BE793" i="94"/>
  <c r="AW793" i="94"/>
  <c r="AO793" i="94"/>
  <c r="AG793" i="94"/>
  <c r="Y793" i="94"/>
  <c r="LZ793" i="94"/>
  <c r="LR793" i="94"/>
  <c r="GA793" i="94"/>
  <c r="FS793" i="94"/>
  <c r="FK793" i="94"/>
  <c r="FC793" i="94"/>
  <c r="EU793" i="94"/>
  <c r="EM793" i="94"/>
  <c r="EE793" i="94"/>
  <c r="DW793" i="94"/>
  <c r="DO793" i="94"/>
  <c r="DG793" i="94"/>
  <c r="CY793" i="94"/>
  <c r="CQ793" i="94"/>
  <c r="CI793" i="94"/>
  <c r="CA793" i="94"/>
  <c r="BS793" i="94"/>
  <c r="BK793" i="94"/>
  <c r="BC793" i="94"/>
  <c r="AU793" i="94"/>
  <c r="AM793" i="94"/>
  <c r="AE793" i="94"/>
  <c r="LX793" i="94"/>
  <c r="HU793" i="94"/>
  <c r="FY793" i="94"/>
  <c r="FQ793" i="94"/>
  <c r="FI793" i="94"/>
  <c r="FA793" i="94"/>
  <c r="ES793" i="94"/>
  <c r="EK793" i="94"/>
  <c r="EC793" i="94"/>
  <c r="DU793" i="94"/>
  <c r="DM793" i="94"/>
  <c r="DE793" i="94"/>
  <c r="CW793" i="94"/>
  <c r="CO793" i="94"/>
  <c r="CG793" i="94"/>
  <c r="BY793" i="94"/>
  <c r="BQ793" i="94"/>
  <c r="BI793" i="94"/>
  <c r="BA793" i="94"/>
  <c r="AS793" i="94"/>
  <c r="AK793" i="94"/>
  <c r="AC793" i="94"/>
  <c r="GF793" i="94"/>
  <c r="FP793" i="94"/>
  <c r="EZ793" i="94"/>
  <c r="EJ793" i="94"/>
  <c r="GE793" i="94"/>
  <c r="FO793" i="94"/>
  <c r="EY793" i="94"/>
  <c r="EI793" i="94"/>
  <c r="DS793" i="94"/>
  <c r="DC793" i="94"/>
  <c r="CM793" i="94"/>
  <c r="BW793" i="94"/>
  <c r="BG793" i="94"/>
  <c r="AQ793" i="94"/>
  <c r="AA793" i="94"/>
  <c r="GB793" i="94"/>
  <c r="FL793" i="94"/>
  <c r="EV793" i="94"/>
  <c r="EF793" i="94"/>
  <c r="DP793" i="94"/>
  <c r="CZ793" i="94"/>
  <c r="CJ793" i="94"/>
  <c r="BT793" i="94"/>
  <c r="BD793" i="94"/>
  <c r="AN793" i="94"/>
  <c r="X793" i="94"/>
  <c r="LY793" i="94"/>
  <c r="FZ793" i="94"/>
  <c r="FJ793" i="94"/>
  <c r="ET793" i="94"/>
  <c r="ED793" i="94"/>
  <c r="LW793" i="94"/>
  <c r="FX793" i="94"/>
  <c r="FH793" i="94"/>
  <c r="ER793" i="94"/>
  <c r="EB793" i="94"/>
  <c r="DL793" i="94"/>
  <c r="CV793" i="94"/>
  <c r="CF793" i="94"/>
  <c r="BP793" i="94"/>
  <c r="AZ793" i="94"/>
  <c r="AJ793" i="94"/>
  <c r="LV793" i="94"/>
  <c r="FW793" i="94"/>
  <c r="FG793" i="94"/>
  <c r="EQ793" i="94"/>
  <c r="EA793" i="94"/>
  <c r="DK793" i="94"/>
  <c r="CU793" i="94"/>
  <c r="CE793" i="94"/>
  <c r="BO793" i="94"/>
  <c r="AY793" i="94"/>
  <c r="AI793" i="94"/>
  <c r="LQ793" i="94"/>
  <c r="FR793" i="94"/>
  <c r="FB793" i="94"/>
  <c r="EL793" i="94"/>
  <c r="DV793" i="94"/>
  <c r="DF793" i="94"/>
  <c r="CP793" i="94"/>
  <c r="BZ793" i="94"/>
  <c r="BJ793" i="94"/>
  <c r="AT793" i="94"/>
  <c r="AD793" i="94"/>
  <c r="EN793" i="94"/>
  <c r="CN793" i="94"/>
  <c r="AV793" i="94"/>
  <c r="DH793" i="94"/>
  <c r="BR793" i="94"/>
  <c r="AB793" i="94"/>
  <c r="FD793" i="94"/>
  <c r="CR793" i="94"/>
  <c r="BB793" i="94"/>
  <c r="MO792" i="94"/>
  <c r="LY792" i="94"/>
  <c r="LM792" i="94"/>
  <c r="LE792" i="94"/>
  <c r="KW792" i="94"/>
  <c r="KO792" i="94"/>
  <c r="KG792" i="94"/>
  <c r="JY792" i="94"/>
  <c r="JQ792" i="94"/>
  <c r="JI792" i="94"/>
  <c r="JA792" i="94"/>
  <c r="IS792" i="94"/>
  <c r="IK792" i="94"/>
  <c r="IC792" i="94"/>
  <c r="HQ792" i="94"/>
  <c r="HA792" i="94"/>
  <c r="GK792" i="94"/>
  <c r="GA792" i="94"/>
  <c r="FO792" i="94"/>
  <c r="EY792" i="94"/>
  <c r="EI792" i="94"/>
  <c r="DY792" i="94"/>
  <c r="DI792" i="94"/>
  <c r="CS792" i="94"/>
  <c r="CC792" i="94"/>
  <c r="BM792" i="94"/>
  <c r="AW792" i="94"/>
  <c r="AG792" i="94"/>
  <c r="MM792" i="94"/>
  <c r="LW792" i="94"/>
  <c r="LL792" i="94"/>
  <c r="LD792" i="94"/>
  <c r="KV792" i="94"/>
  <c r="KN792" i="94"/>
  <c r="KF792" i="94"/>
  <c r="JX792" i="94"/>
  <c r="JP792" i="94"/>
  <c r="JH792" i="94"/>
  <c r="IZ792" i="94"/>
  <c r="IR792" i="94"/>
  <c r="IJ792" i="94"/>
  <c r="IB792" i="94"/>
  <c r="HO792" i="94"/>
  <c r="GY792" i="94"/>
  <c r="GI792" i="94"/>
  <c r="ND792" i="94"/>
  <c r="MI792" i="94"/>
  <c r="LS792" i="94"/>
  <c r="LJ792" i="94"/>
  <c r="LB792" i="94"/>
  <c r="KT792" i="94"/>
  <c r="KL792" i="94"/>
  <c r="KD792" i="94"/>
  <c r="JV792" i="94"/>
  <c r="JN792" i="94"/>
  <c r="JF792" i="94"/>
  <c r="IX792" i="94"/>
  <c r="IP792" i="94"/>
  <c r="IH792" i="94"/>
  <c r="HZ792" i="94"/>
  <c r="HK792" i="94"/>
  <c r="GU792" i="94"/>
  <c r="GF792" i="94"/>
  <c r="FX792" i="94"/>
  <c r="FI792" i="94"/>
  <c r="ES792" i="94"/>
  <c r="EF792" i="94"/>
  <c r="DS792" i="94"/>
  <c r="DC792" i="94"/>
  <c r="CM792" i="94"/>
  <c r="BW792" i="94"/>
  <c r="BG792" i="94"/>
  <c r="AQ792" i="94"/>
  <c r="AA792" i="94"/>
  <c r="NB792" i="94"/>
  <c r="ME792" i="94"/>
  <c r="LP792" i="94"/>
  <c r="LH792" i="94"/>
  <c r="KZ792" i="94"/>
  <c r="KR792" i="94"/>
  <c r="KJ792" i="94"/>
  <c r="KB792" i="94"/>
  <c r="JT792" i="94"/>
  <c r="JL792" i="94"/>
  <c r="JD792" i="94"/>
  <c r="IV792" i="94"/>
  <c r="IN792" i="94"/>
  <c r="IF792" i="94"/>
  <c r="HW792" i="94"/>
  <c r="HG792" i="94"/>
  <c r="GQ792" i="94"/>
  <c r="GD792" i="94"/>
  <c r="MA792" i="94"/>
  <c r="LF792" i="94"/>
  <c r="KP792" i="94"/>
  <c r="JZ792" i="94"/>
  <c r="JJ792" i="94"/>
  <c r="IT792" i="94"/>
  <c r="ID792" i="94"/>
  <c r="HC792" i="94"/>
  <c r="GB792" i="94"/>
  <c r="FK792" i="94"/>
  <c r="EO792" i="94"/>
  <c r="EA792" i="94"/>
  <c r="DE792" i="94"/>
  <c r="CI792" i="94"/>
  <c r="BO792" i="94"/>
  <c r="AS792" i="94"/>
  <c r="LU792" i="94"/>
  <c r="LC792" i="94"/>
  <c r="KM792" i="94"/>
  <c r="JW792" i="94"/>
  <c r="JG792" i="94"/>
  <c r="IQ792" i="94"/>
  <c r="IA792" i="94"/>
  <c r="GW792" i="94"/>
  <c r="FZ792" i="94"/>
  <c r="FG792" i="94"/>
  <c r="EM792" i="94"/>
  <c r="DW792" i="94"/>
  <c r="DA792" i="94"/>
  <c r="CG792" i="94"/>
  <c r="BK792" i="94"/>
  <c r="AO792" i="94"/>
  <c r="NA792" i="94"/>
  <c r="LO792" i="94"/>
  <c r="KY792" i="94"/>
  <c r="KI792" i="94"/>
  <c r="JS792" i="94"/>
  <c r="JC792" i="94"/>
  <c r="IM792" i="94"/>
  <c r="HU792" i="94"/>
  <c r="GO792" i="94"/>
  <c r="FW792" i="94"/>
  <c r="FC792" i="94"/>
  <c r="EH792" i="94"/>
  <c r="DQ792" i="94"/>
  <c r="CW792" i="94"/>
  <c r="CA792" i="94"/>
  <c r="BE792" i="94"/>
  <c r="AK792" i="94"/>
  <c r="MZ792" i="94"/>
  <c r="LN792" i="94"/>
  <c r="KX792" i="94"/>
  <c r="KH792" i="94"/>
  <c r="JR792" i="94"/>
  <c r="JB792" i="94"/>
  <c r="IL792" i="94"/>
  <c r="HS792" i="94"/>
  <c r="GM792" i="94"/>
  <c r="FU792" i="94"/>
  <c r="FA792" i="94"/>
  <c r="EG792" i="94"/>
  <c r="DO792" i="94"/>
  <c r="CU792" i="94"/>
  <c r="BY792" i="94"/>
  <c r="BC792" i="94"/>
  <c r="AI792" i="94"/>
  <c r="MG792" i="94"/>
  <c r="LI792" i="94"/>
  <c r="KS792" i="94"/>
  <c r="KC792" i="94"/>
  <c r="JM792" i="94"/>
  <c r="IW792" i="94"/>
  <c r="IG792" i="94"/>
  <c r="HI792" i="94"/>
  <c r="GE792" i="94"/>
  <c r="FQ792" i="94"/>
  <c r="EU792" i="94"/>
  <c r="ED792" i="94"/>
  <c r="DK792" i="94"/>
  <c r="CO792" i="94"/>
  <c r="BS792" i="94"/>
  <c r="AY792" i="94"/>
  <c r="AC792" i="94"/>
  <c r="LQ792" i="94"/>
  <c r="KA792" i="94"/>
  <c r="II792" i="94"/>
  <c r="FY792" i="94"/>
  <c r="EC792" i="94"/>
  <c r="BU792" i="94"/>
  <c r="KU792" i="94"/>
  <c r="JE792" i="94"/>
  <c r="HE792" i="94"/>
  <c r="EW792" i="94"/>
  <c r="CY792" i="94"/>
  <c r="AU792" i="94"/>
  <c r="MC792" i="94"/>
  <c r="KE792" i="94"/>
  <c r="IO792" i="94"/>
  <c r="GC792" i="94"/>
  <c r="EE792" i="94"/>
  <c r="CE792" i="94"/>
  <c r="Y792" i="94"/>
  <c r="LT791" i="94"/>
  <c r="FU791" i="94"/>
  <c r="FE791" i="94"/>
  <c r="GF791" i="94"/>
  <c r="FO791" i="94"/>
  <c r="LZ791" i="94"/>
  <c r="GB791" i="94"/>
  <c r="FA791" i="94"/>
  <c r="EK791" i="94"/>
  <c r="BJ791" i="94"/>
  <c r="AT791" i="94"/>
  <c r="AD791" i="94"/>
  <c r="LX791" i="94"/>
  <c r="FS791" i="94"/>
  <c r="EY791" i="94"/>
  <c r="EI791" i="94"/>
  <c r="BH791" i="94"/>
  <c r="AR791" i="94"/>
  <c r="AB791" i="94"/>
  <c r="LR791" i="94"/>
  <c r="FM791" i="94"/>
  <c r="EU791" i="94"/>
  <c r="EG791" i="94"/>
  <c r="BD791" i="94"/>
  <c r="AN791" i="94"/>
  <c r="X791" i="94"/>
  <c r="ID791" i="94"/>
  <c r="FK791" i="94"/>
  <c r="ES791" i="94"/>
  <c r="EF791" i="94"/>
  <c r="BB791" i="94"/>
  <c r="AL791" i="94"/>
  <c r="GD791" i="94"/>
  <c r="FG791" i="94"/>
  <c r="EO791" i="94"/>
  <c r="ED791" i="94"/>
  <c r="AX791" i="94"/>
  <c r="AH791" i="94"/>
  <c r="LV791" i="94"/>
  <c r="EM791" i="94"/>
  <c r="AJ791" i="94"/>
  <c r="FI791" i="94"/>
  <c r="BF791" i="94"/>
  <c r="EQ791" i="94"/>
  <c r="AP791" i="94"/>
  <c r="MZ790" i="94"/>
  <c r="MA790" i="94"/>
  <c r="LN790" i="94"/>
  <c r="LF790" i="94"/>
  <c r="KX790" i="94"/>
  <c r="KP790" i="94"/>
  <c r="KH790" i="94"/>
  <c r="JZ790" i="94"/>
  <c r="JR790" i="94"/>
  <c r="JJ790" i="94"/>
  <c r="JB790" i="94"/>
  <c r="IT790" i="94"/>
  <c r="IL790" i="94"/>
  <c r="ID790" i="94"/>
  <c r="HS790" i="94"/>
  <c r="HC790" i="94"/>
  <c r="GM790" i="94"/>
  <c r="GB790" i="94"/>
  <c r="FH790" i="94"/>
  <c r="ER790" i="94"/>
  <c r="EE790" i="94"/>
  <c r="AY790" i="94"/>
  <c r="AI790" i="94"/>
  <c r="MO790" i="94"/>
  <c r="LY790" i="94"/>
  <c r="LM790" i="94"/>
  <c r="LE790" i="94"/>
  <c r="KW790" i="94"/>
  <c r="KO790" i="94"/>
  <c r="KG790" i="94"/>
  <c r="JY790" i="94"/>
  <c r="JQ790" i="94"/>
  <c r="JI790" i="94"/>
  <c r="JA790" i="94"/>
  <c r="IS790" i="94"/>
  <c r="IK790" i="94"/>
  <c r="IC790" i="94"/>
  <c r="HQ790" i="94"/>
  <c r="HA790" i="94"/>
  <c r="GK790" i="94"/>
  <c r="FV790" i="94"/>
  <c r="FF790" i="94"/>
  <c r="EP790" i="94"/>
  <c r="ED790" i="94"/>
  <c r="AW790" i="94"/>
  <c r="AG790" i="94"/>
  <c r="MK790" i="94"/>
  <c r="LU790" i="94"/>
  <c r="LK790" i="94"/>
  <c r="LC790" i="94"/>
  <c r="KU790" i="94"/>
  <c r="KM790" i="94"/>
  <c r="KE790" i="94"/>
  <c r="JW790" i="94"/>
  <c r="JO790" i="94"/>
  <c r="JG790" i="94"/>
  <c r="IY790" i="94"/>
  <c r="IQ790" i="94"/>
  <c r="II790" i="94"/>
  <c r="IA790" i="94"/>
  <c r="HM790" i="94"/>
  <c r="GW790" i="94"/>
  <c r="GG790" i="94"/>
  <c r="FR790" i="94"/>
  <c r="FB790" i="94"/>
  <c r="EL790" i="94"/>
  <c r="BI790" i="94"/>
  <c r="AS790" i="94"/>
  <c r="AC790" i="94"/>
  <c r="ND790" i="94"/>
  <c r="MI790" i="94"/>
  <c r="LS790" i="94"/>
  <c r="LJ790" i="94"/>
  <c r="LB790" i="94"/>
  <c r="KT790" i="94"/>
  <c r="KL790" i="94"/>
  <c r="KD790" i="94"/>
  <c r="JV790" i="94"/>
  <c r="JN790" i="94"/>
  <c r="JF790" i="94"/>
  <c r="IX790" i="94"/>
  <c r="IP790" i="94"/>
  <c r="IH790" i="94"/>
  <c r="HZ790" i="94"/>
  <c r="HK790" i="94"/>
  <c r="GU790" i="94"/>
  <c r="GF790" i="94"/>
  <c r="FP790" i="94"/>
  <c r="EZ790" i="94"/>
  <c r="EJ790" i="94"/>
  <c r="BG790" i="94"/>
  <c r="AQ790" i="94"/>
  <c r="AA790" i="94"/>
  <c r="ME790" i="94"/>
  <c r="LH790" i="94"/>
  <c r="KR790" i="94"/>
  <c r="KB790" i="94"/>
  <c r="JL790" i="94"/>
  <c r="IV790" i="94"/>
  <c r="IF790" i="94"/>
  <c r="HG790" i="94"/>
  <c r="GD790" i="94"/>
  <c r="EV790" i="94"/>
  <c r="BC790" i="94"/>
  <c r="NB790" i="94"/>
  <c r="LP790" i="94"/>
  <c r="KZ790" i="94"/>
  <c r="KJ790" i="94"/>
  <c r="JT790" i="94"/>
  <c r="JD790" i="94"/>
  <c r="IN790" i="94"/>
  <c r="HW790" i="94"/>
  <c r="GQ790" i="94"/>
  <c r="FL790" i="94"/>
  <c r="EG790" i="94"/>
  <c r="AM790" i="94"/>
  <c r="MG790" i="94"/>
  <c r="LI790" i="94"/>
  <c r="KS790" i="94"/>
  <c r="KC790" i="94"/>
  <c r="JM790" i="94"/>
  <c r="IW790" i="94"/>
  <c r="IG790" i="94"/>
  <c r="HI790" i="94"/>
  <c r="GE790" i="94"/>
  <c r="EX790" i="94"/>
  <c r="BE790" i="94"/>
  <c r="Y790" i="94"/>
  <c r="LR789" i="94"/>
  <c r="FO789" i="94"/>
  <c r="EI789" i="94"/>
  <c r="BN789" i="94"/>
  <c r="AF789" i="94"/>
  <c r="HZ789" i="94"/>
  <c r="FK789" i="94"/>
  <c r="EH789" i="94"/>
  <c r="BH789" i="94"/>
  <c r="AB789" i="94"/>
  <c r="GE789" i="94"/>
  <c r="FC789" i="94"/>
  <c r="EF789" i="94"/>
  <c r="AZ789" i="94"/>
  <c r="GD789" i="94"/>
  <c r="EY789" i="94"/>
  <c r="EE789" i="94"/>
  <c r="AV789" i="94"/>
  <c r="LZ789" i="94"/>
  <c r="EQ789" i="94"/>
  <c r="AN789" i="94"/>
  <c r="GB789" i="94"/>
  <c r="DZ789" i="94"/>
  <c r="EU789" i="94"/>
  <c r="AR789" i="94"/>
  <c r="LW788" i="94"/>
  <c r="KI788" i="94"/>
  <c r="IC788" i="94"/>
  <c r="HA788" i="94"/>
  <c r="GD788" i="94"/>
  <c r="FU788" i="94"/>
  <c r="FE788" i="94"/>
  <c r="EO788" i="94"/>
  <c r="ED788" i="94"/>
  <c r="DO788" i="94"/>
  <c r="CY788" i="94"/>
  <c r="CI788" i="94"/>
  <c r="BS788" i="94"/>
  <c r="BC788" i="94"/>
  <c r="AM788" i="94"/>
  <c r="LU788" i="94"/>
  <c r="KA788" i="94"/>
  <c r="IA788" i="94"/>
  <c r="GY788" i="94"/>
  <c r="GC788" i="94"/>
  <c r="FS788" i="94"/>
  <c r="FC788" i="94"/>
  <c r="EM788" i="94"/>
  <c r="EC788" i="94"/>
  <c r="DM788" i="94"/>
  <c r="CW788" i="94"/>
  <c r="CG788" i="94"/>
  <c r="BQ788" i="94"/>
  <c r="BA788" i="94"/>
  <c r="AK788" i="94"/>
  <c r="MO788" i="94"/>
  <c r="LQ788" i="94"/>
  <c r="JK788" i="94"/>
  <c r="HW788" i="94"/>
  <c r="GQ788" i="94"/>
  <c r="GA788" i="94"/>
  <c r="FO788" i="94"/>
  <c r="EY788" i="94"/>
  <c r="EI788" i="94"/>
  <c r="DY788" i="94"/>
  <c r="DI788" i="94"/>
  <c r="CS788" i="94"/>
  <c r="CC788" i="94"/>
  <c r="BM788" i="94"/>
  <c r="AW788" i="94"/>
  <c r="AG788" i="94"/>
  <c r="MM788" i="94"/>
  <c r="LO788" i="94"/>
  <c r="JC788" i="94"/>
  <c r="HQ788" i="94"/>
  <c r="GK788" i="94"/>
  <c r="FZ788" i="94"/>
  <c r="FM788" i="94"/>
  <c r="EW788" i="94"/>
  <c r="EH788" i="94"/>
  <c r="DW788" i="94"/>
  <c r="DG788" i="94"/>
  <c r="CQ788" i="94"/>
  <c r="CA788" i="94"/>
  <c r="BK788" i="94"/>
  <c r="AU788" i="94"/>
  <c r="AE788" i="94"/>
  <c r="KY788" i="94"/>
  <c r="HI788" i="94"/>
  <c r="FX788" i="94"/>
  <c r="ES788" i="94"/>
  <c r="DS788" i="94"/>
  <c r="CM788" i="94"/>
  <c r="ME788" i="94"/>
  <c r="IM788" i="94"/>
  <c r="GF788" i="94"/>
  <c r="FI788" i="94"/>
  <c r="EF788" i="94"/>
  <c r="DC788" i="94"/>
  <c r="LG788" i="94"/>
  <c r="HO788" i="94"/>
  <c r="FY788" i="94"/>
  <c r="EU788" i="94"/>
  <c r="DU788" i="94"/>
  <c r="CO788" i="94"/>
  <c r="BI788" i="94"/>
  <c r="AC788" i="94"/>
  <c r="LZ787" i="94"/>
  <c r="FY787" i="94"/>
  <c r="ET787" i="94"/>
  <c r="DE787" i="94"/>
  <c r="AK787" i="94"/>
  <c r="LV787" i="94"/>
  <c r="FV787" i="94"/>
  <c r="EP787" i="94"/>
  <c r="BY787" i="94"/>
  <c r="AG787" i="94"/>
  <c r="GF787" i="94"/>
  <c r="FN787" i="94"/>
  <c r="EH787" i="94"/>
  <c r="BE787" i="94"/>
  <c r="Y787" i="94"/>
  <c r="GE787" i="94"/>
  <c r="FJ787" i="94"/>
  <c r="EG787" i="94"/>
  <c r="BA787" i="94"/>
  <c r="FF787" i="94"/>
  <c r="AW787" i="94"/>
  <c r="LZ786" i="94"/>
  <c r="LR786" i="94"/>
  <c r="HW786" i="94"/>
  <c r="GQ786" i="94"/>
  <c r="GA786" i="94"/>
  <c r="FS786" i="94"/>
  <c r="FK786" i="94"/>
  <c r="FC786" i="94"/>
  <c r="EU786" i="94"/>
  <c r="EM786" i="94"/>
  <c r="EE786" i="94"/>
  <c r="DW786" i="94"/>
  <c r="DO786" i="94"/>
  <c r="DG786" i="94"/>
  <c r="CY786" i="94"/>
  <c r="CQ786" i="94"/>
  <c r="CI786" i="94"/>
  <c r="CA786" i="94"/>
  <c r="BS786" i="94"/>
  <c r="BK786" i="94"/>
  <c r="BC786" i="94"/>
  <c r="AU786" i="94"/>
  <c r="AM786" i="94"/>
  <c r="AE786" i="94"/>
  <c r="LY786" i="94"/>
  <c r="LQ786" i="94"/>
  <c r="HP786" i="94"/>
  <c r="GJ786" i="94"/>
  <c r="FZ786" i="94"/>
  <c r="FR786" i="94"/>
  <c r="FJ786" i="94"/>
  <c r="FB786" i="94"/>
  <c r="ET786" i="94"/>
  <c r="EL786" i="94"/>
  <c r="ED786" i="94"/>
  <c r="DV786" i="94"/>
  <c r="DN786" i="94"/>
  <c r="DF786" i="94"/>
  <c r="CX786" i="94"/>
  <c r="CP786" i="94"/>
  <c r="CH786" i="94"/>
  <c r="BZ786" i="94"/>
  <c r="BR786" i="94"/>
  <c r="BJ786" i="94"/>
  <c r="BB786" i="94"/>
  <c r="AT786" i="94"/>
  <c r="AL786" i="94"/>
  <c r="AD786" i="94"/>
  <c r="LW786" i="94"/>
  <c r="JU786" i="94"/>
  <c r="HH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M786" i="94"/>
  <c r="LV786" i="94"/>
  <c r="IO786" i="94"/>
  <c r="HG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LU786" i="94"/>
  <c r="GZ786" i="94"/>
  <c r="FV786" i="94"/>
  <c r="FF786" i="94"/>
  <c r="EP786" i="94"/>
  <c r="DZ786" i="94"/>
  <c r="DJ786" i="94"/>
  <c r="CT786" i="94"/>
  <c r="CD786" i="94"/>
  <c r="BN786" i="94"/>
  <c r="AX786" i="94"/>
  <c r="AH786" i="94"/>
  <c r="ML785" i="94"/>
  <c r="LS785" i="94"/>
  <c r="GD785" i="94"/>
  <c r="FV785" i="94"/>
  <c r="FN785" i="94"/>
  <c r="FF785" i="94"/>
  <c r="EX785" i="94"/>
  <c r="EP785" i="94"/>
  <c r="EH785" i="94"/>
  <c r="DZ785" i="94"/>
  <c r="DR785" i="94"/>
  <c r="DJ785" i="94"/>
  <c r="DB785" i="94"/>
  <c r="CT785" i="94"/>
  <c r="CL785" i="94"/>
  <c r="CD785" i="94"/>
  <c r="BV785" i="94"/>
  <c r="BN785" i="94"/>
  <c r="LZ785" i="94"/>
  <c r="LR785" i="94"/>
  <c r="GC785" i="94"/>
  <c r="FU785" i="94"/>
  <c r="FM785" i="94"/>
  <c r="FE785" i="94"/>
  <c r="EW785" i="94"/>
  <c r="EO785" i="94"/>
  <c r="EG785" i="94"/>
  <c r="DY785" i="94"/>
  <c r="DQ785" i="94"/>
  <c r="DI785" i="94"/>
  <c r="DA785" i="94"/>
  <c r="CS785" i="94"/>
  <c r="CK785" i="94"/>
  <c r="CC785" i="94"/>
  <c r="BU785" i="94"/>
  <c r="BM785" i="94"/>
  <c r="LX785" i="94"/>
  <c r="IC785" i="94"/>
  <c r="GA785" i="94"/>
  <c r="FS785" i="94"/>
  <c r="FK785" i="94"/>
  <c r="FC785" i="94"/>
  <c r="EU785" i="94"/>
  <c r="EM785" i="94"/>
  <c r="EE785" i="94"/>
  <c r="DW785" i="94"/>
  <c r="DO785" i="94"/>
  <c r="DG785" i="94"/>
  <c r="CY785" i="94"/>
  <c r="CQ785" i="94"/>
  <c r="CI785" i="94"/>
  <c r="CA785" i="94"/>
  <c r="BS785" i="94"/>
  <c r="BK785" i="94"/>
  <c r="LW785" i="94"/>
  <c r="HP785" i="94"/>
  <c r="FZ785" i="94"/>
  <c r="FR785" i="94"/>
  <c r="FJ785" i="94"/>
  <c r="FB785" i="94"/>
  <c r="ET785" i="94"/>
  <c r="EL785" i="94"/>
  <c r="ED785" i="94"/>
  <c r="DV785" i="94"/>
  <c r="DN785" i="94"/>
  <c r="DF785" i="94"/>
  <c r="CX785" i="94"/>
  <c r="CP785" i="94"/>
  <c r="CH785" i="94"/>
  <c r="BZ785" i="94"/>
  <c r="BR785" i="94"/>
  <c r="LV785" i="94"/>
  <c r="FY785" i="94"/>
  <c r="FI785" i="94"/>
  <c r="ES785" i="94"/>
  <c r="EC785" i="94"/>
  <c r="DM785" i="94"/>
  <c r="CW785" i="94"/>
  <c r="CG785" i="94"/>
  <c r="BQ785" i="94"/>
  <c r="BF785" i="94"/>
  <c r="AX785" i="94"/>
  <c r="AP785" i="94"/>
  <c r="AH785" i="94"/>
  <c r="Z785" i="94"/>
  <c r="MO784" i="94"/>
  <c r="MG784" i="94"/>
  <c r="LY784" i="94"/>
  <c r="LQ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LV783" i="94"/>
  <c r="HI783" i="94"/>
  <c r="FV783" i="94"/>
  <c r="FN783" i="94"/>
  <c r="FF783" i="94"/>
  <c r="EX783" i="94"/>
  <c r="EP783" i="94"/>
  <c r="EH783" i="94"/>
  <c r="BJ783" i="94"/>
  <c r="BB783" i="94"/>
  <c r="AT783" i="94"/>
  <c r="AL783" i="94"/>
  <c r="AD783" i="94"/>
  <c r="NC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U782" i="94"/>
  <c r="FM782" i="94"/>
  <c r="FE782" i="94"/>
  <c r="EW782" i="94"/>
  <c r="EO782" i="94"/>
  <c r="EG782" i="94"/>
  <c r="BK782" i="94"/>
  <c r="BC782" i="94"/>
  <c r="AU782" i="94"/>
  <c r="AM782" i="94"/>
  <c r="AE782" i="94"/>
  <c r="MK781" i="94"/>
  <c r="LT781" i="94"/>
  <c r="GO781" i="94"/>
  <c r="FV781" i="94"/>
  <c r="FN781" i="94"/>
  <c r="FF781" i="94"/>
  <c r="EX781" i="94"/>
  <c r="EP781" i="94"/>
  <c r="EH781" i="94"/>
  <c r="DR781" i="94"/>
  <c r="CY781" i="94"/>
  <c r="CB781" i="94"/>
  <c r="BJ781" i="94"/>
  <c r="BB781" i="94"/>
  <c r="AT781" i="94"/>
  <c r="O953" i="94"/>
  <c r="DL816" i="94"/>
  <c r="MI816" i="94"/>
  <c r="MG814" i="94"/>
  <c r="I957" i="94"/>
  <c r="M962" i="94"/>
  <c r="I966" i="94"/>
  <c r="Q966" i="94"/>
  <c r="M971" i="94"/>
  <c r="I975" i="94"/>
  <c r="Q975" i="94"/>
  <c r="E818" i="94"/>
  <c r="GC815" i="94"/>
  <c r="K962" i="94"/>
  <c r="O966" i="94"/>
  <c r="LV814" i="94"/>
  <c r="MJ814" i="94"/>
  <c r="AJ815" i="94"/>
  <c r="AZ815" i="94"/>
  <c r="EH815" i="94"/>
  <c r="EX815" i="94"/>
  <c r="FN815" i="94"/>
  <c r="LR815" i="94"/>
  <c r="AD816" i="94"/>
  <c r="AT816" i="94"/>
  <c r="BJ816" i="94"/>
  <c r="BZ816" i="94"/>
  <c r="CR816" i="94"/>
  <c r="DP816" i="94"/>
  <c r="EJ816" i="94"/>
  <c r="EZ816" i="94"/>
  <c r="FP816" i="94"/>
  <c r="GH816" i="94"/>
  <c r="GX816" i="94"/>
  <c r="HN816" i="94"/>
  <c r="J984" i="94"/>
  <c r="LX814" i="94"/>
  <c r="MK814" i="94"/>
  <c r="AK815" i="94"/>
  <c r="BA815" i="94"/>
  <c r="EI815" i="94"/>
  <c r="EY815" i="94"/>
  <c r="FO815" i="94"/>
  <c r="LS815" i="94"/>
  <c r="AH816" i="94"/>
  <c r="AX816" i="94"/>
  <c r="BN816" i="94"/>
  <c r="CD816" i="94"/>
  <c r="CV816" i="94"/>
  <c r="DU816" i="94"/>
  <c r="EN816" i="94"/>
  <c r="FD816" i="94"/>
  <c r="FT816" i="94"/>
  <c r="GL816" i="94"/>
  <c r="HB816" i="94"/>
  <c r="HR816" i="94"/>
  <c r="LS816" i="94"/>
  <c r="LY814" i="94"/>
  <c r="MO814" i="94"/>
  <c r="AL815" i="94"/>
  <c r="BB815" i="94"/>
  <c r="EJ815" i="94"/>
  <c r="EZ815" i="94"/>
  <c r="FP815" i="94"/>
  <c r="LW815" i="94"/>
  <c r="AJ816" i="94"/>
  <c r="AZ816" i="94"/>
  <c r="BP816" i="94"/>
  <c r="CF816" i="94"/>
  <c r="CZ816" i="94"/>
  <c r="DY816" i="94"/>
  <c r="EP816" i="94"/>
  <c r="FF816" i="94"/>
  <c r="FV816" i="94"/>
  <c r="GN816" i="94"/>
  <c r="HD816" i="94"/>
  <c r="HT816" i="94"/>
  <c r="LV816" i="94"/>
  <c r="ML816" i="94"/>
  <c r="MN792" i="94"/>
  <c r="LW791" i="94"/>
  <c r="ML790" i="94"/>
  <c r="LW789" i="94"/>
  <c r="LY787" i="94"/>
  <c r="HU814" i="94"/>
  <c r="LQ814" i="94"/>
  <c r="MB814" i="94"/>
  <c r="AB815" i="94"/>
  <c r="AR815" i="94"/>
  <c r="BH815" i="94"/>
  <c r="EP815" i="94"/>
  <c r="FF815" i="94"/>
  <c r="FV815" i="94"/>
  <c r="LZ815" i="94"/>
  <c r="AL816" i="94"/>
  <c r="BB816" i="94"/>
  <c r="BR816" i="94"/>
  <c r="CI816" i="94"/>
  <c r="DC816" i="94"/>
  <c r="EB816" i="94"/>
  <c r="ER816" i="94"/>
  <c r="FH816" i="94"/>
  <c r="FX816" i="94"/>
  <c r="GP816" i="94"/>
  <c r="HF816" i="94"/>
  <c r="HV816" i="94"/>
  <c r="LY816" i="94"/>
  <c r="MC814" i="94"/>
  <c r="AC815" i="94"/>
  <c r="AS815" i="94"/>
  <c r="BI815" i="94"/>
  <c r="EQ815" i="94"/>
  <c r="FG815" i="94"/>
  <c r="GB815" i="94"/>
  <c r="Z816" i="94"/>
  <c r="AP816" i="94"/>
  <c r="BF816" i="94"/>
  <c r="BV816" i="94"/>
  <c r="CM816" i="94"/>
  <c r="DI816" i="94"/>
  <c r="EF816" i="94"/>
  <c r="EV816" i="94"/>
  <c r="FL816" i="94"/>
  <c r="GD816" i="94"/>
  <c r="GT816" i="94"/>
  <c r="HJ816" i="94"/>
  <c r="MF816" i="94"/>
  <c r="I962" i="94"/>
  <c r="M966" i="94"/>
  <c r="Q971" i="94"/>
  <c r="HW814" i="94"/>
  <c r="LT814" i="94"/>
  <c r="AD815" i="94"/>
  <c r="AT815" i="94"/>
  <c r="BJ815" i="94"/>
  <c r="ER815" i="94"/>
  <c r="FH815" i="94"/>
  <c r="AB816" i="94"/>
  <c r="AR816" i="94"/>
  <c r="BH816" i="94"/>
  <c r="BX816" i="94"/>
  <c r="CO816" i="94"/>
  <c r="EH816" i="94"/>
  <c r="EX816" i="94"/>
  <c r="FN816" i="94"/>
  <c r="GF816" i="94"/>
  <c r="GV816" i="94"/>
  <c r="HL816" i="94"/>
  <c r="H984" i="94"/>
  <c r="L785" i="94"/>
  <c r="JW812" i="94"/>
  <c r="NC788" i="94"/>
  <c r="NC786" i="94"/>
  <c r="HR779" i="94"/>
  <c r="MY816" i="94"/>
  <c r="MU816" i="94"/>
  <c r="MQ816" i="94"/>
  <c r="MX816" i="94"/>
  <c r="MT816" i="94"/>
  <c r="MP816" i="94"/>
  <c r="MW816" i="94"/>
  <c r="MS816" i="94"/>
  <c r="MV816" i="94"/>
  <c r="MR816" i="94"/>
  <c r="MW815" i="94"/>
  <c r="MS815" i="94"/>
  <c r="MV815" i="94"/>
  <c r="MR815" i="94"/>
  <c r="MY815" i="94"/>
  <c r="MU815" i="94"/>
  <c r="MQ815" i="94"/>
  <c r="MP815" i="94"/>
  <c r="MX815" i="94"/>
  <c r="MT815" i="94"/>
  <c r="MY814" i="94"/>
  <c r="MU814" i="94"/>
  <c r="MQ814" i="94"/>
  <c r="MX814" i="94"/>
  <c r="MT814" i="94"/>
  <c r="MP814" i="94"/>
  <c r="MW814" i="94"/>
  <c r="MS814" i="94"/>
  <c r="MV814" i="94"/>
  <c r="MR814" i="94"/>
  <c r="MW813" i="94"/>
  <c r="MS813" i="94"/>
  <c r="MV813" i="94"/>
  <c r="MR813" i="94"/>
  <c r="MY813" i="94"/>
  <c r="MU813" i="94"/>
  <c r="MQ813" i="94"/>
  <c r="MT813" i="94"/>
  <c r="MP813" i="94"/>
  <c r="MX813" i="94"/>
  <c r="MY812" i="94"/>
  <c r="MU812" i="94"/>
  <c r="MQ812" i="94"/>
  <c r="MX812" i="94"/>
  <c r="MT812" i="94"/>
  <c r="MP812" i="94"/>
  <c r="MW812" i="94"/>
  <c r="MS812" i="94"/>
  <c r="MV812" i="94"/>
  <c r="MR812" i="94"/>
  <c r="MW811" i="94"/>
  <c r="MS811" i="94"/>
  <c r="MV811" i="94"/>
  <c r="MR811" i="94"/>
  <c r="MY811" i="94"/>
  <c r="MU811" i="94"/>
  <c r="MQ811" i="94"/>
  <c r="MX811" i="94"/>
  <c r="MT811" i="94"/>
  <c r="MP811" i="94"/>
  <c r="MY810" i="94"/>
  <c r="MU810" i="94"/>
  <c r="MQ810" i="94"/>
  <c r="MX810" i="94"/>
  <c r="MT810" i="94"/>
  <c r="MP810" i="94"/>
  <c r="MW810" i="94"/>
  <c r="MS810" i="94"/>
  <c r="MR810" i="94"/>
  <c r="MV810" i="94"/>
  <c r="MW809" i="94"/>
  <c r="MS809" i="94"/>
  <c r="MV809" i="94"/>
  <c r="MR809" i="94"/>
  <c r="MY809" i="94"/>
  <c r="MU809" i="94"/>
  <c r="MQ809" i="94"/>
  <c r="MX809" i="94"/>
  <c r="MT809" i="94"/>
  <c r="MP809" i="94"/>
  <c r="MY808" i="94"/>
  <c r="MU808" i="94"/>
  <c r="MQ808" i="94"/>
  <c r="MX808" i="94"/>
  <c r="MT808" i="94"/>
  <c r="MP808" i="94"/>
  <c r="MW808" i="94"/>
  <c r="MS808" i="94"/>
  <c r="MV808" i="94"/>
  <c r="MR808" i="94"/>
  <c r="MW807" i="94"/>
  <c r="MS807" i="94"/>
  <c r="MV807" i="94"/>
  <c r="MR807" i="94"/>
  <c r="MY807" i="94"/>
  <c r="MU807" i="94"/>
  <c r="MQ807" i="94"/>
  <c r="MP807" i="94"/>
  <c r="MX807" i="94"/>
  <c r="MT807" i="94"/>
  <c r="MY806" i="94"/>
  <c r="MU806" i="94"/>
  <c r="MQ806" i="94"/>
  <c r="MX806" i="94"/>
  <c r="MT806" i="94"/>
  <c r="MP806" i="94"/>
  <c r="MW806" i="94"/>
  <c r="MS806" i="94"/>
  <c r="MV806" i="94"/>
  <c r="MR806" i="94"/>
  <c r="MW805" i="94"/>
  <c r="MS805" i="94"/>
  <c r="MV805" i="94"/>
  <c r="MR805" i="94"/>
  <c r="MY805" i="94"/>
  <c r="MU805" i="94"/>
  <c r="MQ805" i="94"/>
  <c r="MT805" i="94"/>
  <c r="MP805" i="94"/>
  <c r="MX805" i="94"/>
  <c r="MY804" i="94"/>
  <c r="MU804" i="94"/>
  <c r="MQ804" i="94"/>
  <c r="MX804" i="94"/>
  <c r="MT804" i="94"/>
  <c r="MP804" i="94"/>
  <c r="MW804" i="94"/>
  <c r="MS804" i="94"/>
  <c r="MV804" i="94"/>
  <c r="MR804" i="94"/>
  <c r="MW803" i="94"/>
  <c r="MS803" i="94"/>
  <c r="MV803" i="94"/>
  <c r="MR803" i="94"/>
  <c r="MY803" i="94"/>
  <c r="MU803" i="94"/>
  <c r="MQ803" i="94"/>
  <c r="MX803" i="94"/>
  <c r="MT803" i="94"/>
  <c r="MP803" i="94"/>
  <c r="MY802" i="94"/>
  <c r="MU802" i="94"/>
  <c r="MQ802" i="94"/>
  <c r="MX802" i="94"/>
  <c r="MT802" i="94"/>
  <c r="MP802" i="94"/>
  <c r="MW802" i="94"/>
  <c r="MS802" i="94"/>
  <c r="MR802" i="94"/>
  <c r="MV802" i="94"/>
  <c r="MW801" i="94"/>
  <c r="MS801" i="94"/>
  <c r="MV801" i="94"/>
  <c r="MR801" i="94"/>
  <c r="MY801" i="94"/>
  <c r="MU801" i="94"/>
  <c r="MQ801" i="94"/>
  <c r="MX801" i="94"/>
  <c r="MT801" i="94"/>
  <c r="MP801" i="94"/>
  <c r="MY800" i="94"/>
  <c r="MU800" i="94"/>
  <c r="MQ800" i="94"/>
  <c r="MX800" i="94"/>
  <c r="MT800" i="94"/>
  <c r="MP800" i="94"/>
  <c r="MW800" i="94"/>
  <c r="MS800" i="94"/>
  <c r="MV800" i="94"/>
  <c r="MR800" i="94"/>
  <c r="MW799" i="94"/>
  <c r="MS799" i="94"/>
  <c r="MV799" i="94"/>
  <c r="MR799" i="94"/>
  <c r="MY799" i="94"/>
  <c r="MU799" i="94"/>
  <c r="MQ799" i="94"/>
  <c r="MP799" i="94"/>
  <c r="MX799" i="94"/>
  <c r="MT799" i="94"/>
  <c r="MY798" i="94"/>
  <c r="MU798" i="94"/>
  <c r="MQ798" i="94"/>
  <c r="MX798" i="94"/>
  <c r="MT798" i="94"/>
  <c r="MP798" i="94"/>
  <c r="MW798" i="94"/>
  <c r="MS798" i="94"/>
  <c r="MV798" i="94"/>
  <c r="MR798" i="94"/>
  <c r="MW797" i="94"/>
  <c r="MS797" i="94"/>
  <c r="MV797" i="94"/>
  <c r="MR797" i="94"/>
  <c r="MY797" i="94"/>
  <c r="MU797" i="94"/>
  <c r="MQ797" i="94"/>
  <c r="MT797" i="94"/>
  <c r="MP797" i="94"/>
  <c r="MX797" i="94"/>
  <c r="MY796" i="94"/>
  <c r="MU796" i="94"/>
  <c r="MQ796" i="94"/>
  <c r="MX796" i="94"/>
  <c r="MT796" i="94"/>
  <c r="MP796" i="94"/>
  <c r="MW796" i="94"/>
  <c r="MS796" i="94"/>
  <c r="MV796" i="94"/>
  <c r="MR796" i="94"/>
  <c r="MW795" i="94"/>
  <c r="MS795" i="94"/>
  <c r="MV795" i="94"/>
  <c r="MR795" i="94"/>
  <c r="MY795" i="94"/>
  <c r="MU795" i="94"/>
  <c r="MQ795" i="94"/>
  <c r="MX795" i="94"/>
  <c r="MT795" i="94"/>
  <c r="MP795" i="94"/>
  <c r="MY794" i="94"/>
  <c r="MU794" i="94"/>
  <c r="MQ794" i="94"/>
  <c r="MX794" i="94"/>
  <c r="MT794" i="94"/>
  <c r="MP794" i="94"/>
  <c r="MW794" i="94"/>
  <c r="MS794" i="94"/>
  <c r="MR794" i="94"/>
  <c r="MV794" i="94"/>
  <c r="MW793" i="94"/>
  <c r="MS793" i="94"/>
  <c r="MV793" i="94"/>
  <c r="MR793" i="94"/>
  <c r="MY793" i="94"/>
  <c r="MU793" i="94"/>
  <c r="MQ793" i="94"/>
  <c r="MX793" i="94"/>
  <c r="MT793" i="94"/>
  <c r="MP793" i="94"/>
  <c r="MY792" i="94"/>
  <c r="MU792" i="94"/>
  <c r="MQ792" i="94"/>
  <c r="MX792" i="94"/>
  <c r="MT792" i="94"/>
  <c r="MP792" i="94"/>
  <c r="MW792" i="94"/>
  <c r="MS792" i="94"/>
  <c r="MV792" i="94"/>
  <c r="MR792" i="94"/>
  <c r="MW791" i="94"/>
  <c r="MS791" i="94"/>
  <c r="MV791" i="94"/>
  <c r="MR791" i="94"/>
  <c r="MY791" i="94"/>
  <c r="MU791" i="94"/>
  <c r="MQ791" i="94"/>
  <c r="MP791" i="94"/>
  <c r="MX791" i="94"/>
  <c r="MT791" i="94"/>
  <c r="MY790" i="94"/>
  <c r="MU790" i="94"/>
  <c r="MQ790" i="94"/>
  <c r="MX790" i="94"/>
  <c r="MT790" i="94"/>
  <c r="MP790" i="94"/>
  <c r="MW790" i="94"/>
  <c r="MS790" i="94"/>
  <c r="MV790" i="94"/>
  <c r="MR790" i="94"/>
  <c r="MW785" i="94"/>
  <c r="MS785" i="94"/>
  <c r="MV785" i="94"/>
  <c r="MR785" i="94"/>
  <c r="MY785" i="94"/>
  <c r="MU785" i="94"/>
  <c r="MQ785" i="94"/>
  <c r="MT785" i="94"/>
  <c r="MP785" i="94"/>
  <c r="MX785" i="94"/>
  <c r="MY784" i="94"/>
  <c r="MU784" i="94"/>
  <c r="MQ784" i="94"/>
  <c r="MX784" i="94"/>
  <c r="MT784" i="94"/>
  <c r="MP784" i="94"/>
  <c r="MW784" i="94"/>
  <c r="MS784" i="94"/>
  <c r="MV784" i="94"/>
  <c r="MR784" i="94"/>
  <c r="MW783" i="94"/>
  <c r="MS783" i="94"/>
  <c r="MV783" i="94"/>
  <c r="MR783" i="94"/>
  <c r="MY783" i="94"/>
  <c r="MU783" i="94"/>
  <c r="MQ783" i="94"/>
  <c r="MX783" i="94"/>
  <c r="MT783" i="94"/>
  <c r="MP783" i="94"/>
  <c r="MY782" i="94"/>
  <c r="MU782" i="94"/>
  <c r="MQ782" i="94"/>
  <c r="MX782" i="94"/>
  <c r="MT782" i="94"/>
  <c r="MP782" i="94"/>
  <c r="MW782" i="94"/>
  <c r="MS782" i="94"/>
  <c r="MR782" i="94"/>
  <c r="MV782" i="94"/>
  <c r="MW781" i="94"/>
  <c r="MS781" i="94"/>
  <c r="MV781" i="94"/>
  <c r="MR781" i="94"/>
  <c r="MY781" i="94"/>
  <c r="MU781" i="94"/>
  <c r="MQ781" i="94"/>
  <c r="MX781" i="94"/>
  <c r="MT781" i="94"/>
  <c r="MP781" i="94"/>
  <c r="MY780" i="94"/>
  <c r="MU780" i="94"/>
  <c r="MQ780" i="94"/>
  <c r="MX780" i="94"/>
  <c r="MT780" i="94"/>
  <c r="MP780" i="94"/>
  <c r="MW780" i="94"/>
  <c r="MS780" i="94"/>
  <c r="MV780" i="94"/>
  <c r="MR780" i="94"/>
  <c r="HG795" i="94"/>
  <c r="MM783" i="94"/>
  <c r="H953" i="94"/>
  <c r="K953" i="94"/>
  <c r="O962" i="94"/>
  <c r="K966" i="94"/>
  <c r="O971" i="94"/>
  <c r="I980" i="94"/>
  <c r="MW779" i="94"/>
  <c r="MS779" i="94"/>
  <c r="MV779" i="94"/>
  <c r="MR779" i="94"/>
  <c r="MY779" i="94"/>
  <c r="MU779" i="94"/>
  <c r="MQ779" i="94"/>
  <c r="MP779" i="94"/>
  <c r="MX779" i="94"/>
  <c r="MT779" i="94"/>
  <c r="FX812" i="94"/>
  <c r="M957" i="94"/>
  <c r="I971" i="94"/>
  <c r="M975" i="94"/>
  <c r="K980" i="94"/>
  <c r="I984" i="94"/>
  <c r="MK788" i="94"/>
  <c r="ML786" i="94"/>
  <c r="IO788" i="94"/>
  <c r="JE788" i="94"/>
  <c r="JU788" i="94"/>
  <c r="KK788" i="94"/>
  <c r="LA788" i="94"/>
  <c r="II788" i="94"/>
  <c r="IQ788" i="94"/>
  <c r="IY788" i="94"/>
  <c r="JG788" i="94"/>
  <c r="JO788" i="94"/>
  <c r="JW788" i="94"/>
  <c r="KE788" i="94"/>
  <c r="KM788" i="94"/>
  <c r="KU788" i="94"/>
  <c r="LC788" i="94"/>
  <c r="LK788" i="94"/>
  <c r="NA788" i="94"/>
  <c r="ND788" i="94"/>
  <c r="IG788" i="94"/>
  <c r="IW788" i="94"/>
  <c r="JM788" i="94"/>
  <c r="KC788" i="94"/>
  <c r="KS788" i="94"/>
  <c r="LI788" i="94"/>
  <c r="IK788" i="94"/>
  <c r="IS788" i="94"/>
  <c r="JA788" i="94"/>
  <c r="JI788" i="94"/>
  <c r="JQ788" i="94"/>
  <c r="JY788" i="94"/>
  <c r="KG788" i="94"/>
  <c r="KO788" i="94"/>
  <c r="KW788" i="94"/>
  <c r="LE788" i="94"/>
  <c r="LM788" i="94"/>
  <c r="IW786" i="94"/>
  <c r="KC786" i="94"/>
  <c r="LI786" i="94"/>
  <c r="JE786" i="94"/>
  <c r="KK786" i="94"/>
  <c r="IG786" i="94"/>
  <c r="JM786" i="94"/>
  <c r="KS786" i="94"/>
  <c r="II786" i="94"/>
  <c r="IY786" i="94"/>
  <c r="JO786" i="94"/>
  <c r="KE786" i="94"/>
  <c r="KM786" i="94"/>
  <c r="LK786" i="94"/>
  <c r="IK786" i="94"/>
  <c r="IS786" i="94"/>
  <c r="JA786" i="94"/>
  <c r="JI786" i="94"/>
  <c r="JQ786" i="94"/>
  <c r="JY786" i="94"/>
  <c r="KG786" i="94"/>
  <c r="KO786" i="94"/>
  <c r="KW786" i="94"/>
  <c r="LE786" i="94"/>
  <c r="LM786" i="94"/>
  <c r="NA786" i="94"/>
  <c r="NB786" i="94"/>
  <c r="IQ786" i="94"/>
  <c r="JG786" i="94"/>
  <c r="JW786" i="94"/>
  <c r="KU786" i="94"/>
  <c r="LC786" i="94"/>
  <c r="IE786" i="94"/>
  <c r="IM786" i="94"/>
  <c r="IU786" i="94"/>
  <c r="JC786" i="94"/>
  <c r="JK786" i="94"/>
  <c r="JS786" i="94"/>
  <c r="KA786" i="94"/>
  <c r="KI786" i="94"/>
  <c r="KQ786" i="94"/>
  <c r="KY786" i="94"/>
  <c r="LG786" i="94"/>
  <c r="LO786" i="94"/>
  <c r="GM788" i="94"/>
  <c r="GU788" i="94"/>
  <c r="HC788" i="94"/>
  <c r="HK788" i="94"/>
  <c r="HS788" i="94"/>
  <c r="MA788" i="94"/>
  <c r="MI788" i="94"/>
  <c r="ML788" i="94"/>
  <c r="GG788" i="94"/>
  <c r="GO788" i="94"/>
  <c r="GW788" i="94"/>
  <c r="HE788" i="94"/>
  <c r="HM788" i="94"/>
  <c r="HU788" i="94"/>
  <c r="MC788" i="94"/>
  <c r="GM786" i="94"/>
  <c r="GU786" i="94"/>
  <c r="HC786" i="94"/>
  <c r="HK786" i="94"/>
  <c r="HS786" i="94"/>
  <c r="MF786" i="94"/>
  <c r="MN786" i="94"/>
  <c r="GN786" i="94"/>
  <c r="GV786" i="94"/>
  <c r="HD786" i="94"/>
  <c r="HL786" i="94"/>
  <c r="HT786" i="94"/>
  <c r="MA786" i="94"/>
  <c r="MI786" i="94"/>
  <c r="GG786" i="94"/>
  <c r="GK786" i="94"/>
  <c r="GO786" i="94"/>
  <c r="GS786" i="94"/>
  <c r="GW786" i="94"/>
  <c r="HA786" i="94"/>
  <c r="HE786" i="94"/>
  <c r="HI786" i="94"/>
  <c r="HM786" i="94"/>
  <c r="HQ786" i="94"/>
  <c r="HU786" i="94"/>
  <c r="HY786" i="94"/>
  <c r="MC786" i="94"/>
  <c r="MG786" i="94"/>
  <c r="MK786" i="94"/>
  <c r="MO786" i="94"/>
  <c r="GH786" i="94"/>
  <c r="GL786" i="94"/>
  <c r="GP786" i="94"/>
  <c r="GT786" i="94"/>
  <c r="GX786" i="94"/>
  <c r="HB786" i="94"/>
  <c r="HF786" i="94"/>
  <c r="HJ786" i="94"/>
  <c r="HN786" i="94"/>
  <c r="HR786" i="94"/>
  <c r="HV786" i="94"/>
  <c r="MD786" i="94"/>
  <c r="MH786"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W789" i="94"/>
  <c r="MS789" i="94"/>
  <c r="MY789" i="94"/>
  <c r="MQ789" i="94"/>
  <c r="MT789" i="94"/>
  <c r="MV789" i="94"/>
  <c r="MR789" i="94"/>
  <c r="MU789" i="94"/>
  <c r="MX789" i="94"/>
  <c r="MP789" i="94"/>
  <c r="MY788" i="94"/>
  <c r="MU788" i="94"/>
  <c r="MQ788" i="94"/>
  <c r="MW788" i="94"/>
  <c r="MS788" i="94"/>
  <c r="MV788" i="94"/>
  <c r="MR788" i="94"/>
  <c r="MX788" i="94"/>
  <c r="MT788" i="94"/>
  <c r="MP788" i="94"/>
  <c r="MW787" i="94"/>
  <c r="MS787" i="94"/>
  <c r="MY787" i="94"/>
  <c r="MX787" i="94"/>
  <c r="MV787" i="94"/>
  <c r="MR787" i="94"/>
  <c r="MU787" i="94"/>
  <c r="MQ787" i="94"/>
  <c r="MT787" i="94"/>
  <c r="MP787" i="94"/>
  <c r="MY786" i="94"/>
  <c r="MU786" i="94"/>
  <c r="MQ786" i="94"/>
  <c r="MX786" i="94"/>
  <c r="MT786" i="94"/>
  <c r="MP786" i="94"/>
  <c r="MW786" i="94"/>
  <c r="MS786" i="94"/>
  <c r="MV786" i="94"/>
  <c r="MR786"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HS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MN790" i="94"/>
  <c r="CU790"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AD789" i="94"/>
  <c r="AL789" i="94"/>
  <c r="AT789" i="94"/>
  <c r="BB789" i="94"/>
  <c r="BJ789" i="94"/>
  <c r="DJ789" i="94"/>
  <c r="EK789" i="94"/>
  <c r="ES789" i="94"/>
  <c r="FA789" i="94"/>
  <c r="FI789" i="94"/>
  <c r="FQ789" i="94"/>
  <c r="LX789" i="94"/>
  <c r="Z789" i="94"/>
  <c r="AH789" i="94"/>
  <c r="AP789" i="94"/>
  <c r="AX789" i="94"/>
  <c r="BF789" i="94"/>
  <c r="CD789" i="94"/>
  <c r="EO789" i="94"/>
  <c r="EW789" i="94"/>
  <c r="FE789" i="94"/>
  <c r="FM789" i="94"/>
  <c r="FU789" i="94"/>
  <c r="LT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LY789"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AA787" i="94"/>
  <c r="AI787" i="94"/>
  <c r="AQ787" i="94"/>
  <c r="AY787" i="94"/>
  <c r="BG787" i="94"/>
  <c r="CO787" i="94"/>
  <c r="EJ787" i="94"/>
  <c r="ER787" i="94"/>
  <c r="EZ787" i="94"/>
  <c r="FH787" i="94"/>
  <c r="FP787" i="94"/>
  <c r="LT787" i="94"/>
  <c r="AE787" i="94"/>
  <c r="AM787" i="94"/>
  <c r="AU787" i="94"/>
  <c r="BC787" i="94"/>
  <c r="BK787" i="94"/>
  <c r="DU787" i="94"/>
  <c r="EN787" i="94"/>
  <c r="EV787" i="94"/>
  <c r="FD787" i="94"/>
  <c r="FL787" i="94"/>
  <c r="FT787" i="94"/>
  <c r="HT787" i="94"/>
  <c r="LX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HW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AW817" i="94" s="1"/>
  <c r="K830" i="94" s="1"/>
  <c r="K854" i="94" s="1"/>
  <c r="BE815" i="94"/>
  <c r="EE815" i="94"/>
  <c r="EE817" i="94" s="1"/>
  <c r="L835" i="94" s="1"/>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EF817" i="94"/>
  <c r="M835" i="94" s="1"/>
  <c r="GD817" i="94"/>
  <c r="M938" i="94" s="1"/>
  <c r="BA817" i="94"/>
  <c r="O830" i="94" s="1"/>
  <c r="O854"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H817" i="94" l="1"/>
  <c r="O835" i="94" s="1"/>
  <c r="GF817" i="94"/>
  <c r="O938" i="94" s="1"/>
  <c r="EQ817" i="94"/>
  <c r="N929" i="94" s="1"/>
  <c r="FG817" i="94"/>
  <c r="O932" i="94" s="1"/>
  <c r="EG817" i="94"/>
  <c r="N835" i="94" s="1"/>
  <c r="LV817" i="94"/>
  <c r="GE817" i="94"/>
  <c r="N938" i="94" s="1"/>
  <c r="GC817" i="94"/>
  <c r="L938" i="94" s="1"/>
  <c r="LY817" i="94"/>
  <c r="GB817" i="94"/>
  <c r="K938" i="94" s="1"/>
  <c r="ED817" i="94"/>
  <c r="K835" i="94" s="1"/>
  <c r="EU817" i="94"/>
  <c r="M930" i="94" s="1"/>
  <c r="FE817" i="94"/>
  <c r="M932" i="94" s="1"/>
  <c r="BC817" i="94"/>
  <c r="L831" i="94" s="1"/>
  <c r="L857" i="94" s="1"/>
  <c r="LR817" i="94"/>
  <c r="BE817" i="94"/>
  <c r="N831" i="94" s="1"/>
  <c r="AO817" i="94"/>
  <c r="M828" i="94" s="1"/>
  <c r="M848" i="94" s="1"/>
  <c r="LW817" i="94"/>
  <c r="EO817" i="94"/>
  <c r="L929" i="94" s="1"/>
  <c r="AU817" i="94"/>
  <c r="N829" i="94" s="1"/>
  <c r="N851" i="94" s="1"/>
  <c r="AG817" i="94"/>
  <c r="O826" i="94" s="1"/>
  <c r="O842" i="94" s="1"/>
  <c r="EK817" i="94"/>
  <c r="M928" i="94" s="1"/>
  <c r="FP817" i="94"/>
  <c r="N934" i="94" s="1"/>
  <c r="AM817" i="94"/>
  <c r="K828" i="94" s="1"/>
  <c r="K848" i="94" s="1"/>
  <c r="LS817" i="94"/>
  <c r="EX817" i="94"/>
  <c r="K931" i="94" s="1"/>
  <c r="BJ817" i="94"/>
  <c r="N833" i="94" s="1"/>
  <c r="AT817" i="94"/>
  <c r="M829" i="94" s="1"/>
  <c r="M851" i="94" s="1"/>
  <c r="AD817" i="94"/>
  <c r="L826" i="94" s="1"/>
  <c r="L842" i="94" s="1"/>
  <c r="FJ817" i="94"/>
  <c r="M933" i="94" s="1"/>
  <c r="ET817" i="94"/>
  <c r="L930" i="94" s="1"/>
  <c r="AV817" i="94"/>
  <c r="O829" i="94" s="1"/>
  <c r="O851" i="94" s="1"/>
  <c r="AF817" i="94"/>
  <c r="N826" i="94" s="1"/>
  <c r="N842" i="94" s="1"/>
  <c r="HZ817" i="94"/>
  <c r="FR817" i="94"/>
  <c r="K936" i="94" s="1"/>
  <c r="Y817" i="94"/>
  <c r="L825" i="94" s="1"/>
  <c r="L839" i="94" s="1"/>
  <c r="FA817" i="94"/>
  <c r="N931" i="94" s="1"/>
  <c r="FM817" i="94"/>
  <c r="K934" i="94" s="1"/>
  <c r="HG817" i="94"/>
  <c r="BF817" i="94"/>
  <c r="O831" i="94" s="1"/>
  <c r="O857" i="94" s="1"/>
  <c r="Z817" i="94"/>
  <c r="M825" i="94" s="1"/>
  <c r="M839" i="94" s="1"/>
  <c r="AZ817" i="94"/>
  <c r="N830" i="94" s="1"/>
  <c r="N854" i="94" s="1"/>
  <c r="AJ817" i="94"/>
  <c r="M827" i="94" s="1"/>
  <c r="M845" i="94" s="1"/>
  <c r="AA817" i="94"/>
  <c r="N825" i="94" s="1"/>
  <c r="N839" i="94" s="1"/>
  <c r="JY817" i="94"/>
  <c r="L898" i="94" s="1"/>
  <c r="FU817" i="94"/>
  <c r="N936" i="94" s="1"/>
  <c r="AP817" i="94"/>
  <c r="N828" i="94" s="1"/>
  <c r="N848" i="94" s="1"/>
  <c r="FI817" i="94"/>
  <c r="L933" i="94" s="1"/>
  <c r="AE817" i="94"/>
  <c r="M826" i="94" s="1"/>
  <c r="M842" i="94" s="1"/>
  <c r="FQ817" i="94"/>
  <c r="O934" i="94" s="1"/>
  <c r="LQ817" i="94"/>
  <c r="FD817" i="94"/>
  <c r="L932" i="94" s="1"/>
  <c r="EN817" i="94"/>
  <c r="K929" i="94" s="1"/>
  <c r="EZ817" i="94"/>
  <c r="M931" i="94" s="1"/>
  <c r="EJ817" i="94"/>
  <c r="L928" i="94" s="1"/>
  <c r="BG817" i="94"/>
  <c r="K833" i="94" s="1"/>
  <c r="AQ817" i="94"/>
  <c r="O828" i="94" s="1"/>
  <c r="O848" i="94" s="1"/>
  <c r="AN817" i="94"/>
  <c r="L828" i="94" s="1"/>
  <c r="L848" i="94" s="1"/>
  <c r="IC817" i="94"/>
  <c r="IA817" i="94"/>
  <c r="EV817" i="94"/>
  <c r="N930" i="94" s="1"/>
  <c r="FS817" i="94"/>
  <c r="L936" i="94" s="1"/>
  <c r="LX817" i="94"/>
  <c r="HQ817" i="94"/>
  <c r="L889" i="94" s="1"/>
  <c r="LZ817" i="94"/>
  <c r="HH817" i="94"/>
  <c r="FT817" i="94"/>
  <c r="M936" i="94" s="1"/>
  <c r="LT817" i="94"/>
  <c r="AH817" i="94"/>
  <c r="K827" i="94" s="1"/>
  <c r="K845" i="94" s="1"/>
  <c r="AX817" i="94"/>
  <c r="L830" i="94" s="1"/>
  <c r="L854" i="94" s="1"/>
  <c r="FB817" i="94"/>
  <c r="O931" i="94" s="1"/>
  <c r="EL817" i="94"/>
  <c r="N928" i="94" s="1"/>
  <c r="BK817" i="94"/>
  <c r="O833" i="94" s="1"/>
  <c r="HE817" i="94"/>
  <c r="O886" i="94" s="1"/>
  <c r="BI817" i="94"/>
  <c r="M833" i="94" s="1"/>
  <c r="AC817" i="94"/>
  <c r="K826" i="94" s="1"/>
  <c r="K842" i="94" s="1"/>
  <c r="HW817" i="94"/>
  <c r="AS817" i="94"/>
  <c r="L829" i="94" s="1"/>
  <c r="L851" i="94" s="1"/>
  <c r="ME817" i="94"/>
  <c r="FN817" i="94"/>
  <c r="L934" i="94" s="1"/>
  <c r="AK817" i="94"/>
  <c r="N827" i="94" s="1"/>
  <c r="N845" i="94" s="1"/>
  <c r="BH817" i="94"/>
  <c r="L833" i="94" s="1"/>
  <c r="AB817" i="94"/>
  <c r="O825" i="94" s="1"/>
  <c r="O839" i="94" s="1"/>
  <c r="AL817" i="94"/>
  <c r="O827" i="94" s="1"/>
  <c r="O845" i="94" s="1"/>
  <c r="FC817" i="94"/>
  <c r="K932" i="94" s="1"/>
  <c r="BD817" i="94"/>
  <c r="M831" i="94" s="1"/>
  <c r="M857" i="94" s="1"/>
  <c r="X817" i="94"/>
  <c r="K825" i="94" s="1"/>
  <c r="K839" i="94" s="1"/>
  <c r="GX817" i="94"/>
  <c r="M885" i="94" s="1"/>
  <c r="AR817" i="94"/>
  <c r="K829" i="94" s="1"/>
  <c r="K851" i="94" s="1"/>
  <c r="BB817" i="94"/>
  <c r="K831" i="94" s="1"/>
  <c r="K857" i="94" s="1"/>
  <c r="FO817" i="94"/>
  <c r="M934" i="94" s="1"/>
  <c r="EY817" i="94"/>
  <c r="L931" i="94" s="1"/>
  <c r="EI817" i="94"/>
  <c r="K928" i="94" s="1"/>
  <c r="ES817" i="94"/>
  <c r="K930" i="94" s="1"/>
  <c r="EW817" i="94"/>
  <c r="O930" i="94" s="1"/>
  <c r="GJ817" i="94"/>
  <c r="N882" i="94" s="1"/>
  <c r="HO817" i="94"/>
  <c r="O888" i="94" s="1"/>
  <c r="AI817" i="94"/>
  <c r="L827" i="94" s="1"/>
  <c r="L845" i="94" s="1"/>
  <c r="HT817" i="94"/>
  <c r="O889" i="94" s="1"/>
  <c r="AY817" i="94"/>
  <c r="M830" i="94" s="1"/>
  <c r="M854" i="94" s="1"/>
  <c r="GH817" i="94"/>
  <c r="L882" i="94" s="1"/>
  <c r="LU817" i="94"/>
  <c r="ER817" i="94"/>
  <c r="O929" i="94" s="1"/>
  <c r="FV817" i="94"/>
  <c r="O936" i="94" s="1"/>
  <c r="FF817" i="94"/>
  <c r="N932" i="94" s="1"/>
  <c r="EP817" i="94"/>
  <c r="M929" i="94" s="1"/>
  <c r="HJ817" i="94"/>
  <c r="FL817" i="94"/>
  <c r="O933" i="94" s="1"/>
  <c r="FH817" i="94"/>
  <c r="K933" i="94" s="1"/>
  <c r="GV817" i="94"/>
  <c r="K885" i="94" s="1"/>
  <c r="HX817" i="94"/>
  <c r="HI817" i="94"/>
  <c r="GT817" i="94"/>
  <c r="FK817" i="94"/>
  <c r="N933" i="94" s="1"/>
  <c r="EM817" i="94"/>
  <c r="O928" i="94" s="1"/>
  <c r="MD817" i="94"/>
  <c r="HF817" i="94"/>
  <c r="GO817" i="94"/>
  <c r="N883" i="94" s="1"/>
  <c r="GP817" i="94"/>
  <c r="O883" i="94" s="1"/>
  <c r="HK817" i="94"/>
  <c r="K888" i="94" s="1"/>
  <c r="HL817" i="94"/>
  <c r="L888" i="94" s="1"/>
  <c r="GG817" i="94"/>
  <c r="K882" i="94" s="1"/>
  <c r="GI817" i="94"/>
  <c r="M882" i="94" s="1"/>
  <c r="GY817" i="94"/>
  <c r="N885" i="94" s="1"/>
  <c r="MJ817" i="94"/>
  <c r="ML817" i="94"/>
  <c r="HP817" i="94"/>
  <c r="K889" i="94" s="1"/>
  <c r="GU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P202" i="94"/>
  <c r="L920" i="94"/>
  <c r="L921" i="94"/>
  <c r="P930" i="94"/>
  <c r="P828" i="94"/>
  <c r="P848" i="94" s="1"/>
  <c r="O849" i="94" s="1"/>
  <c r="O850" i="94" s="1"/>
  <c r="K919" i="94"/>
  <c r="L935" i="94"/>
  <c r="L937" i="94" s="1"/>
  <c r="L939" i="94" s="1"/>
  <c r="L924" i="94"/>
  <c r="P833" i="94"/>
  <c r="Q936" i="94" s="1"/>
  <c r="N923" i="94"/>
  <c r="P908" i="94"/>
  <c r="K923" i="94"/>
  <c r="K924" i="94"/>
  <c r="L922" i="94"/>
  <c r="P931" i="94"/>
  <c r="P1008" i="94"/>
  <c r="K922" i="94"/>
  <c r="O923" i="94"/>
  <c r="P825" i="94"/>
  <c r="P839" i="94" s="1"/>
  <c r="M840" i="94" s="1"/>
  <c r="M841" i="94" s="1"/>
  <c r="N832" i="94"/>
  <c r="N834" i="94" s="1"/>
  <c r="N836" i="94" s="1"/>
  <c r="N942" i="94" s="1"/>
  <c r="P936" i="94"/>
  <c r="P830" i="94"/>
  <c r="P854" i="94" s="1"/>
  <c r="K855" i="94" s="1"/>
  <c r="K856" i="94" s="1"/>
  <c r="O832" i="94"/>
  <c r="O834" i="94" s="1"/>
  <c r="O836" i="94" s="1"/>
  <c r="O942" i="94" s="1"/>
  <c r="P826" i="94"/>
  <c r="Q929" i="94" s="1"/>
  <c r="O887" i="94"/>
  <c r="P928" i="94"/>
  <c r="P934" i="94"/>
  <c r="P831" i="94"/>
  <c r="P857" i="94" s="1"/>
  <c r="O858" i="94" s="1"/>
  <c r="O859" i="94" s="1"/>
  <c r="M832" i="94"/>
  <c r="M834" i="94" s="1"/>
  <c r="M836" i="94" s="1"/>
  <c r="M942" i="94" s="1"/>
  <c r="M887" i="94"/>
  <c r="P932" i="94"/>
  <c r="P829" i="94"/>
  <c r="Q932" i="94" s="1"/>
  <c r="K832" i="94"/>
  <c r="M935" i="94"/>
  <c r="M937" i="94" s="1"/>
  <c r="M939" i="94" s="1"/>
  <c r="P827" i="94"/>
  <c r="P845" i="94" s="1"/>
  <c r="P846" i="94" s="1"/>
  <c r="P847" i="94" s="1"/>
  <c r="L832" i="94"/>
  <c r="L834" i="94" s="1"/>
  <c r="L836" i="94" s="1"/>
  <c r="P929" i="94"/>
  <c r="O890" i="94"/>
  <c r="N935" i="94"/>
  <c r="N937" i="94" s="1"/>
  <c r="N939" i="94" s="1"/>
  <c r="O935" i="94"/>
  <c r="O937" i="94" s="1"/>
  <c r="O939" i="94" s="1"/>
  <c r="N887" i="94"/>
  <c r="P933" i="94"/>
  <c r="K884" i="94"/>
  <c r="K887" i="94"/>
  <c r="N884" i="94"/>
  <c r="K935" i="94"/>
  <c r="K937" i="94" s="1"/>
  <c r="K939" i="94" s="1"/>
  <c r="P889" i="94"/>
  <c r="O884" i="94"/>
  <c r="L887" i="94"/>
  <c r="K890" i="94"/>
  <c r="P885" i="94"/>
  <c r="P888" i="94"/>
  <c r="L890" i="94"/>
  <c r="M890" i="94"/>
  <c r="L884" i="94"/>
  <c r="N890" i="94"/>
  <c r="M884" i="94"/>
  <c r="P867" i="94"/>
  <c r="N869" i="94"/>
  <c r="P866"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840" i="94" l="1"/>
  <c r="N841" i="94" s="1"/>
  <c r="M846" i="94"/>
  <c r="M847" i="94" s="1"/>
  <c r="L840" i="94"/>
  <c r="L841" i="94" s="1"/>
  <c r="L942" i="94"/>
  <c r="O855" i="94"/>
  <c r="O856" i="94" s="1"/>
  <c r="M858" i="94"/>
  <c r="M859" i="94" s="1"/>
  <c r="Q928" i="94"/>
  <c r="P842" i="94"/>
  <c r="O843" i="94" s="1"/>
  <c r="O844" i="94" s="1"/>
  <c r="Q931" i="94"/>
  <c r="Q933" i="94"/>
  <c r="P858" i="94"/>
  <c r="P859" i="94" s="1"/>
  <c r="Q934" i="94"/>
  <c r="N855" i="94"/>
  <c r="N856" i="94" s="1"/>
  <c r="K858" i="94"/>
  <c r="K859" i="94" s="1"/>
  <c r="P925" i="94"/>
  <c r="P919" i="94"/>
  <c r="K840" i="94"/>
  <c r="K841" i="94" s="1"/>
  <c r="O840" i="94"/>
  <c r="O841" i="94" s="1"/>
  <c r="P840" i="94"/>
  <c r="P841" i="94" s="1"/>
  <c r="K846" i="94"/>
  <c r="K847" i="94" s="1"/>
  <c r="M855" i="94"/>
  <c r="M856" i="94" s="1"/>
  <c r="P855" i="94"/>
  <c r="P856" i="94" s="1"/>
  <c r="L858" i="94"/>
  <c r="L859" i="94" s="1"/>
  <c r="L855" i="94"/>
  <c r="L856" i="94" s="1"/>
  <c r="N858" i="94"/>
  <c r="N859" i="94" s="1"/>
  <c r="L846" i="94"/>
  <c r="L847" i="94" s="1"/>
  <c r="P851" i="94"/>
  <c r="P852" i="94" s="1"/>
  <c r="P853" i="94" s="1"/>
  <c r="P832" i="94"/>
  <c r="K834" i="94"/>
  <c r="P834" i="94" s="1"/>
  <c r="P939" i="94"/>
  <c r="O846" i="94"/>
  <c r="O847" i="94" s="1"/>
  <c r="Q930" i="94"/>
  <c r="N846" i="94"/>
  <c r="N847" i="94" s="1"/>
  <c r="P884" i="94"/>
  <c r="P937" i="94"/>
  <c r="P887" i="94"/>
  <c r="P935" i="94"/>
  <c r="P890" i="94"/>
  <c r="K849" i="94"/>
  <c r="K850" i="94" s="1"/>
  <c r="P849" i="94"/>
  <c r="P850" i="94" s="1"/>
  <c r="P880" i="94"/>
  <c r="P923" i="94"/>
  <c r="P918" i="94"/>
  <c r="H1041" i="94"/>
  <c r="P924" i="94"/>
  <c r="P896" i="94"/>
  <c r="P920" i="94"/>
  <c r="P922" i="94"/>
  <c r="P921" i="94"/>
  <c r="N849" i="94"/>
  <c r="N850" i="94" s="1"/>
  <c r="L849" i="94"/>
  <c r="L850" i="94" s="1"/>
  <c r="M849" i="94"/>
  <c r="M850" i="94" s="1"/>
  <c r="P894" i="94"/>
  <c r="P1010" i="94" s="1"/>
  <c r="P869" i="94"/>
  <c r="M443" i="72"/>
  <c r="S69" i="75"/>
  <c r="K843" i="94" l="1"/>
  <c r="K844" i="94" s="1"/>
  <c r="K836" i="94"/>
  <c r="P836" i="94" s="1"/>
  <c r="K1004" i="94" s="1"/>
  <c r="L843" i="94"/>
  <c r="L844" i="94" s="1"/>
  <c r="M843" i="94"/>
  <c r="M844" i="94" s="1"/>
  <c r="N843" i="94"/>
  <c r="N844" i="94" s="1"/>
  <c r="P843" i="94"/>
  <c r="P844" i="94" s="1"/>
  <c r="P1011" i="94"/>
  <c r="O852" i="94"/>
  <c r="O853" i="94" s="1"/>
  <c r="K852" i="94"/>
  <c r="K853" i="94" s="1"/>
  <c r="Q1010" i="94"/>
  <c r="Q1011" i="94" s="1"/>
  <c r="N852" i="94"/>
  <c r="N853" i="94" s="1"/>
  <c r="M852" i="94"/>
  <c r="M853" i="94" s="1"/>
  <c r="L852" i="94"/>
  <c r="L85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942"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9" i="75" s="1"/>
  <c r="J788" i="94" s="1"/>
  <c r="L788" i="94" s="1"/>
  <c r="M788" i="94"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C33" i="74" s="1"/>
  <c r="C1061" i="94" s="1"/>
  <c r="K25" i="74"/>
  <c r="K33" i="74" s="1"/>
  <c r="K1061" i="94" s="1"/>
  <c r="E28" i="74"/>
  <c r="E1056" i="94" s="1"/>
  <c r="D57" i="74"/>
  <c r="F60" i="74"/>
  <c r="H89" i="74"/>
  <c r="H96" i="74" s="1"/>
  <c r="H1124" i="94" s="1"/>
  <c r="B92" i="74"/>
  <c r="E119"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F96" i="74" s="1"/>
  <c r="F1124" i="94" s="1"/>
  <c r="J89" i="74"/>
  <c r="J96" i="74" s="1"/>
  <c r="J1124" i="94" s="1"/>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H42" i="74"/>
  <c r="H1070" i="94" s="1"/>
  <c r="H41" i="74"/>
  <c r="H1069" i="94" s="1"/>
  <c r="I40" i="74"/>
  <c r="I1068" i="94" s="1"/>
  <c r="I39" i="74"/>
  <c r="I1067" i="94" s="1"/>
  <c r="I42" i="74"/>
  <c r="I1070" i="94" s="1"/>
  <c r="I41" i="74"/>
  <c r="I1069" i="94" s="1"/>
  <c r="J40" i="74"/>
  <c r="J1068" i="94" s="1"/>
  <c r="J39" i="74"/>
  <c r="J1067" i="94" s="1"/>
  <c r="J42" i="74"/>
  <c r="J1070"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105" i="74"/>
  <c r="I1133" i="94" s="1"/>
  <c r="H104" i="74"/>
  <c r="H1132" i="94" s="1"/>
  <c r="I103" i="74"/>
  <c r="I1131" i="94" s="1"/>
  <c r="I102" i="74"/>
  <c r="I1130"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35" i="74"/>
  <c r="D1163" i="94" s="1"/>
  <c r="C134" i="74"/>
  <c r="C1162" i="94" s="1"/>
  <c r="D133" i="74"/>
  <c r="D1161" i="94" s="1"/>
  <c r="D132" i="74"/>
  <c r="D1160"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C1059" i="94" s="1"/>
  <c r="H75" i="74"/>
  <c r="H1103" i="94" s="1"/>
  <c r="I75" i="74"/>
  <c r="I1103" i="94" s="1"/>
  <c r="J75" i="74"/>
  <c r="J1103" i="94" s="1"/>
  <c r="K75" i="74"/>
  <c r="K1103" i="94" s="1"/>
  <c r="J36" i="74" l="1"/>
  <c r="J1064" i="94" s="1"/>
  <c r="F84" i="92"/>
  <c r="J610" i="94"/>
  <c r="J611" i="94" s="1"/>
  <c r="C68" i="74"/>
  <c r="C1096" i="94" s="1"/>
  <c r="K36" i="74"/>
  <c r="K1064" i="94" s="1"/>
  <c r="B68" i="74"/>
  <c r="B1096" i="94" s="1"/>
  <c r="F99" i="74"/>
  <c r="F1127" i="94" s="1"/>
  <c r="B35" i="87"/>
  <c r="G1117" i="94"/>
  <c r="K65" i="74"/>
  <c r="K1093" i="94" s="1"/>
  <c r="B29" i="87"/>
  <c r="K1085" i="94"/>
  <c r="C10" i="86"/>
  <c r="B1067" i="94"/>
  <c r="C99" i="74"/>
  <c r="C1127" i="94" s="1"/>
  <c r="C1120" i="94"/>
  <c r="B96" i="74"/>
  <c r="B1124" i="94" s="1"/>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C11" i="86"/>
  <c r="B1068" i="94"/>
  <c r="B26" i="87"/>
  <c r="H1085" i="94"/>
  <c r="B23" i="87"/>
  <c r="E1085" i="94"/>
  <c r="I36" i="74"/>
  <c r="I1064" i="94" s="1"/>
  <c r="I1056" i="94"/>
  <c r="F68" i="78"/>
  <c r="E514" i="94"/>
  <c r="F514" i="94" s="1"/>
  <c r="L63" i="85"/>
  <c r="K1099" i="94"/>
  <c r="I99" i="74"/>
  <c r="I1127" i="94" s="1"/>
  <c r="I1120" i="94"/>
  <c r="B31" i="87"/>
  <c r="C1117" i="94"/>
  <c r="B25" i="87"/>
  <c r="G1085" i="94"/>
  <c r="E16" i="87"/>
  <c r="H1054" i="94"/>
  <c r="B33" i="74"/>
  <c r="B1061" i="94" s="1"/>
  <c r="B10" i="87"/>
  <c r="B1053" i="94"/>
  <c r="C129" i="74"/>
  <c r="C1157" i="94" s="1"/>
  <c r="C1150" i="94"/>
  <c r="D99" i="74"/>
  <c r="D1127" i="94" s="1"/>
  <c r="D1120" i="94"/>
  <c r="H68" i="74"/>
  <c r="H1096" i="94" s="1"/>
  <c r="H1088" i="94"/>
  <c r="B65" i="74"/>
  <c r="B1093" i="94" s="1"/>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D126" i="74"/>
  <c r="D1154" i="94" s="1"/>
  <c r="B42" i="87"/>
  <c r="D1147" i="94"/>
  <c r="I65" i="74"/>
  <c r="I1093" i="94" s="1"/>
  <c r="B27" i="87"/>
  <c r="I1085" i="94"/>
  <c r="J99" i="74"/>
  <c r="J1127" i="94" s="1"/>
  <c r="J1120" i="94"/>
  <c r="G35" i="74"/>
  <c r="G1063" i="94" s="1"/>
  <c r="H15" i="87"/>
  <c r="G1055" i="94"/>
  <c r="B12" i="87"/>
  <c r="D1053" i="94"/>
  <c r="I96" i="74"/>
  <c r="I1124" i="94" s="1"/>
  <c r="B37" i="87"/>
  <c r="I1117" i="94"/>
  <c r="K58" i="74"/>
  <c r="K69" i="74" s="1"/>
  <c r="K1097" i="94" s="1"/>
  <c r="P418" i="94"/>
  <c r="H65" i="74"/>
  <c r="H1093" i="94" s="1"/>
  <c r="C12" i="86"/>
  <c r="B1069" i="94"/>
  <c r="I68" i="74"/>
  <c r="I1096" i="94" s="1"/>
  <c r="I1088" i="94"/>
  <c r="C65" i="74"/>
  <c r="C1093" i="94" s="1"/>
  <c r="B21" i="87"/>
  <c r="C1085" i="94"/>
  <c r="B18" i="87"/>
  <c r="J1053" i="94"/>
  <c r="F129" i="74"/>
  <c r="F1157" i="94" s="1"/>
  <c r="F1150" i="94"/>
  <c r="R1144" i="94" s="1"/>
  <c r="S1144" i="94" s="1"/>
  <c r="B44" i="87"/>
  <c r="F1147" i="94"/>
  <c r="B38" i="87"/>
  <c r="J111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H33" i="74"/>
  <c r="H1061" i="94" s="1"/>
  <c r="B16" i="87"/>
  <c r="H1053" i="94"/>
  <c r="B32" i="87"/>
  <c r="D1117" i="94"/>
  <c r="G33" i="74"/>
  <c r="G1061" i="94" s="1"/>
  <c r="B15" i="87"/>
  <c r="G1053" i="94"/>
  <c r="H19" i="87"/>
  <c r="K1055" i="94"/>
  <c r="C126" i="74"/>
  <c r="C1154" i="94" s="1"/>
  <c r="B41" i="87"/>
  <c r="C1147" i="94"/>
  <c r="E65" i="89"/>
  <c r="G96" i="74"/>
  <c r="G1124" i="94" s="1"/>
  <c r="D33" i="74"/>
  <c r="D1061" i="94" s="1"/>
  <c r="K96" i="74"/>
  <c r="K1124" i="94" s="1"/>
  <c r="B39" i="87"/>
  <c r="K1117" i="94"/>
  <c r="E68" i="74"/>
  <c r="E1096" i="94" s="1"/>
  <c r="E1088" i="94"/>
  <c r="B14" i="87"/>
  <c r="F1053" i="94"/>
  <c r="F36" i="74"/>
  <c r="F1064" i="94" s="1"/>
  <c r="F1056" i="94"/>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68" i="74"/>
  <c r="F1096" i="94" s="1"/>
  <c r="F1088" i="94"/>
  <c r="B11" i="87"/>
  <c r="C1053" i="94"/>
  <c r="B33" i="87"/>
  <c r="E1117" i="94"/>
  <c r="C127" i="74"/>
  <c r="C1155" i="94" s="1"/>
  <c r="E41" i="87"/>
  <c r="C1148" i="94"/>
  <c r="D67" i="74"/>
  <c r="D1095" i="94" s="1"/>
  <c r="H22" i="87"/>
  <c r="D1087" i="94"/>
  <c r="E21" i="87"/>
  <c r="C1086" i="94"/>
  <c r="B63" i="74"/>
  <c r="P422" i="94"/>
  <c r="J18" i="75"/>
  <c r="J787" i="94" s="1"/>
  <c r="L787" i="94" s="1"/>
  <c r="M787" i="94" s="1"/>
  <c r="F36" i="78"/>
  <c r="F482" i="94" s="1"/>
  <c r="L411" i="94"/>
  <c r="L412" i="94" s="1"/>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96" i="74"/>
  <c r="C1124" i="94" s="1"/>
  <c r="J33" i="74"/>
  <c r="J1061" i="94" s="1"/>
  <c r="D10" i="86"/>
  <c r="B44" i="78"/>
  <c r="F47" i="78" s="1"/>
  <c r="C8" i="90"/>
  <c r="B5" i="92" s="1"/>
  <c r="J20" i="75"/>
  <c r="J789" i="94" s="1"/>
  <c r="L789" i="94" s="1"/>
  <c r="M789" i="94" s="1"/>
  <c r="H50" i="86"/>
  <c r="F37" i="78"/>
  <c r="F483" i="94" s="1"/>
  <c r="D31" i="74"/>
  <c r="D50" i="86"/>
  <c r="F35" i="78"/>
  <c r="J22" i="75"/>
  <c r="J791" i="94" s="1"/>
  <c r="L791" i="94" s="1"/>
  <c r="M791" i="94" s="1"/>
  <c r="L93" i="85"/>
  <c r="E10" i="86"/>
  <c r="I31" i="74"/>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K66" i="74"/>
  <c r="K1094" i="94" s="1"/>
  <c r="E51" i="86"/>
  <c r="B129" i="74"/>
  <c r="B1157" i="94" s="1"/>
  <c r="I58" i="74"/>
  <c r="D26" i="74"/>
  <c r="C90" i="74"/>
  <c r="C100" i="74" s="1"/>
  <c r="C1128" i="94" s="1"/>
  <c r="G90" i="74"/>
  <c r="C34" i="86"/>
  <c r="F126" i="74"/>
  <c r="F1154" i="94" s="1"/>
  <c r="H34" i="74"/>
  <c r="H1062" i="94" s="1"/>
  <c r="K99" i="74"/>
  <c r="K1127" i="94" s="1"/>
  <c r="I90" i="74"/>
  <c r="E58" i="74"/>
  <c r="E69" i="74" s="1"/>
  <c r="E1097" i="94" s="1"/>
  <c r="I26" i="74"/>
  <c r="I45" i="82" s="1"/>
  <c r="F58" i="74"/>
  <c r="J170" i="78"/>
  <c r="E90" i="74"/>
  <c r="H58" i="74"/>
  <c r="H69" i="74" s="1"/>
  <c r="H1097" i="94" s="1"/>
  <c r="K26" i="74"/>
  <c r="F90" i="74"/>
  <c r="B26" i="74"/>
  <c r="B37" i="74" s="1"/>
  <c r="B1065" i="94" s="1"/>
  <c r="I32" i="86"/>
  <c r="F51" i="86"/>
  <c r="D32" i="86"/>
  <c r="F12" i="86"/>
  <c r="H90" i="74"/>
  <c r="D58" i="74"/>
  <c r="G26" i="74"/>
  <c r="G58" i="74"/>
  <c r="D120" i="74"/>
  <c r="F120" i="74"/>
  <c r="C50" i="86"/>
  <c r="D90" i="74"/>
  <c r="C26" i="74"/>
  <c r="C37" i="74" s="1"/>
  <c r="C1065" i="94" s="1"/>
  <c r="J26" i="74"/>
  <c r="E26" i="74"/>
  <c r="E31" i="74"/>
  <c r="F14" i="86" s="1"/>
  <c r="C98" i="74"/>
  <c r="C1126" i="94" s="1"/>
  <c r="E32" i="86"/>
  <c r="F11" i="86"/>
  <c r="J58" i="74"/>
  <c r="F26" i="74"/>
  <c r="F45" i="82" s="1"/>
  <c r="J90" i="74"/>
  <c r="E63"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D52" i="86"/>
  <c r="I67" i="74"/>
  <c r="I1095" i="94" s="1"/>
  <c r="I30" i="86"/>
  <c r="G31" i="86"/>
  <c r="D65" i="74"/>
  <c r="D1093" i="94" s="1"/>
  <c r="G36" i="74"/>
  <c r="G1064" i="94" s="1"/>
  <c r="K68" i="74"/>
  <c r="K1096" i="94" s="1"/>
  <c r="F36" i="86"/>
  <c r="E36" i="86"/>
  <c r="C51" i="86"/>
  <c r="G98" i="74"/>
  <c r="G1126" i="94" s="1"/>
  <c r="E50" i="86"/>
  <c r="H32" i="86"/>
  <c r="F67" i="74"/>
  <c r="F1095" i="94" s="1"/>
  <c r="E67" i="74"/>
  <c r="E1095" i="94" s="1"/>
  <c r="F32" i="86"/>
  <c r="H11" i="86"/>
  <c r="E12" i="86"/>
  <c r="D12" i="86"/>
  <c r="H99" i="74"/>
  <c r="H1127" i="94" s="1"/>
  <c r="D129" i="74"/>
  <c r="D1157" i="94" s="1"/>
  <c r="E56" i="86"/>
  <c r="I36" i="86"/>
  <c r="C34" i="84"/>
  <c r="F128" i="74"/>
  <c r="F1156" i="94" s="1"/>
  <c r="C130" i="74"/>
  <c r="C1158" i="94" s="1"/>
  <c r="B126" i="74"/>
  <c r="B1154" i="94" s="1"/>
  <c r="K100" i="74"/>
  <c r="K1128"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D96" i="74"/>
  <c r="D1124" i="94" s="1"/>
  <c r="G30" i="86"/>
  <c r="F30" i="86"/>
  <c r="G12" i="86"/>
  <c r="G99" i="74"/>
  <c r="G1127" i="94" s="1"/>
  <c r="C30" i="74"/>
  <c r="C1058" i="94" s="1"/>
  <c r="H16" i="86"/>
  <c r="I16" i="86"/>
  <c r="F34" i="86"/>
  <c r="D14" i="86"/>
  <c r="D63" i="74"/>
  <c r="F31" i="74"/>
  <c r="G51" i="86"/>
  <c r="F50" i="86"/>
  <c r="C52" i="86"/>
  <c r="I31" i="86"/>
  <c r="G52" i="86"/>
  <c r="D51" i="86"/>
  <c r="C30" i="86"/>
  <c r="I10" i="86"/>
  <c r="H51" i="86"/>
  <c r="F63" i="74"/>
  <c r="F31" i="86"/>
  <c r="G50" i="86"/>
  <c r="D30" i="86"/>
  <c r="J31" i="74"/>
  <c r="C85" i="90"/>
  <c r="F52" i="86"/>
  <c r="H31" i="86"/>
  <c r="H36" i="74"/>
  <c r="H1064" i="94" s="1"/>
  <c r="R116" i="74"/>
  <c r="S116" i="74" s="1"/>
  <c r="E30" i="86"/>
  <c r="G11" i="86"/>
  <c r="R86" i="74"/>
  <c r="S86" i="74" s="1"/>
  <c r="E99" i="74"/>
  <c r="E1127" i="94" s="1"/>
  <c r="G45" i="82"/>
  <c r="R54" i="74"/>
  <c r="S54" i="74" s="1"/>
  <c r="H30" i="86"/>
  <c r="G10" i="86"/>
  <c r="F33" i="74"/>
  <c r="F1061" i="9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B45" i="82" l="1"/>
  <c r="C75" i="84"/>
  <c r="E65" i="82"/>
  <c r="K65" i="82"/>
  <c r="E66" i="74"/>
  <c r="E1094" i="94" s="1"/>
  <c r="H15" i="84"/>
  <c r="F18" i="85" s="1"/>
  <c r="H65" i="82"/>
  <c r="C45" i="82"/>
  <c r="L154" i="75"/>
  <c r="R1082" i="94"/>
  <c r="S1082" i="94" s="1"/>
  <c r="E127" i="74"/>
  <c r="E1155" i="94" s="1"/>
  <c r="E43" i="87"/>
  <c r="E1148" i="94"/>
  <c r="E38" i="87"/>
  <c r="J1118" i="94"/>
  <c r="J45" i="82"/>
  <c r="E18" i="87"/>
  <c r="J1054" i="94"/>
  <c r="F130" i="74"/>
  <c r="F1158" i="94" s="1"/>
  <c r="E44" i="87"/>
  <c r="F1148" i="94"/>
  <c r="E22" i="87"/>
  <c r="D1086" i="94"/>
  <c r="K34" i="74"/>
  <c r="K1062" i="94" s="1"/>
  <c r="E19" i="87"/>
  <c r="K1054" i="94"/>
  <c r="F65" i="82"/>
  <c r="E24" i="87"/>
  <c r="F1086" i="94"/>
  <c r="G97" i="74"/>
  <c r="G1125" i="94" s="1"/>
  <c r="E35" i="87"/>
  <c r="G1118" i="94"/>
  <c r="R1114" i="94"/>
  <c r="S1114" i="94" s="1"/>
  <c r="B130" i="74"/>
  <c r="B1158" i="94" s="1"/>
  <c r="E40" i="87"/>
  <c r="B1148" i="94"/>
  <c r="E14" i="87"/>
  <c r="F1054" i="94"/>
  <c r="E11" i="87"/>
  <c r="C1054" i="94"/>
  <c r="D130" i="74"/>
  <c r="D1158" i="94" s="1"/>
  <c r="E42" i="87"/>
  <c r="D1148" i="94"/>
  <c r="H100" i="74"/>
  <c r="H1128" i="94" s="1"/>
  <c r="E36" i="87"/>
  <c r="H1118" i="94"/>
  <c r="E26" i="87"/>
  <c r="H1086" i="94"/>
  <c r="E17" i="87"/>
  <c r="I1054" i="94"/>
  <c r="E31" i="87"/>
  <c r="C1118" i="94"/>
  <c r="B100" i="74"/>
  <c r="B1128" i="94" s="1"/>
  <c r="E30" i="87"/>
  <c r="B1118" i="94"/>
  <c r="J69" i="74"/>
  <c r="J1097" i="94" s="1"/>
  <c r="E28" i="87"/>
  <c r="J1086" i="94"/>
  <c r="D100" i="74"/>
  <c r="D1128" i="94" s="1"/>
  <c r="E32" i="87"/>
  <c r="D1118" i="94"/>
  <c r="G65" i="82"/>
  <c r="E25" i="87"/>
  <c r="G1086" i="94"/>
  <c r="E10" i="87"/>
  <c r="B1054" i="94"/>
  <c r="E33" i="87"/>
  <c r="E1118" i="94"/>
  <c r="E23" i="87"/>
  <c r="E1086" i="94"/>
  <c r="D37" i="74"/>
  <c r="D1065" i="94" s="1"/>
  <c r="E12" i="87"/>
  <c r="D1054" i="94"/>
  <c r="B69" i="74"/>
  <c r="B1097" i="94" s="1"/>
  <c r="E20" i="87"/>
  <c r="B1086" i="94"/>
  <c r="E37" i="74"/>
  <c r="E1065" i="94" s="1"/>
  <c r="E13" i="87"/>
  <c r="E1054" i="94"/>
  <c r="G37" i="74"/>
  <c r="G1065" i="94" s="1"/>
  <c r="E15" i="87"/>
  <c r="G1054" i="94"/>
  <c r="F100" i="74"/>
  <c r="F1128" i="94" s="1"/>
  <c r="E34" i="87"/>
  <c r="F1118" i="94"/>
  <c r="I100" i="74"/>
  <c r="I1128" i="94" s="1"/>
  <c r="E37" i="87"/>
  <c r="I1118" i="94"/>
  <c r="I69" i="74"/>
  <c r="I1097" i="94" s="1"/>
  <c r="E27" i="87"/>
  <c r="I1086" i="94"/>
  <c r="E29" i="87"/>
  <c r="K1086" i="94"/>
  <c r="F1091" i="94"/>
  <c r="E1091" i="94"/>
  <c r="I14" i="86"/>
  <c r="H1059" i="94"/>
  <c r="F1059" i="94"/>
  <c r="E34" i="86"/>
  <c r="K1059" i="94"/>
  <c r="J1059" i="94"/>
  <c r="B1059" i="94"/>
  <c r="B43" i="74"/>
  <c r="D1091" i="94"/>
  <c r="E1059" i="94"/>
  <c r="E14" i="86"/>
  <c r="D1059" i="94"/>
  <c r="C1091" i="94"/>
  <c r="H14" i="86"/>
  <c r="G1059" i="94"/>
  <c r="I1059" i="94"/>
  <c r="B1091" i="94"/>
  <c r="Q340" i="72"/>
  <c r="L18" i="75"/>
  <c r="M18" i="75" s="1"/>
  <c r="M154" i="75"/>
  <c r="B115" i="95"/>
  <c r="B317" i="91"/>
  <c r="B58" i="95"/>
  <c r="B125" i="91"/>
  <c r="B154" i="95"/>
  <c r="B442" i="91"/>
  <c r="B43" i="95"/>
  <c r="B80" i="91"/>
  <c r="B86" i="95"/>
  <c r="B221" i="91"/>
  <c r="B34" i="95"/>
  <c r="B46" i="91"/>
  <c r="B106" i="95"/>
  <c r="B283" i="91"/>
  <c r="B30" i="95"/>
  <c r="B29" i="91"/>
  <c r="B174" i="95"/>
  <c r="B504" i="91"/>
  <c r="B62" i="95"/>
  <c r="B142" i="91"/>
  <c r="B168" i="95"/>
  <c r="B493" i="91"/>
  <c r="B163" i="95"/>
  <c r="B476" i="91"/>
  <c r="B72" i="95"/>
  <c r="B176" i="91"/>
  <c r="B187" i="95"/>
  <c r="B555" i="91"/>
  <c r="B182" i="95"/>
  <c r="B538" i="91"/>
  <c r="B144" i="95"/>
  <c r="B414" i="91"/>
  <c r="B78" i="95"/>
  <c r="B187" i="91"/>
  <c r="B38" i="95"/>
  <c r="B63" i="91"/>
  <c r="B126" i="95"/>
  <c r="B346" i="91"/>
  <c r="B150" i="95"/>
  <c r="B425" i="91"/>
  <c r="B178" i="95"/>
  <c r="B521" i="91"/>
  <c r="B120" i="95"/>
  <c r="B334" i="91"/>
  <c r="B48" i="95"/>
  <c r="B97" i="91"/>
  <c r="B96" i="95"/>
  <c r="B255" i="91"/>
  <c r="B130" i="95"/>
  <c r="B363" i="91"/>
  <c r="B134" i="95"/>
  <c r="B380" i="91"/>
  <c r="B82" i="95"/>
  <c r="B204" i="91"/>
  <c r="B110" i="95"/>
  <c r="B300" i="91"/>
  <c r="B91" i="95"/>
  <c r="B238" i="91"/>
  <c r="B139" i="95"/>
  <c r="B397" i="91"/>
  <c r="B158" i="95"/>
  <c r="B459" i="91"/>
  <c r="B54" i="95"/>
  <c r="B108" i="91"/>
  <c r="B102" i="95"/>
  <c r="B266" i="91"/>
  <c r="B192" i="95"/>
  <c r="B572" i="91"/>
  <c r="B67" i="95"/>
  <c r="B159" i="91"/>
  <c r="G1881" i="94"/>
  <c r="J2057" i="94"/>
  <c r="P1215" i="94"/>
  <c r="I438" i="94"/>
  <c r="F34" i="78"/>
  <c r="F481" i="94"/>
  <c r="F480" i="94" s="1"/>
  <c r="H18" i="84"/>
  <c r="J18" i="84" s="1"/>
  <c r="H92" i="73"/>
  <c r="T1836" i="94"/>
  <c r="H1262" i="94"/>
  <c r="Q998" i="94"/>
  <c r="K65" i="94"/>
  <c r="P150" i="72"/>
  <c r="P1805" i="94" s="1"/>
  <c r="P1830" i="94"/>
  <c r="P333" i="72"/>
  <c r="P1988" i="94" s="1"/>
  <c r="P1995" i="94"/>
  <c r="L1993" i="94"/>
  <c r="Q1993" i="94"/>
  <c r="P74" i="72"/>
  <c r="P1729" i="94" s="1"/>
  <c r="P1750" i="94"/>
  <c r="K37" i="74"/>
  <c r="K1065" i="94" s="1"/>
  <c r="J37" i="74"/>
  <c r="J1065" i="94" s="1"/>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K35" i="84" l="1"/>
  <c r="C40" i="84"/>
  <c r="Q58" i="73"/>
  <c r="Q1228" i="94" s="1"/>
  <c r="B1071" i="94"/>
  <c r="C43" i="74"/>
  <c r="E30" i="74"/>
  <c r="E1058" i="94" s="1"/>
  <c r="D1058" i="94"/>
  <c r="N996" i="94"/>
  <c r="H57" i="73"/>
  <c r="H1227" i="94" s="1"/>
  <c r="F1227" i="94"/>
  <c r="I1227" i="94" s="1"/>
  <c r="I58" i="73"/>
  <c r="F1228" i="94"/>
  <c r="I1228" i="94" s="1"/>
  <c r="I1232" i="94"/>
  <c r="N1232" i="94"/>
  <c r="I51" i="73"/>
  <c r="F1221" i="94"/>
  <c r="I1221" i="94" s="1"/>
  <c r="I45" i="73"/>
  <c r="F1215" i="94"/>
  <c r="I1215" i="94" s="1"/>
  <c r="F1219" i="94"/>
  <c r="I1225" i="94"/>
  <c r="H63" i="73"/>
  <c r="H1233" i="94" s="1"/>
  <c r="F1233" i="94"/>
  <c r="I1233" i="94" s="1"/>
  <c r="N1225" i="94"/>
  <c r="M2058" i="94"/>
  <c r="J2058" i="94"/>
  <c r="J2059" i="94" s="1"/>
  <c r="P428" i="94"/>
  <c r="P429" i="94"/>
  <c r="I439"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F30" i="74"/>
  <c r="F1058" i="94" s="1"/>
  <c r="F1230" i="94"/>
  <c r="E14" i="74"/>
  <c r="E1042" i="94" s="1"/>
  <c r="B1042" i="94"/>
  <c r="N1230" i="94"/>
  <c r="I66" i="73"/>
  <c r="F1236" i="94"/>
  <c r="I1236" i="94" s="1"/>
  <c r="I1237" i="94" s="1"/>
  <c r="M43" i="73"/>
  <c r="M1213" i="94" s="1"/>
  <c r="K1213" i="94"/>
  <c r="N1213" i="94" s="1"/>
  <c r="I1211" i="94"/>
  <c r="I1216" i="94" s="1"/>
  <c r="F1216" i="94"/>
  <c r="N65" i="73"/>
  <c r="K1235" i="94"/>
  <c r="M45" i="73"/>
  <c r="M1215" i="94" s="1"/>
  <c r="K1215" i="94"/>
  <c r="N1215" i="94" s="1"/>
  <c r="I1218" i="94"/>
  <c r="N1211" i="94"/>
  <c r="N66" i="73"/>
  <c r="K1236" i="94"/>
  <c r="N1236" i="94" s="1"/>
  <c r="I52" i="73"/>
  <c r="F1222" i="94"/>
  <c r="I1222" i="94" s="1"/>
  <c r="K1230" i="94"/>
  <c r="I1230" i="94"/>
  <c r="K463" i="73"/>
  <c r="K1633" i="94"/>
  <c r="N1629" i="94"/>
  <c r="N1630" i="94"/>
  <c r="P430"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F20" i="74"/>
  <c r="H65" i="73"/>
  <c r="H1235" i="94" s="1"/>
  <c r="F67" i="73"/>
  <c r="I65" i="73"/>
  <c r="O19" i="86"/>
  <c r="O23" i="86" s="1"/>
  <c r="O25" i="86" s="1"/>
  <c r="O31" i="86" s="1"/>
  <c r="O33" i="86" s="1"/>
  <c r="H63" i="86" s="1"/>
  <c r="N56" i="73"/>
  <c r="K60" i="73"/>
  <c r="M56" i="73"/>
  <c r="M1226" i="94" s="1"/>
  <c r="I61" i="66"/>
  <c r="F53" i="82" l="1"/>
  <c r="G30" i="74"/>
  <c r="G1058" i="94" s="1"/>
  <c r="D1071" i="94"/>
  <c r="E43" i="74"/>
  <c r="C1048" i="94"/>
  <c r="F1048" i="94"/>
  <c r="D1048" i="94"/>
  <c r="E1048" i="94"/>
  <c r="N67" i="73"/>
  <c r="K1216" i="94"/>
  <c r="F1237" i="94"/>
  <c r="N1216" i="94"/>
  <c r="F1223" i="94"/>
  <c r="N1235" i="94"/>
  <c r="N1237" i="94" s="1"/>
  <c r="K1237" i="94"/>
  <c r="I1223" i="94"/>
  <c r="H1239" i="94" s="1"/>
  <c r="H8" i="88"/>
  <c r="I8" i="88" s="1"/>
  <c r="J600" i="94"/>
  <c r="J601" i="94" s="1"/>
  <c r="J603" i="94" s="1"/>
  <c r="M600" i="94"/>
  <c r="M601" i="94" s="1"/>
  <c r="M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G53" i="82"/>
  <c r="F44" i="78"/>
  <c r="M154" i="78"/>
  <c r="M155" i="78" s="1"/>
  <c r="M157" i="78" s="1"/>
  <c r="J154" i="78"/>
  <c r="J155" i="78" s="1"/>
  <c r="K69" i="73"/>
  <c r="J44" i="78"/>
  <c r="H13" i="74"/>
  <c r="H21" i="74" s="1"/>
  <c r="H1049" i="94" s="1"/>
  <c r="G23" i="74"/>
  <c r="G1051" i="94" s="1"/>
  <c r="G14" i="74"/>
  <c r="G1042" i="94" s="1"/>
  <c r="G20" i="74"/>
  <c r="C20" i="84"/>
  <c r="P154" i="78"/>
  <c r="P155" i="78" s="1"/>
  <c r="P157" i="78" s="1"/>
  <c r="E172" i="90"/>
  <c r="E173" i="90" s="1"/>
  <c r="B22" i="74"/>
  <c r="B1050" i="94" s="1"/>
  <c r="C66" i="84"/>
  <c r="N234" i="75"/>
  <c r="Q234" i="75"/>
  <c r="Q246" i="75"/>
  <c r="I53" i="73"/>
  <c r="F69" i="73"/>
  <c r="H30" i="74" l="1"/>
  <c r="H1058" i="94" s="1"/>
  <c r="N1634" i="94"/>
  <c r="O1634" i="94" s="1"/>
  <c r="S1805" i="94"/>
  <c r="E1071" i="94"/>
  <c r="F43" i="74"/>
  <c r="E15" i="74"/>
  <c r="E16" i="74" s="1"/>
  <c r="E1044" i="94" s="1"/>
  <c r="G1048" i="94"/>
  <c r="K1239" i="94"/>
  <c r="G15" i="74"/>
  <c r="G1043" i="94" s="1"/>
  <c r="D15" i="74"/>
  <c r="D16" i="74" s="1"/>
  <c r="D1044" i="94" s="1"/>
  <c r="F1239" i="94"/>
  <c r="F15" i="74"/>
  <c r="B1043" i="94"/>
  <c r="C15" i="74"/>
  <c r="B16" i="74"/>
  <c r="J4" i="91" s="1"/>
  <c r="C53" i="84"/>
  <c r="I53" i="84" s="1"/>
  <c r="I54" i="84" s="1"/>
  <c r="I56" i="84" s="1"/>
  <c r="I64" i="84" s="1"/>
  <c r="M1239" i="94"/>
  <c r="O2077" i="94"/>
  <c r="O2078" i="94" s="1"/>
  <c r="I1941" i="94"/>
  <c r="O2083" i="94"/>
  <c r="O2084" i="94" s="1"/>
  <c r="AE559" i="94"/>
  <c r="N1631" i="94"/>
  <c r="O1402" i="94"/>
  <c r="AE562" i="94"/>
  <c r="M1478" i="94"/>
  <c r="L1478" i="94" s="1"/>
  <c r="M1475" i="94"/>
  <c r="L1475" i="94" s="1"/>
  <c r="AE560" i="94"/>
  <c r="AE563" i="94"/>
  <c r="AE561" i="94"/>
  <c r="AE564" i="94"/>
  <c r="Q229" i="75"/>
  <c r="N227" i="75" s="1"/>
  <c r="J604"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H53" i="82" l="1"/>
  <c r="I22" i="74"/>
  <c r="I1050" i="94" s="1"/>
  <c r="I21" i="74"/>
  <c r="I1049" i="94" s="1"/>
  <c r="F1071" i="94"/>
  <c r="G43" i="74"/>
  <c r="C1043" i="94"/>
  <c r="D1043" i="94"/>
  <c r="D38" i="74"/>
  <c r="D1066" i="94" s="1"/>
  <c r="B38" i="74"/>
  <c r="B1066" i="94" s="1"/>
  <c r="E1043" i="94"/>
  <c r="E38" i="74"/>
  <c r="E1066" i="94" s="1"/>
  <c r="H1048" i="94"/>
  <c r="E53" i="84"/>
  <c r="E54" i="84" s="1"/>
  <c r="E56" i="84" s="1"/>
  <c r="E64" i="84" s="1"/>
  <c r="E70" i="84" s="1"/>
  <c r="E76" i="84" s="1"/>
  <c r="E73" i="84" s="1"/>
  <c r="C16" i="74"/>
  <c r="C1044" i="94" s="1"/>
  <c r="B1044" i="94"/>
  <c r="G16" i="74"/>
  <c r="K53" i="84"/>
  <c r="K54" i="84" s="1"/>
  <c r="K56" i="84" s="1"/>
  <c r="K64" i="84" s="1"/>
  <c r="K70" i="84" s="1"/>
  <c r="K72" i="84" s="1"/>
  <c r="G53" i="84"/>
  <c r="G54" i="84" s="1"/>
  <c r="L4" i="95"/>
  <c r="C54" i="84"/>
  <c r="C56" i="84" s="1"/>
  <c r="C64" i="84" s="1"/>
  <c r="C70" i="84" s="1"/>
  <c r="C72" i="84" s="1"/>
  <c r="K7" i="74"/>
  <c r="K1035" i="94" s="1"/>
  <c r="B19" i="74"/>
  <c r="K5" i="74"/>
  <c r="K1033" i="94" s="1"/>
  <c r="F1043" i="94"/>
  <c r="F16" i="74"/>
  <c r="F38" i="74" s="1"/>
  <c r="F1066" i="94" s="1"/>
  <c r="O58" i="72"/>
  <c r="O1713" i="9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E19" i="74"/>
  <c r="E1047" i="94" s="1"/>
  <c r="D19" i="74"/>
  <c r="D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C33" i="86" l="1"/>
  <c r="G1071" i="94"/>
  <c r="H43" i="74"/>
  <c r="G1044" i="94"/>
  <c r="G38" i="74"/>
  <c r="G1066" i="94" s="1"/>
  <c r="H38" i="74"/>
  <c r="H1066" i="94" s="1"/>
  <c r="C38" i="74"/>
  <c r="C1066" i="94" s="1"/>
  <c r="I1048" i="94"/>
  <c r="C19" i="74"/>
  <c r="C1047" i="94" s="1"/>
  <c r="G56" i="84"/>
  <c r="G64" i="84" s="1"/>
  <c r="G70" i="84" s="1"/>
  <c r="G72" i="84" s="1"/>
  <c r="G19" i="74"/>
  <c r="G1047" i="94" s="1"/>
  <c r="C76" i="84"/>
  <c r="C73" i="84" s="1"/>
  <c r="B1047" i="94"/>
  <c r="B24" i="74"/>
  <c r="F1044" i="94"/>
  <c r="F19" i="74"/>
  <c r="O50" i="72"/>
  <c r="O1705" i="94" s="1"/>
  <c r="R1705" i="94" s="1"/>
  <c r="E118" i="78"/>
  <c r="A118" i="78" s="1"/>
  <c r="P1713" i="94"/>
  <c r="P50" i="72"/>
  <c r="P1705" i="94" s="1"/>
  <c r="K21" i="88"/>
  <c r="K30" i="88" s="1"/>
  <c r="K34" i="88" s="1"/>
  <c r="J169" i="78"/>
  <c r="J615" i="94" s="1"/>
  <c r="J617" i="94" s="1"/>
  <c r="J619" i="94" s="1"/>
  <c r="J622" i="94" s="1"/>
  <c r="J626" i="94" s="1"/>
  <c r="K13" i="88"/>
  <c r="I72" i="84"/>
  <c r="E72" i="84"/>
  <c r="K76" i="84"/>
  <c r="K73" i="84" s="1"/>
  <c r="E24" i="74"/>
  <c r="D24" i="74"/>
  <c r="K30" i="74"/>
  <c r="K1058" i="94" s="1"/>
  <c r="J53" i="82"/>
  <c r="K13" i="74"/>
  <c r="K21" i="74" s="1"/>
  <c r="K1049" i="94" s="1"/>
  <c r="J23" i="74"/>
  <c r="J1051" i="94" s="1"/>
  <c r="J14" i="74"/>
  <c r="J1042" i="94" s="1"/>
  <c r="J15" i="74"/>
  <c r="J1043" i="94" s="1"/>
  <c r="J20" i="74"/>
  <c r="J22" i="74"/>
  <c r="J1050" i="94" s="1"/>
  <c r="I16" i="74"/>
  <c r="I1044" i="94" s="1"/>
  <c r="H19" i="74"/>
  <c r="H1047" i="94" s="1"/>
  <c r="H1071" i="94" l="1"/>
  <c r="I43" i="74"/>
  <c r="I38" i="74"/>
  <c r="I1066" i="94" s="1"/>
  <c r="J1048" i="94"/>
  <c r="M628" i="94"/>
  <c r="J630" i="94"/>
  <c r="C24" i="74"/>
  <c r="C1052" i="94" s="1"/>
  <c r="G76" i="84"/>
  <c r="G73" i="84" s="1"/>
  <c r="G24" i="74"/>
  <c r="G44" i="82" s="1"/>
  <c r="G46" i="82" s="1"/>
  <c r="R50" i="72"/>
  <c r="B1052" i="94"/>
  <c r="B44" i="82"/>
  <c r="B32" i="74"/>
  <c r="F1047" i="94"/>
  <c r="F24" i="74"/>
  <c r="E564" i="94"/>
  <c r="A564" i="94" s="1"/>
  <c r="E44" i="82"/>
  <c r="E46" i="82" s="1"/>
  <c r="E1052" i="94"/>
  <c r="D44" i="82"/>
  <c r="D46" i="82" s="1"/>
  <c r="D1052" i="94"/>
  <c r="J171" i="78"/>
  <c r="J173" i="78" s="1"/>
  <c r="E32" i="74"/>
  <c r="D32" i="74"/>
  <c r="D1060" i="94" s="1"/>
  <c r="I19" i="74"/>
  <c r="K23" i="74"/>
  <c r="K1051" i="94" s="1"/>
  <c r="B45" i="74"/>
  <c r="B53" i="74" s="1"/>
  <c r="B1081" i="94" s="1"/>
  <c r="K14" i="74"/>
  <c r="K1042" i="94" s="1"/>
  <c r="K15" i="74"/>
  <c r="K1043" i="94" s="1"/>
  <c r="K20" i="74"/>
  <c r="K22" i="74"/>
  <c r="K1050" i="94" s="1"/>
  <c r="H24" i="74"/>
  <c r="H1052" i="94" s="1"/>
  <c r="D33" i="86"/>
  <c r="B62" i="74"/>
  <c r="B1090" i="94" s="1"/>
  <c r="K53" i="82"/>
  <c r="J16" i="74"/>
  <c r="J1044" i="94" s="1"/>
  <c r="I1071" i="94" l="1"/>
  <c r="J43" i="74"/>
  <c r="J38" i="74"/>
  <c r="J1066" i="94" s="1"/>
  <c r="K1048" i="94"/>
  <c r="C32" i="74"/>
  <c r="C1060" i="94" s="1"/>
  <c r="C44" i="82"/>
  <c r="C46" i="82" s="1"/>
  <c r="G1052" i="94"/>
  <c r="G32" i="74"/>
  <c r="H9" i="86" s="1"/>
  <c r="H17" i="86" s="1"/>
  <c r="H18" i="86" s="1"/>
  <c r="H20" i="86" s="1"/>
  <c r="H24" i="86" s="1"/>
  <c r="K11" i="86" s="1"/>
  <c r="B51" i="82"/>
  <c r="B46" i="82"/>
  <c r="G51" i="82"/>
  <c r="B1060" i="94"/>
  <c r="C9" i="86"/>
  <c r="C17" i="86" s="1"/>
  <c r="C18" i="86" s="1"/>
  <c r="C20" i="86" s="1"/>
  <c r="C24" i="86" s="1"/>
  <c r="K6" i="86" s="1"/>
  <c r="G66" i="86" s="1"/>
  <c r="N85" i="85" s="1"/>
  <c r="S20" i="74"/>
  <c r="S1048" i="94" s="1"/>
  <c r="B15" i="82"/>
  <c r="J176" i="78"/>
  <c r="J180" i="78" s="1"/>
  <c r="F1052" i="94"/>
  <c r="F44" i="82"/>
  <c r="F32" i="74"/>
  <c r="D51" i="82"/>
  <c r="E51" i="82"/>
  <c r="F9" i="86"/>
  <c r="F17" i="86" s="1"/>
  <c r="F18" i="86" s="1"/>
  <c r="F20" i="86" s="1"/>
  <c r="F24" i="86" s="1"/>
  <c r="K9" i="86" s="1"/>
  <c r="E1060" i="94"/>
  <c r="I24" i="74"/>
  <c r="I1052" i="94" s="1"/>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S21" i="74" l="1"/>
  <c r="S1049" i="94" s="1"/>
  <c r="J1071" i="94"/>
  <c r="K43" i="74"/>
  <c r="K38" i="74"/>
  <c r="K1066" i="94" s="1"/>
  <c r="B1080" i="94"/>
  <c r="S23" i="74"/>
  <c r="S1051" i="94" s="1"/>
  <c r="C51" i="82"/>
  <c r="D9" i="86"/>
  <c r="D17" i="86" s="1"/>
  <c r="D18" i="86" s="1"/>
  <c r="D20" i="86" s="1"/>
  <c r="D24" i="86" s="1"/>
  <c r="K7" i="86" s="1"/>
  <c r="S22" i="74"/>
  <c r="S1050" i="94" s="1"/>
  <c r="M182" i="78"/>
  <c r="J184" i="78"/>
  <c r="S25" i="74"/>
  <c r="S1053" i="94" s="1"/>
  <c r="G1060" i="94"/>
  <c r="S24" i="74"/>
  <c r="S1052" i="94" s="1"/>
  <c r="F1060" i="94"/>
  <c r="G9" i="86"/>
  <c r="G17" i="86" s="1"/>
  <c r="G18" i="86" s="1"/>
  <c r="G20" i="86" s="1"/>
  <c r="G24" i="86" s="1"/>
  <c r="K10" i="86" s="1"/>
  <c r="F51" i="82"/>
  <c r="F46" i="82"/>
  <c r="I44" i="82"/>
  <c r="I51" i="82" s="1"/>
  <c r="J24" i="74"/>
  <c r="J1052" i="94" s="1"/>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K1071" i="94" l="1"/>
  <c r="B75" i="74"/>
  <c r="B70" i="74"/>
  <c r="B1098" i="94" s="1"/>
  <c r="J44" i="82"/>
  <c r="J46" i="82" s="1"/>
  <c r="C1080" i="94"/>
  <c r="I9" i="66"/>
  <c r="L49" i="68"/>
  <c r="M61" i="85"/>
  <c r="P61" i="85" s="1"/>
  <c r="L50" i="68"/>
  <c r="I34" i="94"/>
  <c r="E99" i="78"/>
  <c r="C21" i="86"/>
  <c r="J32" i="74"/>
  <c r="D29" i="86" s="1"/>
  <c r="I46" i="82"/>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K1052" i="94" s="1"/>
  <c r="B51" i="74"/>
  <c r="B1079" i="94" s="1"/>
  <c r="C48" i="74"/>
  <c r="C1076" i="94" s="1"/>
  <c r="B1103" i="94" l="1"/>
  <c r="C75" i="74"/>
  <c r="J51" i="82"/>
  <c r="C70" i="74"/>
  <c r="C1098" i="94" s="1"/>
  <c r="D1080" i="94"/>
  <c r="S28" i="74"/>
  <c r="S1056" i="94" s="1"/>
  <c r="N50" i="68"/>
  <c r="N429" i="94" s="1"/>
  <c r="L429" i="94"/>
  <c r="C22" i="86"/>
  <c r="C42" i="86" s="1"/>
  <c r="D42" i="86" s="1"/>
  <c r="E42" i="86" s="1"/>
  <c r="D21" i="86"/>
  <c r="C41" i="86"/>
  <c r="D41" i="86" s="1"/>
  <c r="E41" i="86" s="1"/>
  <c r="J99" i="78"/>
  <c r="E545" i="94"/>
  <c r="J545" i="94" s="1"/>
  <c r="L428" i="94"/>
  <c r="N49" i="68"/>
  <c r="N428" i="94" s="1"/>
  <c r="B14" i="82"/>
  <c r="J1060" i="94"/>
  <c r="C51" i="74"/>
  <c r="E73" i="82"/>
  <c r="F62" i="74"/>
  <c r="F1090" i="94" s="1"/>
  <c r="D48" i="74"/>
  <c r="D1076" i="94" s="1"/>
  <c r="B56" i="74"/>
  <c r="B1084" i="94" s="1"/>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C1103" i="94" l="1"/>
  <c r="D75" i="74"/>
  <c r="D70" i="74"/>
  <c r="D1098" i="94" s="1"/>
  <c r="E1080" i="94"/>
  <c r="D22" i="86"/>
  <c r="E21" i="86"/>
  <c r="B20" i="82"/>
  <c r="B21" i="82" s="1"/>
  <c r="G20" i="82"/>
  <c r="C56" i="74"/>
  <c r="C1084" i="94" s="1"/>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D1103" i="94" l="1"/>
  <c r="E75" i="74"/>
  <c r="E70" i="74"/>
  <c r="E1098" i="94" s="1"/>
  <c r="F1080" i="94"/>
  <c r="E22" i="86"/>
  <c r="F2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H53" i="74" s="1"/>
  <c r="H1081" i="94" s="1"/>
  <c r="G46" i="74"/>
  <c r="G1074" i="94" s="1"/>
  <c r="G52" i="74"/>
  <c r="G54" i="74"/>
  <c r="G1082" i="94" s="1"/>
  <c r="E1103" i="94" l="1"/>
  <c r="F75" i="74"/>
  <c r="F70" i="74"/>
  <c r="F1098" i="94" s="1"/>
  <c r="G1080" i="94"/>
  <c r="F22" i="86"/>
  <c r="G21"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G70" i="74"/>
  <c r="G1098" i="94" s="1"/>
  <c r="H1080" i="94"/>
  <c r="G22" i="86"/>
  <c r="H21" i="86"/>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H70" i="74" l="1"/>
  <c r="H1098" i="94" s="1"/>
  <c r="I1080" i="94"/>
  <c r="H22" i="86"/>
  <c r="I21" i="86"/>
  <c r="I22" i="86"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s="1"/>
  <c r="J70" i="74" l="1"/>
  <c r="J1098" i="94" s="1"/>
  <c r="K1080" i="94"/>
  <c r="F45" i="68"/>
  <c r="F424" i="94" s="1"/>
  <c r="S1062" i="94"/>
  <c r="I56" i="74"/>
  <c r="I1084" i="94" s="1"/>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64" i="74"/>
  <c r="I1092" i="94" s="1"/>
  <c r="L45" i="68"/>
  <c r="L424" i="94" s="1"/>
  <c r="J56" i="74"/>
  <c r="J1084" i="94" s="1"/>
  <c r="J1079" i="94"/>
  <c r="I64" i="82"/>
  <c r="I71" i="82" s="1"/>
  <c r="I74"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S37" i="74" l="1"/>
  <c r="S1065" i="94" s="1"/>
  <c r="B101" i="74"/>
  <c r="B1129" i="94" s="1"/>
  <c r="C1112" i="94"/>
  <c r="I66" i="82"/>
  <c r="J64" i="74"/>
  <c r="J1092" i="94" s="1"/>
  <c r="F85" i="92"/>
  <c r="F89" i="92" s="1"/>
  <c r="F105" i="92" s="1"/>
  <c r="J64" i="82"/>
  <c r="J66" i="8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K1084" i="94" s="1"/>
  <c r="C101" i="74" l="1"/>
  <c r="C1129" i="94" s="1"/>
  <c r="D1112" i="94"/>
  <c r="J71" i="82"/>
  <c r="J74" i="82" s="1"/>
  <c r="J75" i="82" s="1"/>
  <c r="J76" i="82" s="1"/>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5" i="74"/>
  <c r="C1153" i="94" s="1"/>
  <c r="C1146" i="94"/>
  <c r="E113" i="74"/>
  <c r="E1141" i="94" s="1"/>
  <c r="F110" i="74"/>
  <c r="F1138" i="94" s="1"/>
  <c r="D118" i="74"/>
  <c r="F131" i="74" l="1"/>
  <c r="F1159" i="94" s="1"/>
  <c r="D125" i="74"/>
  <c r="D1153" i="94" s="1"/>
  <c r="D1146" i="94"/>
  <c r="E118" i="74"/>
  <c r="F113" i="74"/>
  <c r="F1141" i="94" s="1"/>
  <c r="E125" i="74" l="1"/>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E19" i="72"/>
  <c r="E20" i="72"/>
  <c r="E1675" i="94" s="1"/>
  <c r="O316" i="72"/>
  <c r="O443" i="72"/>
  <c r="E1674" i="94"/>
  <c r="O1956" i="94"/>
  <c r="O1971" i="94"/>
  <c r="O2098" i="94"/>
  <c r="O1661" i="94" s="1"/>
  <c r="P316" i="72"/>
  <c r="P1971" i="94" s="1"/>
  <c r="P2098" i="94" s="1"/>
  <c r="P1956" i="94"/>
  <c r="P1661" i="94" l="1"/>
  <c r="P210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<sst xmlns="http://schemas.openxmlformats.org/spreadsheetml/2006/main" count="19344" uniqueCount="7142">
  <si>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</si>
  <si>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</si>
  <si>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</si>
  <si>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</si>
  <si>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</si>
  <si>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</si>
  <si>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</si>
  <si>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</si>
  <si>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</si>
  <si>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</si>
  <si>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</si>
  <si>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</si>
  <si>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</si>
  <si>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</si>
  <si>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</si>
  <si>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</si>
  <si>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</si>
  <si>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</si>
  <si>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</si>
  <si>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</si>
  <si>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</si>
  <si>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</si>
  <si>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</si>
  <si>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</si>
  <si>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</si>
  <si>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</si>
  <si>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</si>
  <si>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</si>
  <si>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</si>
  <si>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</si>
  <si>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</si>
  <si>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</si>
  <si>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</si>
  <si>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</si>
  <si>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</si>
  <si>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</si>
  <si>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</si>
  <si>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</si>
  <si>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</si>
  <si>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</si>
  <si>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</si>
  <si>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</si>
  <si>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</si>
  <si>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</si>
  <si>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</si>
  <si>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</si>
  <si>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</si>
  <si>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</si>
  <si>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</si>
  <si>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</si>
  <si>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</si>
  <si>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</si>
  <si>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</si>
  <si>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</si>
  <si>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</si>
  <si>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</si>
  <si>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</si>
  <si>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</si>
  <si>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</si>
  <si>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</si>
  <si>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</si>
  <si>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</si>
  <si>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</si>
  <si>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</si>
  <si>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</si>
  <si>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</si>
  <si>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</si>
  <si>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</si>
  <si>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</si>
  <si>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</si>
  <si>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</si>
  <si>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</si>
  <si>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</si>
  <si>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</si>
  <si>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</si>
  <si>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</si>
  <si>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</si>
  <si>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</si>
  <si>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</si>
  <si>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</si>
  <si>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</si>
  <si>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</si>
  <si>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</si>
  <si>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</si>
  <si>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</si>
  <si>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</si>
  <si>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</si>
  <si>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</si>
  <si>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</si>
  <si>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</si>
  <si>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</si>
  <si>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</si>
  <si>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</si>
  <si>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</si>
  <si>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</si>
  <si>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</si>
  <si>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</si>
  <si>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</si>
  <si>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</si>
  <si>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</si>
  <si>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</si>
  <si>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</si>
  <si>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</si>
  <si>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</si>
  <si>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</si>
  <si>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</si>
  <si>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</si>
  <si>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</si>
  <si>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</si>
  <si>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</si>
  <si>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</si>
  <si>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</si>
  <si>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</si>
  <si>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</si>
  <si>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</si>
  <si>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</si>
  <si>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</si>
  <si>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</si>
  <si>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</si>
  <si>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</si>
  <si>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</si>
  <si>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</si>
  <si>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</si>
  <si>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</si>
  <si>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</si>
  <si>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</si>
  <si>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</si>
  <si>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</si>
  <si>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</si>
  <si>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</si>
  <si>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</si>
  <si>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</si>
  <si>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</si>
  <si>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</si>
  <si>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</si>
  <si>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</si>
  <si>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</si>
  <si>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</si>
  <si>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</si>
  <si>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</si>
  <si>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</si>
  <si>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</si>
  <si>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</si>
  <si>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</si>
  <si>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</si>
  <si>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</si>
  <si>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</si>
  <si>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</si>
  <si>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</si>
  <si>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</si>
  <si>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</si>
  <si>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</si>
  <si>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</si>
  <si>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</si>
  <si>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</si>
  <si>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</si>
  <si>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</si>
  <si>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</si>
  <si>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</si>
  <si>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</si>
  <si>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</si>
  <si>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</si>
  <si>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</si>
  <si>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</si>
  <si>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</si>
  <si>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</si>
  <si>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</si>
  <si>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</si>
  <si>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</si>
  <si>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</si>
  <si>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</si>
  <si>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</si>
  <si>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</si>
  <si>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</si>
  <si>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</si>
  <si>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</si>
  <si>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</si>
  <si>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</si>
  <si>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</si>
  <si>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</si>
  <si>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</si>
  <si>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</si>
  <si>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</si>
  <si>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</si>
  <si>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</si>
  <si>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</si>
  <si>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</si>
  <si>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</si>
  <si>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</si>
  <si>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</si>
  <si>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</si>
  <si>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</si>
  <si>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</si>
  <si>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</si>
  <si>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</si>
  <si>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</si>
  <si>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</si>
  <si>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</si>
  <si>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</si>
  <si>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</si>
  <si>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</si>
  <si>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</si>
  <si>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</si>
  <si>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</si>
  <si>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</si>
  <si>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</si>
  <si>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</si>
  <si>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</si>
  <si>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</si>
  <si>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</si>
  <si>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</si>
  <si>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</si>
  <si>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</si>
  <si>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</si>
  <si>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</si>
  <si>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</si>
  <si>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</si>
  <si>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</si>
  <si>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</si>
  <si>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</si>
  <si>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</si>
  <si>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</si>
  <si>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</si>
  <si>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</si>
  <si>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</si>
  <si>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</si>
  <si>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</si>
  <si>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</si>
  <si>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</si>
  <si>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</si>
  <si>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</si>
  <si>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</si>
  <si>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</si>
  <si>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</si>
  <si>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</si>
  <si>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</si>
  <si>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</si>
  <si>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</si>
  <si>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</si>
  <si>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</si>
  <si>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</si>
  <si>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</si>
  <si>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</si>
  <si>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</si>
  <si>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</si>
  <si>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</si>
  <si>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</si>
  <si>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</si>
  <si>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</si>
  <si>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</si>
  <si>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</si>
  <si>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</si>
  <si>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</si>
  <si>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</si>
  <si>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</si>
  <si>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</si>
  <si>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</si>
  <si>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</si>
  <si>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</si>
  <si>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</si>
  <si>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</si>
  <si>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</si>
  <si>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</si>
  <si>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</si>
  <si>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</si>
  <si>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</si>
  <si>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</si>
  <si>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</si>
  <si>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</si>
  <si>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</si>
  <si>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</si>
  <si>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</si>
  <si>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</si>
  <si>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</si>
  <si>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</si>
  <si>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</si>
  <si>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</si>
  <si>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</si>
  <si>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</si>
  <si>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</si>
  <si>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</si>
  <si>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</si>
  <si>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</si>
  <si>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</si>
  <si>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</si>
  <si>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</si>
  <si>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</si>
  <si>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</si>
  <si>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</si>
  <si>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</si>
  <si>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</si>
  <si>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</si>
  <si>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</si>
  <si>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</si>
  <si>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</si>
  <si>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</si>
  <si>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</si>
  <si>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</si>
  <si>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</si>
  <si>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</si>
  <si>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</si>
  <si>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</si>
  <si>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</si>
  <si>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</si>
  <si>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</si>
  <si>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</si>
  <si>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</si>
  <si>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</si>
  <si>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</si>
  <si>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</si>
  <si>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</si>
  <si>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</si>
  <si>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</si>
  <si>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</si>
  <si>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</si>
  <si>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</si>
  <si>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</si>
  <si>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</si>
  <si>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</si>
  <si>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</si>
  <si>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</si>
  <si>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</si>
  <si>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</si>
  <si>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</si>
  <si>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</si>
  <si>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</si>
  <si>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</si>
  <si>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</si>
  <si>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</si>
  <si>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</si>
  <si>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</si>
  <si>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</si>
  <si>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</si>
  <si>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</si>
  <si>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</si>
  <si>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</si>
  <si>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</si>
  <si>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</si>
  <si>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</si>
  <si>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</si>
  <si>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</si>
  <si>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</si>
  <si>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</si>
  <si>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</si>
  <si>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</si>
  <si>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</si>
  <si>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</si>
  <si>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</si>
  <si>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</si>
  <si>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</si>
  <si>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</si>
  <si>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</si>
  <si>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</si>
  <si>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</si>
  <si>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</si>
  <si>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</si>
  <si>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</si>
  <si>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</si>
  <si>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</si>
  <si>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</si>
  <si>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</si>
  <si>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</si>
  <si>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</si>
  <si>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</si>
  <si>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</si>
  <si>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</si>
  <si>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</si>
  <si>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</si>
  <si>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</si>
  <si>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</si>
  <si>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</si>
  <si>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</si>
  <si>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</si>
  <si>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</si>
  <si>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</si>
  <si>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</si>
  <si>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</si>
  <si>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</si>
  <si>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</si>
  <si>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</si>
  <si>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</si>
  <si>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</si>
  <si>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</si>
  <si>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</si>
  <si>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</si>
  <si>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</si>
  <si>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</si>
  <si>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</si>
  <si>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</si>
  <si>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</si>
  <si>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</si>
  <si>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</si>
  <si>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</si>
  <si>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</si>
  <si>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</si>
  <si>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</si>
  <si>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</si>
  <si>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</si>
  <si>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</si>
  <si>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</si>
  <si>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</si>
  <si>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</si>
  <si>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</si>
  <si>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</si>
  <si>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</si>
  <si>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</si>
  <si>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</si>
  <si>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</si>
  <si>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</si>
  <si>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</si>
  <si>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</si>
  <si>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</si>
  <si>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</si>
  <si>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</si>
  <si>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</si>
  <si>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</si>
  <si>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</si>
  <si>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</si>
  <si>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</si>
  <si>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</si>
  <si>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</si>
  <si>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</si>
  <si>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</si>
  <si>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</si>
  <si>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</si>
  <si>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</si>
  <si>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</si>
  <si>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</si>
  <si>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</si>
  <si>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</si>
  <si>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</si>
  <si>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</si>
  <si>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</si>
  <si>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</si>
  <si>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</si>
  <si>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</si>
  <si>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</si>
  <si>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</si>
  <si>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</si>
  <si>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</si>
  <si>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</si>
  <si>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</si>
  <si>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</si>
  <si>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</si>
  <si>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</si>
  <si>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</si>
  <si>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</si>
  <si>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</si>
  <si>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</si>
  <si>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</si>
  <si>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</si>
  <si>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</si>
  <si>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</si>
  <si>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</si>
  <si>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</si>
  <si>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</si>
  <si>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</si>
  <si>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</si>
  <si>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</si>
  <si>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</si>
  <si>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</si>
  <si>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</si>
  <si>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</si>
  <si>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</si>
  <si>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</si>
  <si>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</si>
  <si>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</si>
  <si>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</si>
  <si>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</si>
  <si>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</si>
  <si>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</si>
  <si>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</si>
  <si>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</si>
  <si>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</si>
  <si>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</si>
  <si>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</si>
  <si>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</si>
  <si>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</si>
  <si>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</si>
  <si>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</si>
  <si>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</si>
  <si>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</si>
  <si>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</si>
  <si>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</si>
  <si>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</si>
  <si>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</si>
  <si>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</si>
  <si>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</si>
  <si>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</si>
  <si>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</si>
  <si>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</si>
  <si>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</si>
  <si>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</si>
  <si>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</si>
  <si>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</si>
  <si>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</si>
  <si>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</si>
  <si>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</si>
  <si>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</si>
  <si>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</si>
  <si>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</si>
  <si>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</si>
  <si>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</si>
  <si>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</si>
  <si>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</si>
  <si>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</si>
  <si>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</si>
  <si>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</si>
  <si>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</si>
  <si>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</si>
  <si>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</si>
  <si>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</si>
  <si>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</si>
  <si>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</si>
  <si>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</si>
  <si>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</si>
  <si>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</si>
  <si>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</si>
  <si>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</si>
  <si>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</si>
  <si>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</si>
  <si>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</si>
  <si>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</si>
  <si>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</si>
  <si>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</si>
  <si>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</si>
  <si>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</si>
  <si>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</si>
  <si>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</si>
  <si>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</si>
  <si>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</si>
  <si>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</si>
  <si>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</si>
  <si>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</si>
  <si>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</si>
  <si>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</si>
  <si>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</si>
  <si>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</si>
  <si>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</si>
  <si>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</si>
  <si>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</si>
  <si>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</si>
  <si>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</si>
  <si>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</si>
  <si>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</si>
  <si>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</si>
  <si>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</si>
  <si>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</si>
  <si>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</si>
  <si>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</si>
  <si>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</si>
  <si>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</si>
  <si>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</si>
  <si>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</si>
  <si>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</si>
  <si>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</si>
  <si>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</si>
  <si>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</si>
  <si>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</si>
  <si>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</si>
  <si>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</si>
  <si>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</si>
  <si>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</si>
  <si>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</si>
  <si>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</si>
  <si>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</si>
  <si>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</si>
  <si>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</si>
  <si>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</si>
  <si>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</si>
  <si>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</si>
  <si>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</si>
  <si>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</si>
  <si>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</si>
  <si>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</si>
  <si>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</si>
  <si>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</si>
  <si>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</si>
  <si>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</si>
  <si>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</si>
  <si>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</si>
  <si>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</si>
  <si>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</si>
  <si>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</si>
  <si>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</si>
  <si>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</si>
  <si>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</si>
  <si>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</si>
  <si>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</si>
  <si>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</si>
  <si>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</si>
  <si>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</si>
  <si>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</si>
  <si>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</si>
  <si>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</si>
  <si>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</si>
  <si>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</si>
  <si>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</si>
  <si>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</si>
  <si>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</si>
  <si>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</si>
  <si>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</si>
  <si>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</si>
  <si>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</si>
  <si>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</si>
  <si>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</si>
  <si>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</si>
  <si>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</si>
  <si>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</si>
  <si>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</si>
  <si>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</si>
  <si>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</si>
  <si>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</si>
  <si>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</si>
  <si>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</si>
  <si>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</si>
  <si>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</si>
  <si>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</si>
  <si>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</si>
  <si>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</si>
  <si>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</si>
  <si>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</si>
  <si>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</si>
  <si>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</si>
  <si>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</si>
  <si>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</si>
  <si>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</si>
  <si>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</si>
  <si>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</si>
  <si>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</si>
  <si>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</si>
  <si>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</si>
  <si>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</si>
  <si>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</si>
  <si>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</si>
  <si>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</si>
  <si>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</si>
  <si>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</si>
  <si>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</si>
  <si>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</si>
  <si>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</si>
  <si>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</si>
  <si>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</si>
  <si>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</si>
  <si>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</si>
  <si>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</si>
  <si>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</si>
  <si>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</si>
  <si>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</si>
  <si>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</si>
  <si>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</si>
  <si>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</si>
  <si>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</si>
  <si>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</si>
  <si>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</si>
  <si>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</si>
  <si>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</si>
  <si>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</si>
  <si>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</si>
  <si>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</si>
  <si>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</si>
  <si>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</si>
  <si>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</si>
  <si>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</si>
  <si>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</si>
  <si>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</si>
  <si>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</si>
  <si>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</si>
  <si>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</si>
  <si>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</si>
  <si>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</si>
  <si>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</si>
  <si>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</si>
  <si>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</si>
  <si>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</si>
  <si>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</si>
  <si>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</si>
  <si>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</si>
  <si>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</si>
  <si>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</si>
  <si>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</si>
  <si>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</si>
  <si>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</si>
  <si>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</si>
  <si>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</si>
  <si>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</si>
  <si>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</si>
  <si>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</si>
  <si>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</si>
  <si>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</si>
  <si>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</si>
  <si>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</si>
  <si>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</si>
  <si>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</si>
  <si>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</si>
  <si>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</si>
  <si>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</si>
  <si>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</si>
  <si>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</si>
  <si>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</si>
  <si>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</si>
  <si>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</si>
  <si>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</si>
  <si>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</si>
  <si>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</si>
  <si>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</si>
  <si>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</si>
  <si>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</si>
  <si>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</si>
  <si>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</si>
  <si>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</si>
  <si>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</si>
  <si>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</si>
  <si>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</si>
  <si>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</si>
  <si>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</si>
  <si>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</si>
  <si>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</si>
  <si>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</si>
  <si>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</si>
  <si>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</si>
  <si>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</si>
  <si>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</si>
  <si>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</si>
  <si>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</si>
  <si>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</si>
  <si>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</si>
  <si>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</si>
  <si>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</si>
  <si>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</si>
  <si>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</si>
  <si>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</si>
  <si>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</si>
  <si>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</si>
  <si>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</si>
  <si>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</si>
  <si>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</si>
  <si>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</si>
  <si>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</si>
  <si>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</si>
  <si>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</si>
  <si>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</si>
  <si>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</si>
  <si>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</si>
  <si>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</si>
  <si>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</si>
  <si>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</si>
  <si>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</si>
  <si>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</si>
  <si>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</si>
  <si>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</si>
  <si>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</si>
  <si>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</si>
  <si>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</si>
  <si>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</si>
  <si>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</si>
  <si>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</si>
  <si>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</si>
  <si>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</si>
  <si>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</si>
  <si>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</si>
  <si>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</si>
  <si>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</si>
  <si>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</si>
  <si>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</si>
  <si>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</si>
  <si>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</si>
  <si>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</si>
  <si>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</si>
  <si>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</si>
  <si>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</si>
  <si>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</si>
  <si>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</si>
  <si>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</si>
  <si>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</si>
  <si>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</si>
  <si>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</si>
  <si>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</si>
  <si>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</si>
  <si>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</si>
  <si>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</si>
  <si>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</si>
  <si>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</si>
  <si>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</si>
  <si>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</si>
  <si>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</si>
  <si>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</si>
  <si>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</si>
  <si>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</si>
  <si>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</si>
  <si>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</si>
  <si>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</si>
  <si>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</si>
  <si>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</si>
  <si>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</si>
  <si>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</si>
  <si>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</si>
  <si>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</si>
  <si>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</si>
  <si>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</si>
  <si>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</si>
  <si>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</si>
  <si>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</si>
  <si>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</si>
  <si>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</si>
  <si>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</si>
  <si>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</si>
  <si>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</si>
  <si>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</si>
  <si>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</si>
  <si>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</si>
  <si>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</si>
  <si>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</si>
  <si>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</si>
  <si>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</si>
  <si>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</si>
  <si>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</si>
  <si>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</si>
  <si>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</si>
  <si>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</si>
  <si>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</si>
  <si>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</si>
  <si>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</si>
  <si>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</si>
  <si>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</si>
  <si>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</si>
  <si>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</si>
  <si>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</si>
  <si>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</si>
  <si>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</si>
  <si>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</si>
  <si>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</si>
  <si>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</si>
  <si>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</si>
  <si>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</si>
  <si>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</si>
  <si>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</si>
  <si>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</si>
  <si>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</si>
  <si>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</si>
  <si>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</si>
  <si>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</si>
  <si>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</si>
  <si>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</si>
  <si>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</si>
  <si>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</si>
  <si>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</si>
  <si>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</si>
  <si>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</si>
  <si>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</si>
  <si>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</si>
  <si>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</si>
  <si>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</si>
  <si>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</si>
  <si>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</si>
  <si>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</si>
  <si>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</si>
  <si>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</si>
  <si>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</si>
  <si>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</si>
  <si>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</si>
  <si>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</si>
  <si>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</si>
  <si>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</si>
  <si>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</si>
  <si>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</si>
  <si>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</si>
  <si>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</si>
  <si>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</si>
  <si>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</si>
  <si>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</si>
  <si>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</si>
  <si>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</si>
  <si>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</si>
  <si>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</si>
  <si>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</si>
  <si>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</si>
  <si>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</si>
  <si>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</si>
  <si>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</si>
  <si>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</si>
  <si>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</si>
  <si>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</si>
  <si>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</si>
  <si>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</si>
  <si>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</si>
  <si>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</si>
  <si>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</si>
  <si>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</si>
  <si>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</si>
  <si>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</si>
  <si>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</si>
  <si>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</si>
  <si>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</si>
  <si>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</si>
  <si>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</si>
  <si>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</si>
  <si>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</si>
  <si>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</si>
  <si>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</si>
  <si>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</si>
  <si>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</si>
  <si>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</si>
  <si>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</si>
  <si>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</si>
  <si>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</si>
  <si>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</si>
  <si>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</si>
  <si>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</si>
  <si>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</si>
  <si>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</si>
  <si>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</si>
  <si>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</si>
  <si>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</si>
  <si>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</si>
  <si>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</si>
  <si>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</si>
  <si>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</si>
  <si>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</si>
  <si>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</si>
  <si>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</si>
  <si>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</si>
  <si>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</si>
  <si>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</si>
  <si>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</si>
  <si>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</si>
  <si>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</si>
  <si>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</si>
  <si>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</si>
  <si>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</si>
  <si>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</si>
  <si>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</si>
  <si>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</si>
  <si>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</si>
  <si>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</si>
  <si>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</si>
  <si>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</si>
  <si>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</si>
  <si>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</si>
  <si>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</si>
  <si>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</si>
  <si>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</si>
  <si>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</si>
  <si>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</si>
  <si>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</si>
  <si>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</si>
  <si>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</si>
  <si>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</si>
  <si>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</si>
  <si>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</si>
  <si>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</si>
  <si>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</si>
  <si>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</si>
  <si>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</si>
  <si>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</si>
  <si>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</si>
  <si>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</si>
  <si>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</si>
  <si>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</si>
  <si>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</si>
  <si>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</si>
  <si>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</si>
  <si>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</si>
  <si>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</si>
  <si>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</si>
  <si>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</si>
  <si>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</si>
  <si>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</si>
  <si>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</si>
  <si>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</si>
  <si>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</si>
  <si>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</si>
  <si>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</si>
  <si>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</si>
  <si>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</si>
  <si>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</si>
  <si>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</si>
  <si>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</si>
  <si>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</si>
  <si>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</si>
  <si>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</si>
  <si>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</si>
  <si>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</si>
  <si>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</si>
  <si>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</si>
  <si>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</si>
  <si>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</si>
  <si>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</si>
  <si>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</si>
  <si>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</si>
  <si>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</si>
  <si>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</si>
  <si>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</si>
  <si>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</si>
  <si>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</si>
  <si>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</si>
  <si>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</si>
  <si>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</si>
  <si>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</si>
  <si>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</si>
  <si>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</si>
  <si>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</si>
  <si>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</si>
  <si>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</si>
  <si>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</si>
  <si>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</si>
  <si>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</si>
  <si>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</si>
  <si>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</si>
  <si>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</si>
  <si>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</si>
  <si>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</si>
  <si>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</si>
  <si>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</si>
  <si>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</si>
  <si>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</si>
  <si>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</si>
  <si>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</si>
  <si>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</si>
  <si>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</si>
  <si>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</si>
  <si>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</si>
  <si>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</si>
  <si>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</si>
  <si>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</si>
  <si>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</si>
  <si>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</si>
  <si>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</si>
  <si>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</si>
  <si>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</si>
  <si>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</si>
  <si>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</si>
  <si>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</si>
  <si>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</si>
  <si>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</si>
  <si>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</si>
  <si>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</si>
  <si>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</si>
  <si>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</si>
  <si>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</si>
  <si>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</si>
  <si>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</si>
  <si>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</si>
  <si>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</si>
  <si>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</si>
  <si>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</si>
  <si>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</si>
  <si>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</si>
  <si>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</si>
  <si>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</si>
  <si>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</si>
  <si>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</si>
  <si>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</si>
  <si>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</si>
  <si>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</si>
  <si>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</si>
  <si>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</si>
  <si>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</si>
  <si>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</si>
  <si>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</si>
  <si>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</si>
  <si>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</si>
  <si>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</si>
  <si>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</si>
  <si>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</si>
  <si>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</si>
  <si>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</si>
  <si>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</si>
  <si>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</si>
  <si>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</si>
  <si>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</si>
  <si>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</si>
  <si>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</si>
  <si>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</si>
  <si>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</si>
  <si>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</si>
  <si>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</si>
  <si>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</si>
  <si>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</si>
  <si>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</si>
  <si>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</si>
  <si>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</si>
  <si>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</si>
  <si>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</si>
  <si>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</si>
  <si>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</si>
  <si>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</si>
  <si>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</si>
  <si>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</si>
  <si>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</si>
  <si>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</si>
  <si>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</si>
  <si>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</si>
  <si>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</si>
  <si>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</si>
  <si>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</si>
  <si>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</si>
  <si>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</si>
  <si>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</si>
  <si>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</si>
  <si>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</si>
  <si>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</si>
  <si>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</si>
  <si>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</si>
  <si>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</si>
  <si>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</si>
  <si>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</si>
  <si>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</si>
  <si>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</si>
  <si>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</si>
  <si>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</si>
  <si>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</si>
  <si>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</si>
  <si>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</si>
  <si>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</si>
  <si>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</si>
  <si>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</si>
  <si>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</si>
  <si>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</si>
  <si>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</si>
  <si>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</si>
  <si>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</si>
  <si>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</si>
  <si>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</si>
  <si>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</si>
  <si>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</si>
  <si>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</si>
  <si>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</si>
  <si>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</si>
  <si>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</si>
  <si>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</si>
  <si>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</si>
  <si>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</si>
  <si>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</si>
  <si>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</si>
  <si>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</si>
  <si>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</si>
  <si>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</si>
  <si>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</si>
  <si>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</si>
  <si>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</si>
  <si>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</si>
  <si>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</si>
  <si>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</si>
  <si>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</si>
  <si>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</si>
  <si>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</si>
  <si>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</si>
  <si>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</si>
  <si>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</si>
  <si>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</si>
  <si>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</si>
  <si>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</si>
  <si>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</si>
  <si>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</si>
  <si>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</si>
  <si>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</si>
  <si>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</si>
  <si>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</si>
  <si>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</si>
  <si>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</si>
  <si>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</si>
  <si>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</si>
  <si>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</si>
  <si>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</si>
  <si>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</si>
  <si>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</si>
  <si>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</si>
  <si>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</si>
  <si>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</si>
  <si>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</si>
  <si>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</si>
  <si>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</si>
  <si>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</si>
  <si>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</si>
  <si>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</si>
  <si>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</si>
  <si>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</si>
  <si>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</si>
  <si>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</si>
  <si>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</si>
  <si>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</si>
  <si>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</si>
  <si>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</si>
  <si>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</si>
  <si>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</si>
  <si>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</si>
  <si>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</si>
  <si>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</si>
  <si>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</si>
  <si>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</si>
  <si>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</si>
  <si>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</si>
  <si>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</si>
  <si>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</si>
  <si>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</si>
  <si>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</si>
  <si>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</si>
  <si>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</si>
  <si>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</si>
  <si>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</si>
  <si>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</si>
  <si>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</si>
  <si>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</si>
  <si>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</si>
  <si>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</si>
  <si>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</si>
  <si>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</si>
  <si>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</si>
  <si>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</si>
  <si>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</si>
  <si>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</si>
  <si>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</si>
  <si>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</si>
  <si>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</si>
  <si>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</si>
  <si>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</si>
  <si>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</si>
  <si>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</si>
  <si>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</si>
  <si>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</si>
  <si>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</si>
  <si>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</si>
  <si>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</si>
  <si>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</si>
  <si>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</si>
  <si>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</si>
  <si>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</si>
  <si>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</si>
  <si>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</si>
  <si>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</si>
  <si>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</si>
  <si>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</si>
  <si>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</si>
  <si>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</si>
  <si>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</si>
  <si>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</si>
  <si>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</si>
  <si>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</si>
  <si>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</si>
  <si>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</si>
  <si>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</si>
  <si>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</si>
  <si>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</si>
  <si>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</si>
  <si>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</si>
  <si>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</si>
  <si>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</si>
  <si>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</si>
  <si>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</si>
  <si>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</si>
  <si>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</si>
  <si>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</si>
  <si>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</si>
  <si>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</si>
  <si>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</si>
  <si>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</si>
  <si>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</si>
  <si>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</si>
  <si>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</si>
  <si>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</si>
  <si>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</si>
  <si>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</si>
  <si>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</si>
  <si>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</si>
  <si>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</si>
  <si>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</si>
  <si>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</si>
  <si>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</si>
  <si>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</si>
  <si>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</si>
  <si>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</si>
  <si>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</si>
  <si>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</si>
  <si>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</si>
  <si>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</si>
  <si>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</si>
  <si>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</si>
  <si>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</si>
  <si>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</si>
  <si>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</si>
  <si>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</si>
  <si>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</si>
  <si>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</si>
  <si>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</si>
  <si>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</si>
  <si>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</si>
  <si>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</si>
  <si>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</si>
  <si>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</si>
  <si>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</si>
  <si>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</si>
  <si>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</si>
  <si>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</si>
  <si>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</si>
  <si>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</si>
  <si>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</si>
  <si>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</si>
  <si>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</si>
  <si>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</si>
  <si>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</si>
  <si>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</si>
  <si>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</si>
  <si>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</si>
  <si>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</si>
  <si>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</si>
  <si>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</si>
  <si>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</si>
  <si>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</si>
  <si>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</si>
  <si>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</si>
  <si>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</si>
  <si>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</si>
  <si>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</si>
  <si>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</si>
  <si>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</si>
  <si>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</si>
  <si>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</si>
  <si>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</si>
  <si>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</si>
  <si>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</si>
  <si>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</si>
  <si>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</si>
  <si>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</si>
  <si>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</si>
  <si>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</si>
  <si>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</si>
  <si>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</si>
  <si>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</si>
  <si>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</si>
  <si>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</si>
  <si>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</si>
  <si>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</si>
  <si>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</si>
  <si>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</si>
  <si>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</si>
  <si>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</si>
  <si>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</si>
  <si>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</si>
  <si>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</si>
  <si>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</si>
  <si>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</si>
  <si>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</si>
  <si>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</si>
  <si>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</si>
  <si>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</si>
  <si>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</si>
  <si>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</si>
  <si>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</si>
  <si>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</si>
  <si>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</si>
  <si>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</si>
  <si>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</si>
  <si>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</si>
  <si>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</si>
  <si>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</si>
  <si>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</si>
  <si>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</si>
  <si>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</si>
  <si>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</si>
  <si>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</si>
  <si>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</si>
  <si>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</si>
  <si>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</si>
  <si>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</si>
  <si>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</si>
  <si>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</si>
  <si>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</si>
  <si>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</si>
  <si>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</si>
  <si>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</si>
  <si>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</si>
  <si>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</si>
  <si>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</si>
  <si>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</si>
  <si>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</si>
  <si>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</si>
  <si>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</si>
  <si>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</si>
  <si>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</si>
  <si>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</si>
  <si>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</si>
  <si>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</si>
  <si>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</si>
  <si>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</si>
  <si>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</si>
  <si>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</si>
  <si>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</si>
  <si>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</si>
  <si>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</si>
  <si>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</si>
  <si>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</si>
  <si>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</si>
  <si>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</si>
  <si>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</si>
  <si>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</si>
  <si>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</si>
  <si>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</si>
  <si>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</si>
  <si>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</si>
  <si>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</si>
  <si>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</si>
  <si>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</si>
  <si>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</si>
  <si>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</si>
  <si>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</si>
  <si>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</si>
  <si>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</si>
  <si>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</si>
  <si>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</si>
  <si>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</si>
  <si>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</si>
  <si>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</si>
  <si>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</si>
  <si>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</si>
  <si>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</si>
  <si>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</si>
  <si>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</si>
  <si>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</si>
  <si>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</si>
  <si>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</si>
  <si>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</si>
  <si>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</si>
  <si>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</si>
  <si>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</si>
  <si>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</si>
  <si>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</si>
  <si>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</si>
  <si>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</si>
  <si>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</si>
  <si>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</si>
  <si>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</si>
  <si>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</si>
  <si>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</si>
  <si>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</si>
  <si>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</si>
  <si>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</si>
  <si>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</si>
  <si>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</si>
  <si>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</si>
  <si>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</si>
  <si>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</si>
  <si>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</si>
  <si>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</si>
  <si>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</si>
  <si>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</si>
  <si>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</si>
  <si>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</si>
  <si>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</si>
  <si>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</si>
  <si>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</si>
  <si>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</si>
  <si>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</si>
  <si>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</si>
  <si>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</si>
  <si>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</si>
  <si>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</si>
  <si>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</si>
  <si>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</si>
  <si>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</si>
  <si>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</si>
  <si>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</si>
  <si>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</si>
  <si>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</si>
  <si>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</si>
  <si>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</si>
  <si>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</si>
  <si>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</si>
  <si>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</si>
  <si>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</si>
  <si>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</si>
  <si>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</si>
  <si>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</si>
  <si>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</si>
  <si>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</si>
  <si>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</si>
  <si>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</si>
  <si>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</si>
  <si>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</si>
  <si>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</si>
  <si>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</si>
  <si>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</si>
  <si>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</si>
  <si>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</si>
  <si>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</si>
  <si>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</si>
  <si>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</si>
  <si>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</si>
  <si>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</si>
  <si>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</si>
  <si>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</si>
  <si>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</si>
  <si>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</si>
  <si>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</si>
  <si>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</si>
  <si>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</si>
  <si>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</si>
  <si>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</si>
  <si>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</si>
  <si>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</si>
  <si>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</si>
  <si>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</si>
  <si>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</si>
  <si>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</si>
  <si>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</si>
  <si>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</si>
  <si>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</si>
  <si>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</si>
  <si>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</si>
  <si>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</si>
  <si>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</si>
  <si>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</si>
  <si>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</si>
  <si>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</si>
  <si>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</si>
  <si>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</si>
  <si>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</si>
  <si>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</si>
  <si>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</si>
  <si>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</si>
  <si>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</si>
  <si>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</si>
  <si>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</si>
  <si>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</si>
  <si>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</si>
  <si>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</si>
  <si>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</si>
  <si>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</si>
  <si>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</si>
  <si>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</si>
  <si>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</si>
  <si>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</si>
  <si>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</si>
  <si>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</si>
  <si>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</si>
  <si>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</si>
  <si>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</si>
  <si>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</si>
  <si>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</si>
  <si>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</si>
  <si>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</si>
  <si>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</si>
  <si>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</si>
  <si>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</si>
  <si>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</si>
  <si>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</si>
  <si>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</si>
  <si>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</si>
  <si>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</si>
  <si>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</si>
  <si>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</si>
  <si>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</si>
  <si>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</si>
  <si>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</si>
  <si>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</si>
  <si>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</si>
  <si>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</si>
  <si>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</si>
  <si>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</si>
  <si>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</si>
  <si>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</si>
  <si>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</si>
  <si>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</si>
  <si>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</si>
  <si>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</si>
  <si>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</si>
  <si>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</si>
  <si>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</si>
  <si>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</si>
  <si>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</si>
  <si>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</si>
  <si>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</si>
  <si>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</si>
  <si>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</si>
  <si>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</si>
  <si>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</si>
  <si>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</si>
  <si>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</si>
  <si>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</si>
  <si>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</si>
  <si>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</si>
  <si>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</si>
  <si>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</si>
  <si>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</si>
  <si>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</si>
  <si>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</si>
  <si>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</si>
  <si>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</si>
  <si>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</si>
  <si>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</si>
  <si>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</si>
  <si>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</si>
  <si>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</si>
  <si>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</si>
  <si>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</si>
  <si>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</si>
  <si>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</si>
  <si>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</si>
  <si>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</si>
  <si>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</si>
  <si>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</si>
  <si>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</si>
  <si>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</si>
  <si>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</si>
  <si>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</si>
  <si>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</si>
  <si>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</si>
  <si>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</si>
  <si>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</si>
  <si>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</si>
  <si>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</si>
  <si>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</si>
  <si>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</si>
  <si>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</si>
  <si>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</si>
  <si>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</si>
  <si>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</si>
  <si>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</si>
  <si>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</si>
  <si>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</si>
  <si>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</si>
  <si>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</si>
  <si>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</si>
  <si>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</si>
  <si>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</si>
  <si>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</si>
  <si>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</si>
  <si>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</si>
  <si>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</si>
  <si>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</si>
  <si>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</si>
  <si>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</si>
  <si>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</si>
  <si>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</si>
  <si>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</si>
  <si>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</si>
  <si>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</si>
  <si>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</si>
  <si>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</si>
  <si>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</si>
  <si>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</si>
  <si>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</si>
  <si>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</si>
  <si>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</si>
  <si>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</si>
  <si>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</si>
  <si>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</si>
  <si>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</si>
  <si>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</si>
  <si>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</si>
  <si>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</si>
  <si>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</si>
  <si>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</si>
  <si>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</si>
  <si>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</si>
  <si>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</si>
  <si>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</si>
  <si>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</si>
  <si>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</si>
  <si>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</si>
  <si>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</si>
  <si>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</si>
  <si>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</si>
  <si>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</si>
  <si>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</si>
  <si>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</si>
  <si>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</si>
  <si>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</si>
  <si>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</si>
  <si>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</si>
  <si>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</si>
  <si>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</si>
  <si>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</si>
  <si>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</si>
  <si>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</si>
  <si>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</si>
  <si>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</si>
  <si>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</si>
  <si>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</si>
  <si>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</si>
  <si>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</si>
  <si>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</si>
  <si>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</si>
  <si>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</si>
  <si>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</si>
  <si>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</si>
  <si>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</si>
  <si>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</si>
  <si>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</si>
  <si>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</si>
  <si>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</si>
  <si>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</si>
  <si>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</si>
  <si>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</si>
  <si>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</si>
  <si>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</si>
  <si>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</si>
  <si>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</si>
  <si>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</si>
  <si>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</si>
  <si>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</si>
  <si>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</si>
  <si>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</si>
  <si>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</si>
  <si>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</si>
  <si>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</si>
  <si>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</si>
  <si>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</si>
  <si>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</si>
  <si>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</si>
  <si>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</si>
  <si>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</si>
  <si>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</si>
  <si>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</si>
  <si>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</si>
  <si>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</si>
  <si>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</si>
  <si>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</si>
  <si>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</si>
  <si>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</si>
  <si>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</si>
  <si>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</si>
  <si>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</si>
  <si>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</si>
  <si>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</si>
  <si>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</si>
  <si>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</si>
  <si>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</si>
  <si>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</si>
  <si>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</si>
  <si>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</si>
  <si>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</si>
  <si>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</si>
  <si>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</si>
  <si>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</si>
  <si>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</si>
  <si>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</si>
  <si>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</si>
  <si>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</si>
  <si>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</si>
  <si>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</si>
  <si>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</si>
  <si>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</si>
  <si>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</si>
  <si>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</si>
  <si>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</si>
  <si>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</si>
  <si>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</si>
  <si>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</si>
  <si>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</si>
  <si>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</si>
  <si>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</si>
  <si>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</si>
  <si>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</si>
  <si>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</si>
  <si>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</si>
  <si>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</si>
  <si>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</si>
  <si>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</si>
  <si>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</si>
  <si>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</si>
  <si>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</si>
  <si>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</si>
  <si>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</si>
  <si>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</si>
  <si>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</si>
  <si>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</si>
  <si>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</si>
  <si>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</si>
  <si>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</si>
  <si>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</si>
  <si>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</si>
  <si>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</si>
  <si>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</si>
  <si>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</si>
  <si>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</si>
  <si>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</si>
  <si>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</si>
  <si>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</si>
  <si>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</si>
  <si>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</si>
  <si>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</si>
  <si>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</si>
  <si>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</si>
  <si>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</si>
  <si>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</si>
  <si>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</si>
  <si>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</si>
  <si>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</si>
  <si>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</si>
  <si>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</si>
  <si>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</si>
  <si>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</si>
  <si>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</si>
  <si>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</si>
  <si>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</si>
  <si>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</si>
  <si>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</si>
  <si>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</si>
  <si>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</si>
  <si>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</si>
  <si>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</si>
  <si>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</si>
  <si>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</si>
  <si>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</si>
  <si>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</si>
  <si>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</si>
  <si>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</si>
  <si>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</si>
  <si>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</si>
  <si>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</si>
  <si>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</si>
  <si>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</si>
  <si>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</si>
  <si>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</si>
  <si>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</si>
  <si>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</si>
  <si>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</si>
  <si>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</si>
  <si>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</si>
  <si>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</si>
  <si>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</si>
  <si>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</si>
  <si>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</si>
  <si>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</si>
  <si>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</si>
  <si>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</si>
  <si>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</si>
  <si>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</si>
  <si>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</si>
  <si>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</si>
  <si>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</si>
  <si>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</si>
  <si>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</si>
  <si>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</si>
  <si>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</si>
  <si>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</si>
  <si>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</si>
  <si>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</si>
  <si>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</si>
  <si>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</si>
  <si>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</si>
  <si>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</si>
  <si>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</si>
  <si>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</si>
  <si>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</si>
  <si>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</si>
  <si>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</si>
  <si>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</si>
  <si>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</si>
  <si>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</si>
  <si>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</si>
  <si>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</si>
  <si>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</si>
  <si>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</si>
  <si>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</si>
  <si>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</si>
  <si>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</si>
  <si>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</si>
  <si>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</si>
  <si>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</si>
  <si>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</si>
  <si>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</si>
  <si>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</si>
  <si>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</si>
  <si>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</si>
  <si>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</si>
  <si>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</si>
  <si>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</si>
  <si>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</si>
  <si>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</si>
  <si>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</si>
  <si>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</si>
  <si>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</si>
  <si>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</si>
  <si>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</si>
  <si>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</si>
  <si>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</si>
  <si>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</si>
  <si>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</si>
  <si>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</si>
  <si>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</si>
  <si>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</si>
  <si>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</si>
  <si>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</si>
  <si>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</si>
  <si>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</si>
  <si>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</si>
  <si>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</si>
  <si>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</si>
  <si>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</si>
  <si>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</si>
  <si>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</si>
  <si>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</si>
  <si>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</si>
  <si>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</si>
  <si>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</si>
  <si>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</si>
  <si>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</si>
  <si>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</si>
  <si>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</si>
  <si>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</si>
  <si>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</si>
  <si>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</si>
  <si>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</si>
  <si>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</si>
  <si>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</si>
  <si>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</si>
  <si>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</si>
  <si>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</si>
  <si>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</si>
  <si>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</si>
  <si>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</si>
  <si>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</si>
  <si>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</si>
  <si>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</si>
  <si>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</si>
  <si>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</si>
  <si>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</si>
  <si>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</si>
  <si>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</si>
  <si>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</si>
  <si>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</si>
  <si>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</si>
  <si>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</si>
  <si>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</si>
  <si>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</si>
  <si>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</si>
  <si>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</si>
  <si>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</si>
  <si>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</si>
  <si>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</si>
  <si>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</si>
  <si>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</si>
  <si>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</si>
  <si>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</si>
  <si>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</si>
  <si>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</si>
  <si>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</si>
  <si>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</si>
  <si>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</si>
  <si>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</si>
  <si>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</si>
  <si>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</si>
  <si>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</si>
  <si>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</si>
  <si>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</si>
  <si>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</si>
  <si>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</si>
  <si>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</si>
  <si>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</si>
  <si>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</si>
  <si>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</si>
  <si>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</si>
  <si>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</si>
  <si>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</si>
  <si>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</si>
  <si>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</si>
  <si>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</si>
  <si>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</si>
  <si>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</si>
  <si>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</si>
  <si>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</si>
  <si>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</si>
  <si>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</si>
  <si>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</si>
  <si>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</si>
  <si>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</si>
  <si>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</si>
  <si>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</si>
  <si>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</si>
  <si>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</si>
  <si>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</si>
  <si>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</si>
  <si>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</si>
  <si>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</si>
  <si>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</si>
  <si>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</si>
  <si>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</si>
  <si>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</si>
  <si>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</si>
  <si>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</si>
  <si>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</si>
  <si>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</si>
  <si>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</si>
  <si>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</si>
  <si>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</si>
  <si>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</si>
  <si>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</si>
  <si>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</si>
  <si>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</si>
  <si>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</si>
  <si>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</si>
  <si>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</si>
  <si>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</si>
  <si>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</si>
  <si>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</si>
  <si>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</si>
  <si>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</si>
  <si>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</si>
  <si>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</si>
  <si>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</si>
  <si>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</si>
  <si>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</si>
  <si>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</si>
  <si>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</si>
  <si>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</si>
  <si>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</si>
  <si>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</si>
  <si>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</si>
  <si>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</si>
  <si>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</si>
  <si>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</si>
  <si>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</si>
  <si>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</si>
  <si>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</si>
  <si>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</si>
  <si>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</si>
  <si>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</si>
  <si>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</si>
  <si>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</si>
  <si>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</si>
  <si>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</si>
  <si>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</si>
  <si>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</si>
  <si>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</si>
  <si>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</si>
  <si>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</si>
  <si>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</si>
  <si>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</si>
  <si>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</si>
  <si>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</si>
  <si>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</si>
  <si>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</si>
  <si>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</si>
  <si>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</si>
  <si>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</si>
  <si>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</si>
  <si>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</si>
  <si>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</si>
  <si>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</si>
  <si>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</si>
  <si>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</si>
  <si>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</si>
  <si>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</si>
  <si>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</si>
  <si>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</si>
  <si>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</si>
  <si>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</si>
  <si>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</si>
  <si>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</si>
  <si>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</si>
  <si>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</si>
  <si>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</si>
  <si>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</si>
  <si>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</si>
  <si>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</si>
  <si>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</si>
  <si>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</si>
  <si>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</si>
  <si>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</si>
  <si>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</si>
  <si>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</si>
  <si>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</si>
  <si>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</si>
  <si>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</si>
  <si>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</si>
  <si>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</si>
  <si>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</si>
  <si>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</si>
  <si>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</si>
  <si>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</si>
  <si>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</si>
  <si>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</si>
  <si>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</si>
  <si>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</si>
  <si>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</si>
  <si>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</si>
  <si>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</si>
  <si>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</si>
  <si>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</si>
  <si>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</si>
  <si>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</si>
  <si>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</si>
  <si>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</si>
  <si>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</si>
  <si>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</si>
  <si>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</si>
  <si>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</si>
  <si>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</si>
  <si>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</si>
  <si>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</si>
  <si>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</si>
  <si>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</si>
  <si>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</si>
  <si>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</si>
  <si>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</si>
  <si>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</si>
  <si>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</si>
  <si>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</si>
  <si>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</si>
  <si>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</si>
  <si>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</si>
  <si>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</si>
  <si>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</si>
  <si>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</si>
  <si>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</si>
  <si>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</si>
  <si>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</si>
  <si>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</si>
  <si>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</si>
  <si>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</si>
  <si>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</si>
  <si>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</si>
  <si>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</si>
  <si>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</si>
  <si>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</si>
  <si>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</si>
  <si>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</si>
  <si>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</si>
  <si>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</si>
  <si>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</si>
  <si>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</si>
  <si>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</si>
  <si>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</si>
  <si>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</si>
  <si>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</si>
  <si>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</si>
  <si>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</si>
  <si>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</si>
  <si>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</si>
  <si>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</si>
  <si>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</si>
  <si>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</si>
  <si>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</si>
  <si>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</si>
  <si>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</si>
  <si>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</si>
  <si>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</si>
  <si>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</si>
  <si>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</si>
  <si>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</si>
  <si>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</si>
  <si>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</si>
  <si>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</si>
  <si>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</si>
  <si>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</si>
  <si>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</si>
  <si>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</si>
  <si>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</si>
  <si>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</si>
  <si>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</si>
  <si>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</si>
  <si>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</si>
  <si>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</si>
  <si>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</si>
  <si>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</si>
  <si>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</si>
  <si>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</si>
  <si>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</si>
  <si>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</si>
  <si>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</si>
  <si>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</si>
  <si>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</si>
  <si>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</si>
  <si>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</si>
  <si>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</si>
  <si>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</si>
  <si>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</si>
  <si>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</si>
  <si>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</si>
  <si>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</si>
  <si>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</si>
  <si>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</si>
  <si>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</si>
  <si>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</si>
  <si>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</si>
  <si>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</si>
  <si>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</si>
  <si>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</si>
  <si>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</si>
  <si>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</si>
  <si>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</si>
  <si>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</si>
  <si>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</si>
  <si>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</si>
  <si>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</si>
  <si>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</si>
  <si>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</si>
  <si>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</si>
  <si>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</si>
  <si>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</si>
  <si>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</si>
  <si>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</si>
  <si>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</si>
  <si>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</si>
  <si>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</si>
  <si>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</si>
  <si>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</si>
  <si>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</si>
  <si>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</si>
  <si>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</si>
  <si>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</si>
  <si>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</si>
  <si>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</si>
  <si>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</si>
  <si>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</si>
  <si>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</si>
  <si>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</si>
  <si>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</si>
  <si>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</si>
  <si>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</si>
  <si>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</si>
  <si>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</si>
  <si>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</si>
  <si>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</si>
  <si>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</si>
  <si>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</si>
  <si>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</si>
  <si>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</si>
  <si>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</si>
  <si>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</si>
  <si>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</si>
  <si>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</si>
  <si>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</si>
  <si>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</si>
  <si>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</si>
  <si>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</si>
  <si>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</si>
  <si>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</si>
  <si>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</si>
  <si>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</si>
  <si>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</si>
  <si>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</si>
  <si>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</si>
  <si>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</si>
  <si>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</si>
  <si>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</si>
  <si>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</si>
  <si>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</si>
  <si>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</si>
  <si>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</si>
  <si>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</si>
  <si>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</si>
  <si>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</si>
  <si>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</si>
  <si>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</si>
  <si>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</si>
  <si>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</si>
  <si>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</si>
  <si>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</si>
  <si>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</si>
  <si>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</si>
  <si>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</si>
  <si>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</si>
  <si>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</si>
  <si>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</si>
  <si>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</si>
  <si>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</si>
  <si>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</si>
  <si>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</si>
  <si>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</si>
  <si>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</si>
  <si>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</si>
  <si>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</si>
  <si>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</si>
  <si>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</si>
  <si>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</si>
  <si>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</si>
  <si>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</si>
  <si>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</si>
  <si>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</si>
  <si>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</si>
  <si>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</si>
  <si>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</si>
  <si>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</si>
  <si>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</si>
  <si>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</si>
  <si>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</si>
  <si>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</si>
  <si>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</si>
  <si>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</si>
  <si>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</si>
  <si>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</si>
  <si>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</si>
  <si>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</si>
  <si>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</si>
  <si>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</si>
  <si>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</si>
  <si>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</si>
  <si>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</si>
  <si>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</si>
  <si>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</si>
  <si>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</si>
  <si>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</si>
  <si>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</si>
  <si>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</si>
  <si>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</si>
  <si>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</si>
  <si>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</si>
  <si>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</si>
  <si>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</si>
  <si>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</si>
  <si>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</si>
  <si>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</si>
  <si>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</si>
  <si>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</si>
  <si>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</si>
  <si>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</si>
  <si>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</si>
  <si>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</si>
  <si>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</si>
  <si>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</si>
  <si>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</si>
  <si>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</si>
  <si>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</si>
  <si>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</si>
  <si>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</si>
  <si>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</si>
  <si>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</si>
  <si>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</si>
  <si>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</si>
  <si>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</si>
  <si>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</si>
  <si>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</si>
  <si>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</si>
  <si>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</si>
  <si>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</si>
  <si>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</si>
  <si>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</si>
  <si>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</si>
  <si>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</si>
  <si>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</si>
  <si>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</si>
  <si>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</si>
  <si>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</si>
  <si>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</si>
  <si>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</si>
  <si>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</si>
  <si>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</si>
  <si>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</si>
  <si>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</si>
  <si>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</si>
  <si>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</si>
  <si>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</si>
  <si>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</si>
  <si>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</si>
  <si>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</si>
  <si>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</si>
  <si>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</si>
  <si>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</si>
  <si>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</si>
  <si>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</si>
  <si>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</si>
  <si>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</si>
  <si>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</si>
  <si>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</si>
  <si>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</si>
  <si>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</si>
  <si>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</si>
  <si>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</si>
  <si>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</si>
  <si>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</si>
  <si>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</si>
  <si>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</si>
  <si>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</si>
  <si>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</si>
  <si>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</si>
  <si>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</si>
  <si>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</si>
  <si>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</si>
  <si>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</si>
  <si>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</si>
  <si>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</si>
  <si>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</si>
  <si>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</si>
  <si>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</si>
  <si>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</si>
  <si>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</si>
  <si>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</si>
  <si>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</si>
  <si>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</si>
  <si>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</si>
  <si>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</si>
  <si>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</si>
  <si>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</si>
  <si>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</si>
  <si>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</si>
  <si>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</si>
  <si>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</si>
  <si>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</si>
  <si>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</si>
  <si>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</si>
  <si>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</si>
  <si>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</si>
  <si>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</si>
  <si>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</si>
  <si>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</si>
  <si>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</si>
  <si>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</si>
  <si>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</si>
  <si>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</si>
  <si>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</si>
  <si>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</si>
  <si>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</si>
  <si>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</si>
  <si>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</si>
  <si>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</si>
  <si>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</si>
  <si>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</si>
  <si>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</si>
  <si>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</si>
  <si>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</si>
  <si>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</si>
  <si>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</si>
  <si>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</si>
  <si>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</si>
  <si>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</si>
  <si>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</si>
  <si>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</si>
  <si>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</si>
  <si>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</si>
  <si>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</si>
  <si>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</si>
  <si>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</si>
  <si>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</si>
  <si>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</si>
  <si>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</si>
  <si>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</si>
  <si>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</si>
  <si>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</si>
  <si>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</si>
  <si>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</si>
  <si>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</si>
  <si>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</si>
  <si>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</si>
  <si>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</si>
  <si>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</si>
  <si>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</si>
  <si>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</si>
  <si>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</si>
  <si>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</si>
  <si>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</si>
  <si>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</si>
  <si>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</si>
  <si>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</si>
  <si>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</si>
  <si>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</si>
  <si>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</si>
  <si>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</si>
  <si>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</si>
  <si>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</si>
  <si>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</si>
  <si>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</si>
  <si>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</si>
  <si>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</si>
  <si>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</si>
  <si>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</si>
  <si>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</si>
  <si>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</si>
  <si>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</si>
  <si>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</si>
  <si>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</si>
  <si>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</si>
  <si>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</si>
  <si>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</si>
  <si>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</si>
  <si>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</si>
  <si>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</si>
  <si>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</si>
  <si>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</si>
  <si>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</si>
  <si>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</si>
  <si>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</si>
  <si>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</si>
  <si>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</si>
  <si>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</si>
  <si>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</si>
  <si>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</si>
  <si>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</si>
  <si>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</si>
  <si>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</si>
  <si>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</si>
  <si>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</si>
  <si>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</si>
  <si>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</si>
  <si>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</si>
  <si>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</si>
  <si>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</si>
  <si>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</si>
  <si>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</si>
  <si>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</si>
  <si>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</si>
  <si>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</si>
  <si>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</si>
  <si>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</si>
  <si>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</si>
  <si>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</si>
  <si>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</si>
  <si>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</si>
  <si>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</si>
  <si>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</si>
  <si>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</si>
  <si>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</si>
  <si>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</si>
  <si>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</si>
  <si>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</si>
  <si>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</si>
  <si>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</si>
  <si>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</si>
  <si>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</si>
  <si>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</si>
  <si>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</si>
  <si>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</si>
  <si>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</si>
  <si>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</si>
  <si>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</si>
  <si>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</si>
  <si>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</si>
  <si>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</si>
  <si>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</si>
  <si>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</si>
  <si>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</si>
  <si>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</si>
  <si>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</si>
  <si>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</si>
  <si>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</si>
  <si>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</si>
  <si>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</si>
  <si>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</si>
  <si>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</si>
  <si>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</si>
  <si>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</si>
  <si>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</si>
  <si>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</si>
  <si>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</si>
  <si>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</si>
  <si>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</si>
  <si>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</si>
  <si>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</si>
  <si>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</si>
  <si>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</si>
  <si>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</si>
  <si>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</si>
  <si>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</si>
  <si>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</si>
  <si>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</si>
  <si>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</si>
  <si>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</si>
  <si>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</si>
  <si>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</si>
  <si>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</si>
  <si>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</si>
  <si>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</si>
  <si>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</si>
  <si>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</si>
  <si>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</si>
  <si>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</si>
  <si>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</si>
  <si>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</si>
  <si>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</si>
  <si>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</si>
  <si>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</si>
  <si>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</si>
  <si>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</si>
  <si>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</si>
  <si>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</si>
  <si>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</si>
  <si>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</si>
  <si>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</si>
  <si>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</si>
  <si>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</si>
  <si>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</si>
  <si>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</si>
  <si>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</si>
  <si>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</si>
  <si>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</si>
  <si>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</si>
  <si>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</si>
  <si>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</si>
  <si>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</si>
  <si>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</si>
  <si>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</si>
  <si>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</si>
  <si>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</si>
  <si>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</si>
  <si>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</si>
  <si>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</si>
  <si>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</si>
  <si>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</si>
  <si>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</si>
  <si>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</si>
  <si>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</si>
  <si>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</si>
  <si>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</si>
  <si>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</si>
  <si>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</si>
  <si>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</si>
  <si>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</si>
  <si>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</si>
  <si>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</si>
  <si>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</si>
  <si>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</si>
  <si>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</si>
  <si>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</si>
  <si>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</si>
  <si>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</si>
  <si>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</si>
  <si>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</si>
  <si>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</si>
  <si>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</si>
  <si>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</si>
  <si>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</si>
  <si>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</si>
  <si>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</si>
  <si>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</si>
  <si>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</si>
  <si>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</si>
  <si>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</si>
  <si>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</si>
  <si>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</si>
  <si>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</si>
  <si>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</si>
  <si>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</si>
  <si>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</si>
  <si>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</si>
  <si>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</si>
  <si>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</si>
  <si>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</si>
  <si>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</si>
  <si>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</si>
  <si>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</si>
  <si>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</si>
  <si>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</si>
  <si>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</si>
  <si>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</si>
  <si>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</si>
  <si>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</si>
  <si>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</si>
  <si>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</si>
  <si>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</si>
  <si>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</si>
  <si>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</si>
  <si>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</si>
  <si>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</si>
  <si>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</si>
  <si>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</si>
  <si>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</si>
  <si>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</si>
  <si>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</si>
  <si>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</si>
  <si>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</si>
  <si>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</si>
  <si>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</si>
  <si>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</si>
  <si>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</si>
  <si>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</si>
  <si>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</si>
  <si>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</si>
  <si>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</si>
  <si>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</si>
  <si>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</si>
  <si>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</si>
  <si>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</si>
  <si>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</si>
  <si>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</si>
  <si>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</si>
  <si>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</si>
  <si>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</si>
  <si>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</si>
  <si>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</si>
  <si>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</si>
  <si>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</si>
  <si>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</si>
  <si>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</si>
  <si>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</si>
  <si>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</si>
  <si>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</si>
  <si>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</si>
  <si>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</si>
  <si>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</si>
  <si>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</si>
  <si>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</si>
  <si>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</si>
  <si>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</si>
  <si>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</si>
  <si>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</si>
  <si>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</si>
  <si>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</si>
  <si>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</si>
  <si>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</si>
  <si>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</si>
  <si>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</si>
  <si>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</si>
  <si>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</si>
  <si>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</si>
  <si>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</si>
  <si>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</si>
  <si>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</si>
  <si>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</si>
  <si>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</si>
  <si>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</si>
  <si>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</si>
  <si>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</si>
  <si>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</si>
  <si>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</si>
  <si>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</si>
  <si>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</si>
  <si>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</si>
  <si>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</si>
  <si>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</si>
  <si>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</si>
  <si>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</si>
  <si>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</si>
  <si>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</si>
  <si>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</si>
  <si>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</si>
  <si>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</si>
  <si>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</si>
  <si>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</si>
  <si>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</si>
  <si>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</si>
  <si>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</si>
  <si>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</si>
  <si>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</si>
  <si>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</si>
  <si>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</si>
  <si>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</si>
  <si>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</si>
  <si>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</si>
  <si>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</si>
  <si>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</si>
  <si>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</si>
  <si>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</si>
  <si>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</si>
  <si>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</si>
  <si>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</si>
  <si>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</si>
  <si>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</si>
  <si>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</si>
  <si>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</si>
  <si>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</si>
  <si>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</si>
  <si>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</si>
  <si>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</si>
  <si>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</si>
  <si>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</si>
  <si>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</si>
  <si>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</si>
  <si>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</si>
  <si>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</si>
  <si>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</si>
  <si>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</si>
  <si>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</si>
  <si>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</si>
  <si>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</si>
  <si>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</si>
  <si>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</si>
  <si>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</si>
  <si>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</si>
  <si>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</si>
  <si>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</si>
  <si>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</si>
  <si>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</si>
  <si>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</si>
  <si>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</si>
  <si>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</si>
  <si>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</si>
  <si>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</si>
  <si>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</si>
  <si>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</si>
  <si>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</si>
  <si>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</si>
  <si>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</si>
  <si>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</si>
  <si>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</si>
  <si>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</si>
  <si>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</si>
  <si>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</si>
  <si>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</si>
  <si>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</si>
  <si>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</si>
  <si>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</si>
  <si>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</si>
  <si>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</si>
  <si>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</si>
  <si>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</si>
  <si>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</si>
  <si>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</si>
  <si>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</si>
  <si>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</si>
  <si>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</si>
  <si>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</si>
  <si>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</si>
  <si>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</si>
  <si>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</si>
  <si>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</si>
  <si>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</si>
  <si>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</si>
  <si>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</si>
  <si>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</si>
  <si>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</si>
  <si>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</si>
  <si>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</si>
  <si>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</si>
  <si>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</si>
  <si>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</si>
  <si>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</si>
  <si>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</si>
  <si>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</si>
  <si>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</si>
  <si>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</si>
  <si>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</si>
  <si>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</si>
  <si>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</si>
  <si>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</si>
  <si>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</si>
  <si>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</si>
  <si>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</si>
  <si>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</si>
  <si>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</si>
  <si>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</si>
  <si>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</si>
  <si>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</si>
  <si>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</si>
  <si>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</si>
  <si>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</si>
  <si>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</si>
  <si>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</si>
  <si>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</si>
  <si>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</si>
  <si>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</si>
  <si>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</si>
  <si>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</si>
  <si>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</si>
  <si>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</si>
  <si>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</si>
  <si>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</si>
  <si>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</si>
  <si>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</si>
  <si>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</si>
  <si>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</si>
  <si>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</si>
  <si>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</si>
  <si>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</si>
  <si>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</si>
  <si>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</si>
  <si>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</si>
  <si>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</si>
  <si>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</si>
  <si>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</si>
  <si>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</si>
  <si>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</si>
  <si>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</si>
  <si>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</si>
  <si>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</si>
  <si>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</si>
  <si>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</si>
  <si>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</si>
  <si>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</si>
  <si>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</si>
  <si>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</si>
  <si>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</si>
  <si>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</si>
  <si>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</si>
  <si>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</si>
  <si>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</si>
  <si>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</si>
  <si>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</si>
  <si>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</si>
  <si>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</si>
  <si>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</si>
  <si>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</si>
  <si>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</si>
  <si>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</si>
  <si>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</si>
  <si>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</si>
  <si>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</si>
  <si>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</si>
  <si>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</si>
  <si>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</si>
  <si>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</si>
  <si>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</si>
  <si>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</si>
  <si>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</si>
  <si>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</si>
  <si>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</si>
  <si>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</si>
  <si>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</si>
  <si>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</si>
  <si>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</si>
  <si>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</si>
  <si>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</si>
  <si>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</si>
  <si>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</si>
  <si>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</si>
  <si>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</si>
  <si>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</si>
  <si>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</si>
  <si>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</si>
  <si>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</si>
  <si>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</si>
  <si>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</si>
  <si>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</si>
  <si>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</si>
  <si>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</si>
  <si>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</si>
  <si>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</si>
  <si>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</si>
  <si>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</si>
  <si>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</si>
  <si>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</si>
  <si>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</si>
  <si>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</si>
  <si>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</si>
  <si>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</si>
  <si>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</si>
  <si>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</si>
  <si>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</si>
  <si>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</si>
  <si>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</si>
  <si>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</si>
  <si>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</si>
  <si>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</si>
  <si>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</si>
  <si>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</si>
  <si>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</si>
  <si>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</si>
  <si>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</si>
  <si>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</si>
  <si>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</si>
  <si>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</si>
  <si>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</si>
  <si>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</si>
  <si>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</si>
  <si>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</si>
  <si>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</si>
  <si>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</si>
  <si>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</si>
  <si>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</si>
  <si>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</si>
  <si>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</si>
  <si>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</si>
  <si>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</si>
  <si>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</si>
  <si>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</si>
  <si>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</si>
  <si>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</si>
  <si>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</si>
  <si>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</si>
  <si>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</si>
  <si>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</si>
  <si>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</si>
  <si>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</si>
  <si>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</si>
  <si>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</si>
  <si>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</si>
  <si>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</si>
  <si>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</si>
  <si>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</si>
  <si>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</si>
  <si>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</si>
  <si>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</si>
  <si>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</si>
  <si>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</si>
  <si>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</si>
  <si>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</si>
  <si>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</si>
  <si>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</si>
  <si>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</si>
  <si>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</si>
  <si>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</si>
  <si>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</si>
  <si>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</si>
  <si>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</si>
  <si>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</si>
  <si>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</si>
  <si>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</si>
  <si>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</si>
  <si>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</si>
  <si>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</si>
  <si>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</si>
  <si>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</si>
  <si>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</si>
  <si>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</si>
  <si>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</si>
  <si>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</si>
  <si>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</si>
  <si>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</si>
  <si>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</si>
  <si>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</si>
  <si>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</si>
  <si>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</si>
  <si>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</si>
  <si>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</si>
  <si>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</si>
  <si>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</si>
  <si>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</si>
  <si>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</si>
  <si>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</si>
  <si>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</si>
  <si>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</si>
  <si>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</si>
  <si>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</si>
  <si>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</si>
  <si>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</si>
  <si>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</si>
  <si>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</si>
  <si>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</si>
  <si>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</si>
  <si>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</si>
  <si>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</si>
  <si>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</si>
  <si>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</si>
  <si>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</si>
  <si>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</si>
  <si>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</si>
  <si>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</si>
  <si>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</si>
  <si>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</si>
  <si>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</si>
  <si>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</si>
  <si>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</si>
  <si>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</si>
  <si>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</si>
  <si>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</si>
  <si>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</si>
  <si>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</si>
  <si>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</si>
  <si>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</si>
  <si>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</si>
  <si>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</si>
  <si>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</si>
  <si>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</si>
  <si>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</si>
  <si>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</si>
  <si>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</si>
  <si>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</si>
  <si>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</si>
  <si>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</si>
  <si>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</si>
  <si>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</si>
  <si>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</si>
  <si>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</si>
  <si>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</si>
  <si>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</si>
  <si>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</si>
  <si>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</si>
  <si>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</si>
  <si>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</si>
  <si>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</si>
  <si>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</si>
  <si>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</si>
  <si>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</si>
  <si>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</si>
  <si>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</si>
  <si>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</si>
  <si>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</si>
  <si>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</si>
  <si>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</si>
  <si>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</si>
  <si>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</si>
  <si>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</si>
  <si>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</si>
  <si>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</si>
  <si>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</si>
  <si>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</si>
  <si>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</si>
  <si>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</si>
  <si>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</si>
  <si>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</si>
  <si>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</si>
  <si>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</si>
  <si>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</si>
  <si>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</si>
  <si>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</si>
  <si>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</si>
  <si>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</si>
  <si>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</si>
  <si>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</si>
  <si>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</si>
  <si>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</si>
  <si>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</si>
  <si>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</si>
  <si>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</si>
  <si>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</si>
  <si>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</si>
  <si>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</si>
  <si>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</si>
  <si>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</si>
  <si>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</si>
  <si>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</si>
  <si>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</si>
  <si>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</si>
  <si>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</si>
  <si>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</si>
  <si>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</si>
  <si>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</si>
  <si>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</si>
  <si>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</si>
  <si>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</si>
  <si>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</si>
  <si>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</si>
  <si>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</si>
  <si>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</si>
  <si>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</si>
  <si>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</si>
  <si>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</si>
  <si>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</si>
  <si>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</si>
  <si>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</si>
  <si>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</si>
  <si>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</si>
  <si>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</si>
  <si>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</si>
  <si>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</si>
  <si>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</si>
  <si>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</si>
  <si>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</si>
  <si>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</si>
  <si>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</si>
  <si>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</si>
  <si>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</si>
  <si>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</si>
  <si>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</si>
  <si>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</si>
  <si>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</si>
  <si>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</si>
  <si>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</si>
  <si>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</si>
  <si>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</si>
  <si>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</si>
  <si>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</si>
  <si>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</si>
  <si>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</si>
  <si>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</si>
  <si>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</si>
  <si>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</si>
  <si>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</si>
  <si>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</si>
  <si>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</si>
  <si>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</si>
  <si>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</si>
  <si>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</si>
  <si>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</si>
  <si>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</si>
  <si>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</si>
  <si>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</si>
  <si>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</si>
  <si>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</si>
  <si>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</si>
  <si>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</si>
  <si>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</si>
  <si>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</si>
  <si>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</si>
  <si>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</si>
  <si>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</si>
  <si>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</si>
  <si>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</si>
  <si>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</si>
  <si>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</si>
  <si>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</si>
  <si>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</si>
  <si>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</si>
  <si>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</si>
  <si>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</si>
  <si>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</si>
  <si>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</si>
  <si>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</si>
  <si>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</si>
  <si>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</si>
  <si>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</si>
  <si>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</si>
  <si>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</si>
  <si>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</si>
  <si>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</si>
  <si>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</si>
  <si>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</si>
  <si>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</si>
  <si>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</si>
  <si>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</si>
  <si>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</si>
  <si>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</si>
  <si>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</si>
  <si>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</si>
  <si>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</si>
  <si>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</si>
  <si>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</si>
  <si>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</si>
  <si>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</si>
  <si>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</si>
  <si>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</si>
  <si>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</si>
  <si>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</si>
  <si>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</si>
  <si>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</si>
  <si>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</si>
  <si>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</si>
  <si>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</si>
  <si>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</si>
  <si>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</si>
  <si>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</si>
  <si>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</si>
  <si>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</si>
  <si>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</si>
  <si>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</si>
  <si>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</si>
  <si>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</si>
  <si>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</si>
  <si>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</si>
  <si>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</si>
  <si>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</si>
  <si>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</si>
  <si>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</si>
  <si>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</si>
  <si>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</si>
  <si>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</si>
  <si>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</si>
  <si>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</si>
  <si>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</si>
  <si>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</si>
  <si>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</si>
  <si>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</si>
  <si>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</si>
  <si>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</si>
  <si>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</si>
  <si>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</si>
  <si>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</si>
  <si>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</si>
  <si>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</si>
  <si>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</si>
  <si>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</si>
  <si>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</si>
  <si>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</si>
  <si>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</si>
  <si>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</si>
  <si>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</si>
  <si>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</si>
  <si>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</si>
  <si>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</si>
  <si>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</si>
  <si>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</si>
  <si>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</si>
  <si>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</si>
  <si>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</si>
  <si>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</si>
  <si>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</si>
  <si>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</si>
  <si>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</si>
  <si>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</si>
  <si>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</si>
  <si>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</si>
  <si>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</si>
  <si>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</si>
  <si>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</si>
  <si>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</si>
  <si>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</si>
  <si>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</si>
  <si>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</si>
  <si>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</si>
  <si>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</si>
  <si>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</si>
  <si>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</si>
  <si>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</si>
  <si>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</si>
  <si>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</si>
  <si>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</si>
  <si>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</si>
  <si>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</si>
  <si>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</si>
  <si>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</si>
  <si>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</si>
  <si>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</si>
  <si>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</si>
  <si>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</si>
  <si>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</si>
  <si>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</si>
  <si>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</si>
  <si>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</si>
  <si>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</si>
  <si>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</si>
  <si>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</si>
  <si>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</si>
  <si>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</si>
  <si>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</si>
  <si>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</si>
  <si>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</si>
  <si>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</si>
  <si>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</si>
  <si>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</si>
  <si>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</si>
  <si>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</si>
  <si>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</si>
  <si>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</si>
  <si>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</si>
  <si>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</si>
  <si>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</si>
  <si>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</si>
  <si>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</si>
  <si>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</si>
  <si>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</si>
  <si>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</si>
  <si>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</si>
  <si>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</si>
  <si>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</si>
  <si>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</si>
  <si>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</si>
  <si>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</si>
  <si>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</si>
  <si>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</si>
  <si>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</si>
  <si>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</si>
  <si>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</si>
  <si>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</si>
  <si>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</si>
  <si>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</si>
  <si>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</si>
  <si>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</si>
  <si>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</si>
  <si>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</si>
  <si>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</si>
  <si>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</si>
  <si>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</si>
  <si>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</si>
  <si>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</si>
  <si>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</si>
  <si>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</si>
  <si>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</si>
  <si>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</si>
  <si>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</si>
  <si>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</si>
  <si>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</si>
  <si>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</si>
  <si>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</si>
  <si>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</si>
  <si>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</si>
  <si>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</si>
  <si>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</si>
  <si>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</si>
  <si>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</si>
  <si>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</si>
  <si>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</si>
  <si>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</si>
  <si>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</si>
  <si>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</si>
  <si>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</si>
  <si>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</si>
  <si>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</si>
  <si>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</si>
  <si>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</si>
  <si>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</si>
  <si>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</si>
  <si>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</si>
  <si>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</si>
  <si>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</si>
  <si>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</si>
  <si>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</si>
  <si>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</si>
  <si>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</si>
  <si>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</si>
  <si>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</si>
  <si>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</si>
  <si>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</si>
  <si>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</si>
  <si>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</si>
  <si>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</si>
  <si>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</si>
  <si>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</si>
  <si>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</si>
  <si>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</si>
  <si>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</si>
  <si>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</si>
  <si>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</si>
  <si>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</si>
  <si>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</si>
  <si>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</si>
  <si>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</si>
  <si>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</si>
  <si>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</si>
  <si>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</si>
  <si>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</si>
  <si>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</si>
  <si>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</si>
  <si>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</si>
  <si>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</si>
  <si>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</si>
  <si>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</si>
  <si>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</si>
  <si>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</si>
  <si>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</si>
  <si>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</si>
  <si>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</si>
  <si>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</si>
  <si>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</si>
  <si>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</si>
  <si>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</si>
  <si>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</si>
  <si>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</si>
  <si>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</si>
  <si>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</si>
  <si>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</si>
  <si>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</si>
  <si>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</si>
  <si>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</si>
  <si>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</si>
  <si>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</si>
  <si>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</si>
  <si>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</si>
  <si>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</si>
  <si>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</si>
  <si>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</si>
  <si>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</si>
  <si>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</si>
  <si>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</si>
  <si>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</si>
  <si>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</si>
  <si>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</si>
  <si>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</si>
  <si>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</si>
  <si>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</si>
  <si>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</si>
  <si>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</si>
  <si>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</si>
  <si>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</si>
  <si>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</si>
  <si>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</si>
  <si>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</si>
  <si>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</si>
  <si>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</si>
  <si>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</si>
  <si>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</si>
  <si>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</si>
  <si>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</si>
  <si>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</si>
  <si>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</si>
  <si>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</si>
  <si>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</si>
  <si>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</si>
  <si>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</si>
  <si>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</si>
  <si>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</si>
  <si>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</si>
  <si>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</si>
  <si>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</si>
  <si>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</si>
  <si>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</si>
  <si>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</si>
  <si>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</si>
  <si>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</si>
  <si>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</si>
  <si>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</si>
  <si>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</si>
  <si>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</si>
  <si>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</si>
  <si>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</si>
  <si>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</si>
  <si>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</si>
  <si>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</si>
  <si>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</si>
  <si>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</si>
  <si>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</si>
  <si>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</si>
  <si>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</si>
  <si>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</si>
  <si>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</si>
  <si>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</si>
  <si>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</si>
  <si>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</si>
  <si>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</si>
  <si>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</si>
  <si>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</si>
  <si>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</si>
  <si>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</si>
  <si>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</si>
  <si>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</si>
  <si>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</si>
  <si>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</si>
  <si>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</si>
  <si>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</si>
  <si>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</si>
  <si>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</si>
  <si>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</si>
  <si>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</si>
  <si>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</si>
  <si>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</si>
  <si>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</si>
  <si>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</si>
  <si>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</si>
  <si>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</si>
  <si>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</si>
  <si>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</si>
  <si>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</si>
  <si>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</si>
  <si>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</si>
  <si>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</si>
  <si>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</si>
  <si>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</si>
  <si>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</si>
  <si>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</si>
  <si>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</si>
  <si>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</si>
  <si>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</si>
  <si>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</si>
  <si>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</si>
  <si>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</si>
  <si>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</si>
  <si>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</si>
  <si>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</si>
  <si>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</si>
  <si>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</si>
  <si>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</si>
  <si>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</si>
  <si>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</si>
  <si>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</si>
  <si>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</si>
  <si>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</si>
  <si>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</si>
  <si>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</si>
  <si>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</si>
  <si>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</si>
  <si>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</si>
  <si>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</si>
  <si>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</si>
  <si>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</si>
  <si>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</si>
  <si>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</si>
  <si>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</si>
  <si>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</si>
  <si>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</si>
  <si>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</si>
  <si>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</si>
  <si>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</si>
  <si>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</si>
  <si>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</si>
  <si>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</si>
  <si>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</si>
  <si>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</si>
  <si>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</si>
  <si>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</si>
  <si>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</si>
  <si>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</si>
  <si>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</si>
  <si>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</si>
  <si>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</si>
  <si>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</si>
  <si>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</si>
  <si>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</si>
  <si>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</si>
  <si>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</si>
  <si>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</si>
  <si>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</si>
  <si>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</si>
  <si>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</si>
  <si>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</si>
  <si>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</si>
  <si>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</si>
  <si>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</si>
  <si>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</si>
  <si>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</si>
  <si>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</si>
  <si>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</si>
  <si>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</si>
  <si>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</si>
  <si>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</si>
  <si>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</si>
  <si>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</si>
  <si>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</si>
  <si>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</si>
  <si>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</si>
  <si>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</si>
  <si>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</si>
  <si>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</si>
  <si>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</si>
  <si>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</si>
  <si>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</si>
  <si>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</si>
  <si>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</si>
  <si>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</si>
  <si>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</si>
  <si>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</si>
  <si>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</si>
  <si>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</si>
  <si>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</si>
  <si>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</si>
  <si>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</si>
  <si>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</si>
  <si>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</si>
  <si>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</si>
  <si>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</si>
  <si>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</si>
  <si>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</si>
  <si>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</si>
  <si>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</si>
  <si>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</si>
  <si>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</si>
  <si>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</si>
  <si>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</si>
  <si>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</si>
  <si>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</si>
  <si>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</si>
  <si>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</si>
  <si>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</si>
  <si>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</si>
  <si>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</si>
  <si>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</si>
  <si>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</si>
  <si>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</si>
  <si>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</si>
  <si>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</si>
  <si>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</si>
  <si>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</si>
  <si>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</si>
  <si>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</si>
  <si>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</si>
  <si>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</si>
  <si>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</si>
  <si>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</si>
  <si>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</si>
  <si>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</si>
  <si>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</si>
  <si>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</si>
  <si>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</si>
  <si>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</si>
  <si>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</si>
  <si>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</si>
  <si>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</si>
  <si>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</si>
  <si>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</si>
  <si>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</si>
  <si>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</si>
  <si>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</si>
  <si>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</si>
  <si>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</si>
  <si>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</si>
  <si>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</si>
  <si>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</si>
  <si>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</si>
  <si>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</si>
  <si>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</si>
  <si>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</si>
  <si>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</si>
  <si>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</si>
  <si>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</si>
  <si>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</si>
  <si>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</si>
  <si>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</si>
  <si>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</si>
  <si>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</si>
  <si>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</si>
  <si>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</si>
  <si>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</si>
  <si>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</si>
  <si>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</si>
  <si>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</si>
  <si>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</si>
  <si>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</si>
  <si>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</si>
  <si>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</si>
  <si>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</si>
  <si>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</si>
  <si>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</si>
  <si>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</si>
  <si>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</si>
  <si>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</si>
  <si>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</si>
  <si>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</si>
  <si>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</si>
  <si>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</si>
  <si>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</si>
  <si>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</si>
  <si>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</si>
  <si>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</si>
  <si>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</si>
  <si>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</si>
  <si>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</si>
  <si>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</si>
  <si>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</si>
  <si>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</si>
  <si>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</si>
  <si>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</si>
  <si>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</si>
  <si>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</si>
  <si>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</si>
  <si>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</si>
  <si>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</si>
  <si>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</si>
  <si>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</si>
  <si>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</si>
  <si>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</si>
  <si>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</si>
  <si>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</si>
  <si>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</si>
  <si>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</si>
  <si>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</si>
  <si>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</si>
  <si>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</si>
  <si>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</si>
  <si>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</si>
  <si>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</si>
  <si>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</si>
  <si>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</si>
  <si>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</si>
  <si>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</si>
  <si>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</si>
  <si>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</si>
  <si>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</si>
  <si>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</si>
  <si>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</si>
  <si>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</si>
  <si>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</si>
  <si>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</si>
  <si>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</si>
  <si>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</si>
  <si>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</si>
  <si>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</si>
  <si>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</si>
  <si>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</si>
  <si>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</si>
  <si>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</si>
  <si>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</si>
  <si>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</si>
  <si>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</si>
  <si>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</si>
  <si>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</si>
  <si>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</si>
  <si>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</si>
  <si>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</si>
  <si>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</si>
  <si>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</si>
  <si>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</si>
  <si>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</si>
  <si>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</si>
  <si>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</si>
  <si>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</si>
  <si>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</si>
  <si>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</si>
  <si>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</si>
  <si>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</si>
  <si>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</si>
  <si>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</si>
  <si>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</si>
  <si>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</si>
  <si>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</si>
  <si>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</si>
  <si>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</si>
  <si>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</si>
  <si>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</si>
  <si>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</si>
  <si>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</si>
  <si>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</si>
  <si>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</si>
  <si>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</si>
  <si>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</si>
  <si>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</si>
  <si>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</si>
  <si>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</si>
  <si>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</si>
  <si>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</si>
  <si>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</si>
  <si>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</si>
  <si>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</si>
  <si>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</si>
  <si>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</si>
  <si>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</si>
  <si>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</si>
  <si>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</si>
  <si>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</si>
  <si>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</si>
  <si>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</si>
  <si>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</si>
  <si>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</si>
  <si>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</si>
  <si>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</si>
  <si>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</si>
  <si>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</si>
  <si>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</si>
  <si>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</si>
  <si>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</si>
  <si>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</si>
  <si>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</si>
  <si>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</si>
  <si>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</si>
  <si>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</si>
  <si>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</si>
  <si>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</si>
  <si>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</si>
  <si>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</si>
  <si>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</si>
  <si>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</si>
  <si>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</si>
  <si>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</si>
  <si>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</si>
  <si>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</si>
  <si>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</si>
  <si>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</si>
  <si>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</si>
  <si>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</si>
  <si>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</si>
  <si>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</si>
  <si>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</si>
  <si>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</si>
  <si>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</si>
  <si>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</si>
  <si>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</si>
  <si>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</si>
  <si>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</si>
  <si>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</si>
  <si>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</si>
  <si>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</si>
  <si>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</si>
  <si>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</si>
  <si>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</si>
  <si>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</si>
  <si>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</si>
  <si>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</si>
  <si>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</si>
  <si>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</si>
  <si>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</si>
  <si>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</si>
  <si>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</si>
  <si>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</si>
  <si>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</si>
  <si>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</si>
  <si>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</si>
  <si>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</si>
  <si>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</si>
  <si>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</si>
  <si>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</si>
  <si>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</si>
  <si>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</si>
  <si>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</si>
  <si>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</si>
  <si>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</si>
  <si>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</si>
  <si>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</si>
  <si>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</si>
  <si>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</si>
  <si>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</si>
  <si>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</si>
  <si>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</si>
  <si>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</si>
  <si>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</si>
  <si>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</si>
  <si>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</si>
  <si>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</si>
  <si>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</si>
  <si>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</si>
  <si>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</si>
  <si>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</si>
  <si>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</si>
  <si>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</si>
  <si>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</si>
  <si>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</si>
  <si>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</si>
  <si>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</si>
  <si>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</si>
  <si>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</si>
  <si>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</si>
  <si>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</si>
  <si>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</si>
  <si>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</si>
  <si>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</si>
  <si>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</si>
  <si>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</si>
  <si>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</si>
  <si>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</si>
  <si>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</si>
  <si>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</si>
  <si>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</si>
  <si>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</si>
  <si>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</si>
  <si>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</si>
  <si>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</si>
  <si>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</si>
  <si>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</si>
  <si>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</si>
  <si>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</si>
  <si>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</si>
  <si>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</si>
  <si>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</si>
  <si>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</si>
  <si>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</si>
  <si>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</si>
  <si>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</si>
  <si>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</si>
  <si>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</si>
  <si>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</si>
  <si>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</si>
  <si>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</si>
  <si>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</si>
  <si>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</si>
  <si>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</si>
  <si>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</si>
  <si>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</si>
  <si>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</si>
  <si>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</si>
  <si>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</si>
  <si>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</si>
  <si>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</si>
  <si>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</si>
  <si>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</si>
  <si>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</si>
  <si>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</si>
  <si>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</si>
  <si>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</si>
  <si>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</si>
  <si>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</si>
  <si>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</si>
  <si>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</si>
  <si>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</si>
  <si>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</si>
  <si>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</si>
  <si>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</si>
  <si>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</si>
  <si>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</si>
  <si>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</si>
  <si>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</si>
  <si>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</si>
  <si>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</si>
  <si>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</si>
  <si>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</si>
  <si>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</si>
  <si>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</si>
  <si>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</si>
  <si>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</si>
  <si>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</si>
  <si>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</si>
  <si>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</si>
  <si>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</si>
  <si>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</si>
  <si>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</si>
  <si>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</si>
  <si>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</si>
  <si>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</si>
  <si>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</si>
  <si>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</si>
  <si>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</si>
  <si>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</si>
  <si>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</si>
  <si>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</si>
  <si>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</si>
  <si>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</si>
  <si>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</si>
  <si>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</si>
  <si>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</si>
  <si>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</si>
  <si>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</si>
  <si>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</si>
  <si>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</si>
  <si>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</si>
  <si>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</si>
  <si>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</si>
  <si>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</si>
  <si>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</si>
  <si>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</si>
  <si>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</si>
  <si>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</si>
  <si>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</si>
  <si>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</si>
  <si>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</si>
  <si>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</si>
  <si>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</si>
  <si>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</si>
  <si>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</si>
  <si>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</si>
  <si>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</si>
  <si>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</si>
  <si>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</si>
  <si>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</si>
  <si>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</si>
  <si>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</si>
  <si>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</si>
  <si>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</si>
  <si>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</si>
  <si>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</si>
  <si>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</si>
  <si>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</si>
  <si>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</si>
  <si>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</si>
  <si>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</si>
  <si>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</si>
  <si>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</si>
  <si>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</si>
  <si>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</si>
  <si>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</si>
  <si>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</si>
  <si>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</si>
  <si>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</si>
  <si>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</si>
  <si>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</si>
  <si>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</si>
  <si>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</si>
  <si>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</si>
  <si>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</si>
  <si>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</si>
  <si>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</si>
  <si>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</si>
  <si>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</si>
  <si>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</si>
  <si>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</si>
  <si>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</si>
  <si>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</si>
  <si>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</si>
  <si>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</si>
  <si>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</si>
  <si>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</si>
  <si>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</si>
  <si>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</si>
  <si>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</si>
  <si>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</si>
  <si>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</si>
  <si>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</si>
  <si>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</si>
  <si>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</si>
  <si>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</si>
  <si>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</si>
  <si>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</si>
  <si>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</si>
  <si>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</si>
  <si>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</si>
  <si>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</si>
  <si>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</si>
  <si>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</si>
  <si>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</si>
  <si>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</si>
  <si>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</si>
  <si>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</si>
  <si>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</si>
  <si>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</si>
  <si>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</si>
  <si>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</si>
  <si>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</si>
  <si>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</si>
  <si>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</si>
  <si>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</si>
  <si>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</si>
  <si>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</si>
  <si>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</si>
  <si>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</si>
  <si>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</si>
  <si>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</si>
  <si>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</si>
  <si>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</si>
  <si>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</si>
  <si>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</si>
  <si>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</si>
  <si>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</si>
  <si>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</si>
  <si>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</si>
  <si>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</si>
  <si>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</si>
  <si>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</si>
  <si>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</si>
  <si>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</si>
  <si>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</si>
  <si>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</si>
  <si>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</si>
  <si>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</si>
  <si>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</si>
  <si>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</si>
  <si>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</si>
  <si>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</si>
  <si>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</si>
  <si>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</si>
  <si>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</si>
  <si>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</si>
  <si>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</si>
  <si>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</si>
  <si>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</si>
  <si>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</si>
  <si>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</si>
  <si>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</si>
  <si>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</si>
  <si>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</si>
  <si>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</si>
  <si>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</si>
  <si>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</si>
  <si>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</si>
  <si>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</si>
  <si>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</si>
  <si>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</si>
  <si>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</si>
  <si>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</si>
  <si>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</si>
  <si>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</si>
  <si>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</si>
  <si>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</si>
  <si>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</si>
  <si>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</si>
  <si>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</si>
  <si>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</si>
  <si>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</si>
  <si>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</si>
  <si>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</si>
  <si>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</si>
  <si>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</si>
  <si>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</si>
  <si>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</si>
  <si>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</si>
  <si>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</si>
  <si>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</si>
  <si>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</si>
  <si>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</si>
  <si>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</si>
  <si>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</si>
  <si>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</si>
  <si>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</si>
  <si>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</si>
  <si>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</si>
  <si>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</si>
  <si>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</si>
  <si>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</si>
  <si>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</si>
  <si>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</si>
  <si>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</si>
  <si>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</si>
  <si>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</si>
  <si>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</si>
  <si>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</si>
  <si>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</si>
  <si>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</si>
  <si>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</si>
  <si>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</si>
  <si>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</si>
  <si>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</si>
  <si>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</si>
  <si>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</si>
  <si>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</si>
  <si>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</si>
  <si>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</si>
  <si>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</si>
  <si>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</si>
  <si>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</si>
  <si>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</si>
  <si>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</si>
  <si>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</si>
  <si>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</si>
  <si>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</si>
  <si>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</si>
  <si>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</si>
  <si>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</si>
  <si>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</si>
  <si>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</si>
  <si>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</si>
  <si>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</si>
  <si>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</si>
  <si>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</si>
  <si>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</si>
  <si>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</si>
  <si>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</si>
  <si>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</si>
  <si>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</si>
  <si>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</si>
  <si>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</si>
  <si>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</si>
  <si>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</si>
  <si>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</si>
  <si>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</si>
  <si>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</si>
  <si>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</si>
  <si>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</si>
  <si>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</si>
  <si>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</si>
  <si>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</si>
  <si>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</si>
  <si>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</si>
  <si>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</si>
  <si>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</si>
  <si>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</si>
  <si>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</si>
  <si>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</si>
  <si>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</si>
  <si>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</si>
  <si>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</si>
  <si>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</si>
  <si>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</si>
  <si>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</si>
  <si>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</si>
  <si>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</si>
  <si>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</si>
  <si>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</si>
  <si>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</si>
  <si>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</si>
  <si>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</si>
  <si>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</si>
  <si>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</si>
  <si>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</si>
  <si>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</si>
  <si>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</si>
  <si>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</si>
  <si>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</si>
  <si>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</si>
  <si>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</si>
  <si>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</si>
  <si>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</si>
  <si>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</si>
  <si>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</si>
  <si>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</si>
  <si>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</si>
  <si>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</si>
  <si>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</si>
  <si>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</si>
  <si>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</si>
  <si>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</si>
  <si>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</si>
  <si>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</si>
  <si>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</si>
  <si>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</si>
  <si>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</si>
  <si>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</si>
  <si>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</si>
  <si>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</si>
  <si>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</si>
  <si>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</si>
  <si>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</si>
  <si>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</si>
  <si>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</si>
  <si>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</si>
  <si>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</si>
  <si>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</si>
  <si>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</si>
  <si>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</si>
  <si>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</si>
  <si>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</si>
  <si>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</si>
  <si>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</si>
  <si>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</si>
  <si>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</si>
  <si>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</si>
  <si>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</si>
  <si>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</si>
  <si>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</si>
  <si>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</si>
  <si>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</si>
  <si>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</si>
  <si>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</si>
  <si>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</si>
  <si>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</si>
  <si>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</si>
  <si>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</si>
  <si>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</si>
  <si>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</si>
  <si>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</si>
  <si>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</si>
  <si>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</si>
  <si>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</si>
  <si>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</si>
  <si>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</si>
  <si>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</si>
  <si>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</si>
  <si>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</si>
  <si>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</si>
  <si>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</si>
  <si>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</si>
  <si>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</si>
  <si>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</si>
  <si>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</si>
  <si>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</si>
  <si>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</si>
  <si>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</si>
  <si>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</si>
  <si>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</si>
  <si>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</si>
  <si>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</si>
  <si>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</si>
  <si>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</si>
  <si>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</si>
  <si>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</si>
  <si>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</si>
  <si>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</si>
  <si>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</si>
  <si>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</si>
  <si>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</si>
  <si>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</si>
  <si>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</si>
  <si>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</si>
  <si>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</si>
  <si>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</si>
  <si>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</si>
  <si>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</si>
  <si>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</si>
  <si>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</si>
  <si>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</si>
  <si>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</si>
  <si>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</si>
  <si>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</si>
  <si>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</si>
  <si>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</si>
  <si>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</si>
  <si>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</si>
  <si>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</si>
  <si>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</si>
  <si>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</si>
  <si>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</si>
  <si>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</si>
  <si>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</si>
  <si>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</si>
  <si>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</si>
  <si>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</si>
  <si>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</si>
  <si>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</si>
  <si>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</si>
  <si>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</si>
  <si>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</si>
  <si>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</si>
  <si>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</si>
  <si>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</si>
  <si>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</si>
  <si>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</si>
  <si>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</si>
  <si>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</si>
  <si>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</si>
  <si>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</si>
  <si>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</si>
  <si>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</si>
  <si>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</si>
  <si>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</si>
  <si>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</si>
  <si>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</si>
  <si>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</si>
  <si>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</si>
  <si>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</si>
  <si>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</si>
  <si>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</si>
  <si>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</si>
  <si>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</si>
  <si>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</si>
  <si>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</si>
  <si>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</si>
  <si>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</si>
  <si>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</si>
  <si>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</si>
  <si>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</si>
  <si>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</si>
  <si>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</si>
  <si>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</si>
  <si>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</si>
  <si>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</si>
  <si>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</si>
  <si>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</si>
  <si>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</si>
  <si>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</si>
  <si>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</si>
  <si>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</si>
  <si>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</si>
  <si>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</si>
  <si>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</si>
  <si>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</si>
  <si>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</si>
  <si>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</si>
  <si>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</si>
  <si>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</si>
  <si>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</si>
  <si>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</si>
  <si>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</si>
  <si>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</si>
  <si>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</si>
  <si>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</si>
  <si>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</si>
  <si>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</si>
  <si>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</si>
  <si>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</si>
  <si>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</si>
  <si>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</si>
  <si>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</si>
  <si>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</si>
  <si>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</si>
  <si>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</si>
  <si>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</si>
  <si>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</si>
  <si>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</si>
  <si>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</si>
  <si>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</si>
  <si>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</si>
  <si>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</si>
  <si>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</si>
  <si>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</si>
  <si>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</si>
  <si>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</si>
  <si>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</si>
  <si>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</si>
  <si>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</si>
  <si>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</si>
  <si>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</si>
  <si>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</si>
  <si>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</si>
  <si>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</si>
  <si>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</si>
  <si>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</si>
  <si>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</si>
  <si>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</si>
  <si>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</si>
  <si>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</si>
  <si>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</si>
  <si>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</si>
  <si>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</si>
  <si>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</si>
  <si>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</si>
  <si>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</si>
  <si>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</si>
  <si>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</si>
  <si>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</si>
  <si>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</si>
  <si>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</si>
  <si>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</si>
  <si>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</si>
  <si>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</si>
  <si>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</si>
  <si>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</si>
  <si>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</si>
  <si>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</si>
  <si>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</si>
  <si>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</si>
  <si>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</si>
  <si>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</si>
  <si>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</si>
  <si>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</si>
  <si>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</si>
  <si>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</si>
  <si>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</si>
  <si>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</si>
  <si>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</si>
  <si>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</si>
  <si>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</si>
  <si>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</si>
  <si>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</si>
  <si>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</si>
  <si>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</si>
  <si>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</si>
  <si>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</si>
  <si>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</si>
  <si>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</si>
  <si>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</si>
  <si>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</si>
  <si>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</si>
  <si>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</si>
  <si>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</si>
  <si>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</si>
  <si>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</si>
  <si>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</si>
  <si>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</si>
  <si>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</si>
  <si>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</si>
  <si>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</si>
  <si>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</si>
  <si>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</si>
  <si>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</si>
  <si>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</si>
  <si>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</si>
  <si>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</si>
  <si>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</si>
  <si>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</si>
  <si>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</si>
  <si>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</si>
  <si>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</si>
  <si>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</si>
  <si>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</si>
  <si>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</si>
  <si>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</si>
  <si>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</si>
  <si>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</si>
  <si>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</si>
  <si>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</si>
  <si>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</si>
  <si>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</si>
  <si>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</si>
  <si>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</si>
  <si>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</si>
  <si>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</si>
  <si>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</si>
  <si>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</si>
  <si>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</si>
  <si>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</si>
  <si>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</si>
  <si>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</si>
  <si>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</si>
  <si>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</si>
  <si>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</si>
  <si>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</si>
  <si>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</si>
  <si>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</si>
  <si>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</si>
  <si>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</si>
  <si>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</si>
  <si>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</si>
  <si>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</si>
  <si>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</si>
  <si>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</si>
  <si>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</si>
  <si>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</si>
  <si>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</si>
  <si>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</si>
  <si>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</si>
  <si>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</si>
  <si>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</si>
  <si>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</si>
  <si>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</si>
  <si>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</si>
  <si>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</si>
  <si>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</si>
  <si>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</si>
  <si>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</si>
  <si>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</si>
  <si>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</si>
  <si>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</si>
  <si>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</si>
  <si>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</si>
  <si>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</si>
  <si>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</si>
  <si>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</si>
  <si>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</si>
  <si>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</si>
  <si>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</si>
  <si>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</si>
  <si>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</si>
  <si>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</si>
  <si>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</si>
  <si>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</si>
  <si>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</si>
  <si>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</si>
  <si>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</si>
  <si>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</si>
  <si>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</si>
  <si>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</si>
  <si>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</si>
  <si>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</si>
  <si>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</si>
  <si>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</si>
  <si>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</si>
  <si>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</si>
  <si>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</si>
  <si>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</si>
  <si>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</si>
  <si>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</si>
  <si>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</si>
  <si>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</si>
  <si>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</si>
  <si>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</si>
  <si>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</si>
  <si>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</si>
  <si>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</si>
  <si>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</si>
  <si>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</si>
  <si>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</si>
  <si>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</si>
  <si>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</si>
  <si>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</si>
  <si>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</si>
  <si>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</si>
  <si>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</si>
  <si>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</si>
  <si>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</si>
  <si>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</si>
  <si>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</si>
  <si>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</si>
  <si>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</si>
  <si>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</si>
  <si>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</si>
  <si>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</si>
  <si>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</si>
  <si>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</si>
  <si>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</si>
  <si>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</si>
  <si>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</si>
  <si>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</si>
  <si>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</si>
  <si>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</si>
  <si>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</si>
  <si>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</si>
  <si>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</si>
  <si>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</si>
  <si>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</si>
  <si>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</si>
  <si>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</si>
  <si>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</si>
  <si>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</si>
  <si>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</si>
  <si>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</si>
  <si>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</si>
  <si>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</si>
  <si>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</si>
  <si>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</si>
  <si>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</si>
  <si>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</si>
  <si>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</si>
  <si>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</si>
  <si>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</si>
  <si>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</si>
  <si>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</si>
  <si>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</si>
  <si>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</si>
  <si>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</si>
  <si>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</si>
  <si>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</si>
  <si>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</si>
  <si>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</si>
  <si>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</si>
  <si>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</si>
  <si>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</si>
  <si>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</si>
  <si>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</si>
  <si>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</si>
  <si>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</si>
  <si>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</si>
  <si>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</si>
  <si>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</si>
  <si>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</si>
  <si>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</si>
  <si>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</si>
  <si>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</si>
  <si>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</si>
  <si>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</si>
  <si>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</si>
  <si>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</si>
  <si>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</si>
  <si>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</si>
  <si>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</si>
  <si>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</si>
  <si>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</si>
  <si>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</si>
  <si>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</si>
  <si>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</si>
  <si>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</si>
  <si>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</si>
  <si>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</si>
  <si>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</si>
  <si>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</si>
  <si>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</si>
  <si>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</si>
  <si>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</si>
  <si>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</si>
  <si>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</si>
  <si>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</si>
  <si>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</si>
  <si>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</si>
  <si>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</si>
  <si>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</si>
  <si>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</si>
  <si>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</si>
  <si>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</si>
  <si>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</si>
  <si>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</si>
  <si>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</si>
  <si>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</si>
  <si>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</si>
  <si>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</si>
  <si>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</si>
  <si>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</si>
  <si>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</si>
  <si>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</si>
  <si>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</si>
  <si>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</si>
  <si>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</si>
  <si>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</si>
  <si>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</si>
  <si>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</si>
  <si>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</si>
  <si>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</si>
  <si>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</si>
  <si>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</si>
  <si>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</si>
  <si>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</si>
  <si>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</si>
  <si>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</si>
  <si>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</si>
  <si>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</si>
  <si>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</si>
  <si>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</si>
  <si>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</si>
  <si>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</si>
  <si>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</si>
  <si>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</si>
  <si>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</si>
  <si>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</si>
  <si>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</si>
  <si>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</si>
  <si>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</si>
  <si>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</si>
  <si>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</si>
  <si>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</si>
  <si>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</si>
  <si>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</si>
  <si>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</si>
  <si>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</si>
  <si>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</si>
  <si>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</si>
  <si>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</si>
  <si>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</si>
  <si>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</si>
  <si>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</si>
  <si>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</si>
  <si>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</si>
  <si>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</si>
  <si>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</si>
  <si>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</si>
  <si>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</si>
  <si>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</si>
  <si>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</si>
  <si>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</si>
  <si>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</si>
  <si>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</si>
  <si>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</si>
  <si>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</si>
  <si>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</si>
  <si>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</si>
  <si>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</si>
  <si>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</si>
  <si>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</si>
  <si>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</si>
  <si>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</si>
  <si>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</si>
  <si>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</si>
  <si>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</si>
  <si>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</si>
  <si>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</si>
  <si>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</si>
  <si>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</si>
  <si>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</si>
  <si>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</si>
  <si>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</si>
  <si>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</si>
  <si>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</si>
  <si>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</si>
  <si>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</si>
  <si>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</si>
  <si>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</si>
  <si>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</si>
  <si>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</si>
  <si>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</si>
  <si>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</si>
  <si>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</si>
  <si>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</si>
  <si>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</si>
  <si>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</si>
  <si>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</si>
  <si>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</si>
  <si>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</si>
  <si>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</si>
  <si>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</si>
  <si>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</si>
  <si>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</si>
  <si>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</si>
  <si>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</si>
  <si>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</si>
  <si>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</si>
  <si>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</si>
  <si>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</si>
  <si>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</si>
  <si>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</si>
  <si>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</si>
  <si>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</si>
  <si>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</si>
  <si>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</si>
  <si>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</si>
  <si>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</si>
  <si>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</si>
  <si>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</si>
  <si>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</si>
  <si>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</si>
  <si>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</si>
  <si>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</si>
  <si>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</si>
  <si>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</si>
  <si>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</si>
  <si>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</si>
  <si>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</si>
  <si>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</si>
  <si>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</si>
  <si>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</si>
  <si>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</si>
  <si>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</si>
  <si>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</si>
  <si>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</si>
  <si>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</si>
  <si>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</si>
  <si>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</si>
  <si>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</si>
  <si>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</si>
  <si>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</si>
  <si>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</si>
  <si>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</si>
  <si>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</si>
  <si>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</si>
  <si>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</si>
  <si>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</si>
  <si>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</si>
  <si>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</si>
  <si>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</si>
  <si>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</si>
  <si>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</si>
  <si>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</si>
  <si>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</si>
  <si>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</si>
  <si>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</si>
  <si>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</si>
  <si>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</si>
  <si>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</si>
  <si>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</si>
  <si>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</si>
  <si>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</si>
  <si>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</si>
  <si>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</si>
  <si>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</si>
  <si>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</si>
  <si>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</si>
  <si>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</si>
  <si>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</si>
  <si>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</si>
  <si>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</si>
  <si>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</si>
  <si>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</si>
  <si>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</si>
  <si>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</si>
  <si>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</si>
  <si>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</si>
  <si>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</si>
  <si>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</si>
  <si>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</si>
  <si>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</si>
  <si>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</si>
  <si>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</si>
  <si>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</si>
  <si>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</si>
  <si>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</si>
  <si>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</si>
  <si>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</si>
  <si>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</si>
  <si>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</si>
  <si>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</si>
  <si>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</si>
  <si>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</si>
  <si>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</si>
  <si>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</si>
  <si>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</si>
  <si>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</si>
  <si>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</si>
  <si>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</si>
  <si>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</si>
  <si>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</si>
  <si>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</si>
  <si>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</si>
  <si>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</si>
  <si>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</si>
  <si>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</si>
  <si>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</si>
  <si>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</si>
  <si>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</si>
  <si>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</si>
  <si>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</si>
  <si>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</si>
  <si>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</si>
  <si>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</si>
  <si>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</si>
  <si>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</si>
  <si>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</si>
  <si>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</si>
  <si>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</si>
  <si>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</si>
  <si>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</si>
  <si>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</si>
  <si>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</si>
  <si>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</si>
  <si>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</si>
  <si>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</si>
  <si>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</si>
  <si>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</si>
  <si>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</si>
  <si>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</si>
  <si>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</si>
  <si>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</si>
  <si>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</si>
  <si>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</si>
  <si>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</si>
  <si>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</si>
  <si>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</si>
  <si>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</si>
  <si>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</si>
  <si>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</si>
  <si>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</si>
  <si>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</si>
  <si>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</si>
  <si>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</si>
  <si>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</si>
  <si>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</si>
  <si>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</si>
  <si>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</si>
  <si>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</si>
  <si>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</si>
  <si>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</si>
  <si>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</si>
  <si>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</si>
  <si>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</si>
  <si>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</si>
  <si>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</si>
  <si>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</si>
  <si>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</si>
  <si>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</si>
  <si>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</si>
  <si>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</si>
  <si>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</si>
  <si>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</si>
  <si>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</si>
  <si>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</si>
  <si>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</si>
  <si>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</si>
  <si>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</si>
  <si>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</si>
  <si>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</si>
  <si>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</si>
  <si>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</si>
  <si>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</si>
  <si>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</si>
  <si>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</si>
  <si>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</si>
  <si>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</si>
  <si>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</si>
  <si>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</si>
  <si>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</si>
  <si>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</si>
  <si>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</si>
  <si>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</si>
  <si>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</si>
  <si>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</si>
  <si>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</si>
  <si>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</si>
  <si>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</si>
  <si>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</si>
  <si>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</si>
  <si>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</si>
  <si>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</si>
  <si>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</si>
  <si>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</si>
  <si>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</si>
  <si>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</si>
  <si>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</si>
  <si>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</si>
  <si>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</si>
  <si>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</si>
  <si>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</si>
  <si>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</si>
  <si>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</si>
  <si>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</si>
  <si>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</si>
  <si>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</si>
  <si>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</si>
  <si>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</si>
  <si>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</si>
  <si>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</si>
  <si>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</si>
  <si>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</si>
  <si>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</si>
  <si>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</si>
  <si>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</si>
  <si>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</si>
  <si>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</si>
  <si>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</si>
  <si>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</si>
  <si>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</si>
  <si>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</si>
  <si>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</si>
  <si>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</si>
  <si>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</si>
  <si>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</si>
  <si>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</si>
  <si>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</si>
  <si>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</si>
  <si>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</si>
  <si>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</si>
  <si>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</si>
  <si>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</si>
  <si>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</si>
  <si>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</si>
  <si>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</si>
  <si>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</si>
  <si>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</si>
  <si>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</si>
  <si>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</si>
  <si>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</si>
  <si>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</si>
  <si>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</si>
  <si>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</si>
  <si>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</si>
  <si>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</si>
  <si>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</si>
  <si>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</si>
  <si>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</si>
  <si>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</si>
  <si>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</si>
  <si>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</si>
  <si>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</si>
  <si>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</si>
  <si>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</si>
  <si>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</si>
  <si>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</si>
  <si>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</si>
  <si>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</si>
  <si>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</si>
  <si>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</si>
  <si>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</si>
  <si>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</si>
  <si>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</si>
  <si>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</si>
  <si>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</si>
  <si>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</si>
  <si>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</si>
  <si>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</si>
  <si>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</si>
  <si>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</si>
  <si>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</si>
  <si>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</si>
  <si>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</si>
  <si>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</si>
  <si>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</si>
  <si>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</si>
  <si>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</si>
  <si>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</si>
  <si>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</si>
  <si>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</si>
  <si>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</si>
  <si>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</si>
  <si>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</si>
  <si>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</si>
  <si>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</si>
  <si>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</si>
  <si>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</si>
  <si>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</si>
  <si>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</si>
  <si>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</si>
  <si>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</si>
  <si>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</si>
  <si>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</si>
  <si>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</si>
  <si>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</si>
  <si>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</si>
  <si>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</si>
  <si>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</si>
  <si>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</si>
  <si>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</si>
  <si>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</si>
  <si>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</si>
  <si>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</si>
  <si>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</si>
  <si>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</si>
  <si>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</si>
  <si>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</si>
  <si>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</si>
  <si>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</si>
  <si>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</si>
  <si>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</si>
  <si>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</si>
  <si>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</si>
  <si>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</si>
  <si>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</si>
  <si>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</si>
  <si>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</si>
  <si>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</si>
  <si>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</si>
  <si>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</si>
  <si>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</si>
  <si>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</si>
  <si>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</si>
  <si>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</si>
  <si>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</si>
  <si>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</si>
  <si>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</si>
  <si>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</si>
  <si>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</si>
  <si>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</si>
  <si>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</si>
  <si>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</si>
  <si>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</si>
  <si>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</si>
  <si>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</si>
  <si>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</si>
  <si>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</si>
  <si>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</si>
  <si>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</si>
  <si>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</si>
  <si>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</si>
  <si>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</si>
  <si>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</si>
  <si>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</si>
  <si>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</si>
  <si>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</si>
  <si>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</si>
  <si>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</si>
  <si>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</si>
  <si>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</si>
  <si>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</si>
  <si>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</si>
  <si>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</si>
  <si>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</si>
  <si>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</si>
  <si>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</si>
  <si>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</si>
  <si>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</si>
  <si>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</si>
  <si>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</si>
  <si>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</si>
  <si>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</si>
  <si>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</si>
  <si>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</si>
  <si>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</si>
  <si>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</si>
  <si>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</si>
  <si>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</si>
  <si>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</si>
  <si>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</si>
  <si>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</si>
  <si>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</si>
  <si>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</si>
  <si>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</si>
  <si>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</si>
  <si>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</si>
  <si>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</si>
  <si>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</si>
  <si>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</si>
  <si>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</si>
  <si>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</si>
  <si>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</si>
  <si>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</si>
  <si>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</si>
  <si>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</si>
  <si>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</si>
  <si>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</si>
  <si>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</si>
  <si>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</si>
  <si>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</si>
  <si>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</si>
  <si>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</si>
  <si>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</si>
  <si>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</si>
  <si>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</si>
  <si>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</si>
  <si>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</si>
  <si>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</si>
  <si>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</si>
  <si>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</si>
  <si>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</si>
  <si>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</si>
  <si>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</si>
  <si>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</si>
  <si>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</si>
  <si>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</si>
  <si>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</si>
  <si>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</si>
  <si>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</si>
  <si>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</si>
  <si>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</si>
  <si>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</si>
  <si>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</si>
  <si>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</si>
  <si>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</si>
  <si>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</si>
  <si>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</si>
  <si>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</si>
  <si>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</si>
  <si>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</si>
  <si>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</si>
  <si>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</si>
  <si>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</si>
  <si>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</si>
  <si>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</si>
  <si>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</si>
  <si>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</si>
  <si>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</si>
  <si>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</si>
  <si>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</si>
  <si>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</si>
  <si>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</si>
  <si>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</si>
  <si>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</si>
  <si>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</si>
  <si>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</si>
  <si>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</si>
  <si>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</si>
  <si>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</si>
  <si>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</si>
  <si>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</si>
  <si>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</si>
  <si>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</si>
  <si>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</si>
  <si>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</si>
  <si>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</si>
  <si>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</si>
  <si>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</si>
  <si>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</si>
  <si>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</si>
  <si>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</si>
  <si>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</si>
  <si>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</si>
  <si>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</si>
  <si>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</si>
  <si>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</si>
  <si>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</si>
  <si>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</si>
  <si>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</si>
  <si>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</si>
  <si>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</si>
  <si>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</si>
  <si>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</si>
  <si>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</si>
  <si>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</si>
  <si>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</si>
  <si>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</si>
  <si>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</si>
  <si>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</si>
  <si>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</si>
  <si>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</si>
  <si>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</si>
  <si>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</si>
  <si>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</si>
  <si>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</si>
  <si>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</si>
  <si>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</si>
  <si>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</si>
  <si>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</si>
  <si>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</si>
  <si>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</si>
  <si>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</si>
  <si>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</si>
  <si>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</si>
  <si>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</si>
  <si>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</si>
  <si>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</si>
  <si>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</si>
  <si>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</si>
  <si>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</si>
  <si>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</si>
  <si>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</si>
  <si>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</si>
  <si>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</si>
  <si>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</si>
  <si>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</si>
  <si>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</si>
  <si>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</si>
  <si>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</si>
  <si>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</si>
  <si>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</si>
  <si>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</si>
  <si>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</si>
  <si>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</si>
  <si>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</si>
  <si>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</si>
  <si>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</si>
  <si>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</si>
  <si>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</si>
  <si>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</si>
  <si>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</si>
  <si>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</si>
  <si>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</si>
  <si>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</si>
  <si>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</si>
  <si>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</si>
  <si>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</si>
  <si>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</si>
  <si>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</si>
  <si>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</si>
  <si>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</si>
  <si>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</si>
  <si>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</si>
  <si>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</si>
  <si>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</si>
  <si>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</si>
  <si>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</si>
  <si>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</si>
  <si>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</si>
  <si>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</si>
  <si>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</si>
  <si>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</si>
  <si>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</si>
  <si>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</si>
  <si>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</si>
  <si>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</si>
  <si>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</si>
  <si>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</si>
  <si>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</si>
  <si>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</si>
  <si>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</si>
  <si>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</si>
  <si>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</si>
  <si>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</si>
  <si>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</si>
  <si>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</si>
  <si>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</si>
  <si>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</si>
  <si>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</si>
  <si>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</si>
  <si>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</si>
  <si>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</si>
  <si>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</si>
  <si>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</si>
  <si>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</si>
  <si>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</si>
  <si>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</si>
  <si>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</si>
  <si>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</si>
  <si>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</si>
  <si>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</si>
  <si>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</si>
  <si>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</si>
  <si>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</si>
  <si>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</si>
  <si>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</si>
  <si>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</si>
  <si>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</si>
  <si>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</si>
  <si>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</si>
  <si>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</si>
  <si>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</si>
  <si>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</si>
  <si>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</si>
  <si>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</si>
  <si>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</si>
  <si>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</si>
  <si>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</si>
  <si>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</si>
  <si>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</si>
  <si>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</si>
  <si>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</si>
  <si>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</si>
  <si>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</si>
  <si>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</si>
  <si>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</si>
  <si>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</si>
  <si>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</si>
  <si>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</si>
  <si>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</si>
  <si>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</si>
  <si>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</si>
  <si>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</si>
  <si>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</si>
  <si>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</si>
  <si>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</si>
  <si>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</si>
  <si>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</si>
  <si>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</si>
  <si>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</si>
  <si>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</si>
  <si>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</si>
  <si>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</si>
  <si>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</si>
  <si>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</si>
  <si>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</si>
  <si>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</si>
  <si>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</si>
  <si>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</si>
  <si>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</si>
  <si>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</si>
  <si>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</si>
  <si>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</si>
  <si>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</si>
  <si>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</si>
  <si>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</si>
  <si>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</si>
  <si>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</si>
  <si>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</si>
  <si>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</si>
  <si>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</si>
  <si>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</si>
  <si>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</si>
  <si>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</si>
  <si>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</si>
  <si>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</si>
  <si>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</si>
  <si>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</si>
  <si>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</si>
  <si>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</si>
  <si>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</si>
  <si>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</si>
  <si>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</si>
  <si>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</si>
  <si>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</si>
  <si>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</si>
  <si>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</si>
  <si>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</si>
  <si>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</si>
  <si>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</si>
  <si>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</si>
  <si>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</si>
  <si>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</si>
  <si>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</si>
  <si>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</si>
  <si>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</si>
  <si>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</si>
  <si>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</si>
  <si>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</si>
  <si>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</si>
  <si>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</si>
  <si>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</si>
  <si>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</si>
  <si>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</si>
  <si>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</si>
  <si>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</si>
  <si>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</si>
  <si>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</si>
  <si>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</si>
  <si>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</si>
  <si>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</si>
  <si>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</si>
  <si>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</si>
  <si>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</si>
  <si>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</si>
  <si>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</si>
  <si>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</si>
  <si>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</si>
  <si>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</si>
  <si>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</si>
  <si>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</si>
  <si>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</si>
  <si>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</si>
  <si>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</si>
  <si>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</si>
  <si>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</si>
  <si>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</si>
  <si>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</si>
  <si>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</si>
  <si>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</si>
  <si>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</si>
  <si>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</si>
  <si>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</si>
  <si>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</si>
  <si>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</si>
  <si>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</si>
  <si>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</si>
  <si>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</si>
  <si>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</si>
  <si>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</si>
  <si>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</si>
  <si>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</si>
  <si>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</si>
  <si>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</si>
  <si>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</si>
  <si>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</si>
  <si>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</si>
  <si>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</si>
  <si>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</si>
  <si>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</si>
  <si>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</si>
  <si>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</si>
  <si>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</si>
  <si>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</si>
  <si>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</si>
  <si>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</si>
  <si>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</si>
  <si>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</si>
  <si>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</si>
  <si>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</si>
  <si>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</si>
  <si>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</si>
  <si>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</si>
  <si>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</si>
  <si>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</si>
  <si>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</si>
  <si>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</si>
  <si>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</si>
  <si>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</si>
  <si>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</si>
  <si>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</si>
  <si>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</si>
  <si>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</si>
  <si>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</si>
  <si>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</si>
  <si>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</si>
  <si>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</si>
  <si>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</si>
  <si>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</si>
  <si>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</si>
  <si>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</si>
  <si>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</si>
  <si>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</si>
  <si>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</si>
  <si>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</si>
  <si>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</si>
  <si>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</si>
  <si>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</si>
  <si>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</si>
  <si>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</si>
  <si>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</si>
  <si>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</si>
  <si>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</si>
  <si>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</si>
  <si>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</si>
  <si>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</si>
  <si>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</si>
  <si>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</si>
  <si>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</si>
  <si>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</si>
  <si>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</si>
  <si>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</si>
  <si>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</si>
  <si>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</si>
  <si>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</si>
  <si>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</si>
  <si>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</si>
  <si>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</si>
  <si>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</si>
  <si>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</si>
  <si>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</si>
  <si>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</si>
  <si>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</si>
  <si>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</si>
  <si>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</si>
  <si>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</si>
  <si>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</si>
  <si>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</si>
  <si>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</si>
  <si>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</si>
  <si>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</si>
  <si>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</si>
  <si>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</si>
  <si>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</si>
  <si>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</si>
  <si>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</si>
  <si>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</si>
  <si>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</si>
  <si>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</si>
  <si>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</si>
  <si>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</si>
  <si>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</si>
  <si>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</si>
  <si>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</si>
  <si>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</si>
  <si>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</si>
  <si>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</si>
  <si>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</si>
  <si>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</si>
  <si>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</si>
  <si>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</si>
  <si>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</si>
  <si>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</si>
  <si>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</si>
  <si>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</si>
  <si>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</si>
  <si>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</si>
  <si>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</si>
  <si>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</si>
  <si>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</si>
  <si>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</si>
  <si>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</si>
  <si>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</si>
  <si>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</si>
  <si>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</si>
  <si>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</si>
  <si>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</si>
  <si>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</si>
  <si>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</si>
  <si>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</si>
  <si>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</si>
  <si>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</si>
  <si>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</si>
  <si>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</si>
  <si>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</si>
  <si>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</si>
  <si>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</si>
  <si>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</si>
  <si>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</si>
  <si>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</si>
  <si>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</si>
  <si>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</si>
  <si>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</si>
  <si>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</si>
  <si>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</si>
  <si>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</si>
  <si>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</si>
  <si>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</si>
  <si>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</si>
  <si>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</si>
  <si>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</si>
  <si>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</si>
  <si>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</si>
  <si>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</si>
  <si>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</si>
  <si>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</si>
  <si>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</si>
  <si>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</si>
  <si>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</si>
  <si>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</si>
  <si>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</si>
  <si>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</si>
  <si>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</si>
  <si>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</si>
  <si>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</si>
  <si>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</si>
  <si>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</si>
  <si>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</si>
  <si>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</si>
  <si>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</si>
  <si>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</si>
  <si>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</si>
  <si>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</si>
  <si>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</si>
  <si>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</si>
  <si>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</si>
  <si>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</si>
  <si>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</si>
  <si>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</si>
  <si>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</si>
  <si>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</si>
  <si>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</si>
  <si>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</si>
  <si>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</si>
  <si>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</si>
  <si>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</si>
  <si>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</si>
  <si>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</si>
  <si>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</si>
  <si>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</si>
  <si>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</si>
  <si>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</si>
  <si>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</si>
  <si>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</si>
  <si>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</si>
  <si>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</si>
  <si>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</si>
  <si>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</si>
  <si>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</si>
  <si>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</si>
  <si>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</si>
  <si>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</si>
  <si>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</si>
  <si>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</si>
  <si>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</si>
  <si>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</si>
  <si>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</si>
  <si>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</si>
  <si>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</si>
  <si>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</si>
  <si>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</si>
  <si>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</si>
  <si>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</si>
  <si>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</si>
  <si>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</si>
  <si>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</si>
  <si>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</si>
  <si>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</si>
  <si>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</si>
  <si>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</si>
  <si>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</si>
  <si>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</si>
  <si>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</si>
  <si>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</si>
  <si>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</si>
  <si>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</si>
  <si>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</si>
  <si>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</si>
  <si>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</si>
  <si>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</si>
  <si>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</si>
  <si>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</si>
  <si>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</si>
  <si>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</si>
  <si>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</si>
  <si>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</si>
  <si>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</si>
  <si>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</si>
  <si>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</si>
  <si>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</si>
  <si>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</si>
  <si>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</si>
  <si>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</si>
  <si>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</si>
  <si>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</si>
  <si>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</si>
  <si>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</si>
  <si>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</si>
  <si>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</si>
  <si>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</si>
  <si>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</si>
  <si>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</si>
  <si>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</si>
  <si>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</si>
  <si>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</si>
  <si>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</si>
  <si>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</si>
  <si>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</si>
  <si>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</si>
  <si>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</si>
  <si>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</si>
  <si>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</si>
  <si>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</si>
  <si>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</si>
  <si>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</si>
  <si>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</si>
  <si>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</si>
  <si>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</si>
  <si>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</si>
  <si>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</si>
  <si>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</si>
  <si>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</si>
  <si>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</si>
  <si>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</si>
  <si>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</si>
  <si>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</si>
  <si>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</si>
  <si>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</si>
  <si>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</si>
  <si>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</si>
  <si>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</si>
  <si>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</si>
  <si>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</si>
  <si>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</si>
  <si>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</si>
  <si>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</si>
  <si>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</si>
  <si>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</si>
  <si>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</si>
  <si>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</si>
  <si>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</si>
  <si>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</si>
  <si>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</si>
  <si>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</si>
  <si>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</si>
  <si>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</si>
  <si>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</si>
  <si>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</si>
  <si>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</si>
  <si>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</si>
  <si>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</si>
  <si>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</si>
  <si>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</si>
  <si>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</si>
  <si>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</si>
  <si>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</si>
  <si>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</si>
  <si>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</si>
  <si>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</si>
  <si>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</si>
  <si>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</si>
  <si>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</si>
  <si>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</si>
  <si>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</si>
  <si>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</si>
  <si>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</si>
  <si>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</si>
  <si>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</si>
  <si>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</si>
  <si>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</si>
  <si>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</si>
  <si>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</si>
  <si>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</si>
  <si>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</si>
  <si>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</si>
  <si>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</si>
  <si>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</si>
  <si>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</si>
  <si>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</si>
  <si>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</si>
  <si>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</si>
  <si>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</si>
  <si>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</si>
  <si>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</si>
  <si>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</si>
  <si>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</si>
  <si>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</si>
  <si>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</si>
  <si>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</si>
  <si>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</si>
  <si>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</si>
  <si>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</si>
  <si>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</si>
  <si>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</si>
  <si>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</si>
  <si>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</si>
  <si>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</si>
  <si>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</si>
  <si>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</si>
  <si>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</si>
  <si>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</si>
  <si>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</si>
  <si>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</si>
  <si>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</si>
  <si>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</si>
  <si>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</si>
  <si>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</si>
  <si>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</si>
  <si>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</si>
  <si>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</si>
  <si>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</si>
  <si>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</si>
  <si>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</si>
  <si>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</si>
  <si>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</si>
  <si>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</si>
  <si>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</si>
  <si>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</si>
  <si>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</si>
  <si>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</si>
  <si>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</si>
  <si>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</si>
  <si>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</si>
  <si>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</si>
  <si>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</si>
  <si>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</si>
  <si>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</si>
  <si>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</si>
  <si>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</si>
  <si>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</si>
  <si>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</si>
  <si>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</si>
  <si>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</si>
  <si>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</si>
  <si>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</si>
  <si>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</si>
  <si>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</si>
  <si>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</si>
  <si>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</si>
  <si>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</si>
  <si>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</si>
  <si>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</si>
  <si>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</si>
  <si>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</si>
  <si>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</si>
  <si>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</si>
  <si>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</si>
  <si>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</si>
  <si>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</si>
  <si>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</si>
  <si>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</si>
  <si>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</si>
  <si>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</si>
  <si>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</si>
  <si>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</si>
  <si>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</si>
  <si>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</si>
  <si>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</si>
  <si>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</si>
  <si>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</si>
  <si>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</si>
  <si>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</si>
  <si>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</si>
  <si>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</si>
  <si>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</si>
  <si>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</si>
  <si>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</si>
  <si>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</si>
  <si>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</si>
  <si>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</si>
  <si>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</si>
  <si>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</si>
  <si>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</si>
  <si>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</si>
  <si>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</si>
  <si>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</si>
  <si>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</si>
  <si>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</si>
  <si>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</si>
  <si>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</si>
  <si>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</si>
  <si>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</si>
  <si>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</si>
  <si>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</si>
  <si>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</si>
  <si>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</si>
  <si>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</si>
  <si>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</si>
  <si>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</si>
  <si>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</si>
  <si>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</si>
  <si>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</si>
  <si>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</si>
  <si>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</si>
  <si>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</si>
  <si>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</si>
  <si>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</si>
  <si>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</si>
  <si>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</si>
  <si>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</si>
  <si>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</si>
  <si>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</si>
  <si>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</si>
  <si>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</si>
  <si>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</si>
  <si>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</si>
  <si>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</si>
  <si>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</si>
  <si>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</si>
  <si>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</si>
  <si>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</si>
  <si>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</si>
  <si>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</si>
  <si>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</si>
  <si>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</si>
  <si>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</si>
  <si>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</si>
  <si>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</si>
  <si>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</si>
  <si>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</si>
  <si>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</si>
  <si>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</si>
  <si>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</si>
  <si>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</si>
  <si>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</si>
  <si>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</si>
  <si>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</si>
  <si>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</si>
  <si>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</si>
  <si>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</si>
  <si>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</si>
  <si>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</si>
  <si>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</si>
  <si>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</si>
  <si>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</si>
  <si>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</si>
  <si>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</si>
  <si>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</si>
  <si>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</si>
  <si>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</si>
  <si>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</si>
  <si>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</si>
  <si>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</si>
  <si>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</si>
  <si>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</si>
  <si>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</si>
  <si>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</si>
  <si>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</si>
  <si>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</si>
  <si>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</si>
  <si>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</si>
  <si>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</si>
  <si>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</si>
  <si>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</si>
  <si>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</si>
  <si>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</si>
  <si>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</si>
  <si>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</si>
  <si>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</si>
  <si>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</si>
  <si>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</si>
  <si>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</si>
  <si>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</si>
  <si>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</si>
  <si>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</si>
  <si>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</si>
  <si>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</si>
  <si>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</si>
  <si>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</si>
  <si>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</si>
  <si>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</si>
  <si>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</si>
  <si>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</si>
  <si>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</si>
  <si>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</si>
  <si>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</si>
  <si>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</si>
  <si>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</si>
  <si>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</si>
  <si>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</si>
  <si>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</si>
  <si>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</si>
  <si>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</si>
  <si>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</si>
  <si>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</si>
  <si>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</si>
  <si>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</si>
  <si>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</si>
  <si>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</si>
  <si>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</si>
  <si>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</si>
  <si>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</si>
  <si>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</si>
  <si>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</si>
  <si>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</si>
  <si>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</si>
  <si>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</si>
  <si>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</si>
  <si>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</si>
  <si>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</si>
  <si>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</si>
  <si>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</si>
  <si>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</si>
  <si>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</si>
  <si>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</si>
  <si>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</si>
  <si>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</si>
  <si>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</si>
  <si>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</si>
  <si>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</si>
  <si>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</si>
  <si>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</si>
  <si>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</si>
  <si>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</si>
  <si>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</si>
  <si>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</si>
  <si>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</si>
  <si>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</si>
  <si>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</si>
  <si>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</si>
  <si>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</si>
  <si>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</si>
  <si>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</si>
  <si>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</si>
  <si>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</si>
  <si>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</si>
  <si>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</si>
  <si>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</si>
  <si>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</si>
  <si>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</si>
  <si>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</si>
  <si>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</si>
  <si>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</si>
  <si>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</si>
  <si>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</si>
  <si>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</si>
  <si>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</si>
  <si>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</si>
  <si>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</si>
  <si>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</si>
  <si>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</si>
  <si>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</si>
  <si>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</si>
  <si>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</si>
  <si>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</si>
  <si>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</si>
  <si>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</si>
  <si>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</si>
  <si>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</si>
  <si>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</si>
  <si>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</si>
  <si>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</si>
  <si>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</si>
  <si>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</si>
  <si>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</si>
  <si>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</si>
  <si>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</si>
  <si>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</si>
  <si>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</si>
  <si>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</si>
  <si>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</si>
  <si>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</si>
  <si>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</si>
  <si>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</si>
  <si>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</si>
  <si>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</si>
  <si>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</si>
  <si>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</si>
  <si>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</si>
  <si>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</si>
  <si>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</si>
  <si>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</si>
  <si>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</si>
  <si>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</si>
  <si>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</si>
  <si>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</si>
  <si>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</si>
  <si>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</si>
  <si>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</si>
  <si>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</si>
  <si>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</si>
  <si>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</si>
  <si>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</si>
  <si>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</si>
  <si>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</si>
  <si>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</si>
  <si>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</si>
  <si>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</si>
  <si>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</si>
  <si>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</si>
  <si>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</si>
  <si>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</si>
  <si>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</si>
  <si>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</si>
  <si>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</si>
  <si>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</si>
  <si>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</si>
  <si>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</si>
  <si>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</si>
  <si>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</si>
  <si>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</si>
  <si>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</si>
  <si>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</si>
  <si>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</si>
  <si>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</si>
  <si>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</si>
  <si>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</si>
  <si>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</si>
  <si>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</si>
  <si>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</si>
  <si>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</si>
  <si>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</si>
  <si>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</si>
  <si>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</si>
  <si>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</si>
  <si>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</si>
  <si>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</si>
  <si>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</si>
  <si>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</si>
  <si>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</si>
  <si>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</si>
  <si>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</si>
  <si>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</si>
  <si>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</si>
  <si>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</si>
  <si>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</si>
  <si>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</si>
  <si>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</si>
  <si>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</si>
  <si>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</si>
  <si>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</si>
  <si>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</si>
  <si>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</si>
  <si>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</si>
  <si>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</si>
  <si>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</si>
  <si>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</si>
  <si>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</si>
  <si>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</si>
  <si>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</si>
  <si>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</si>
  <si>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</si>
  <si>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</si>
  <si>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</si>
  <si>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</si>
  <si>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</si>
  <si>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</si>
  <si>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</si>
  <si>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</si>
  <si>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</si>
  <si>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</si>
  <si>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</si>
  <si>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</si>
  <si>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</si>
  <si>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</si>
  <si>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</si>
  <si>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</si>
  <si>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</si>
  <si>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</si>
  <si>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</si>
  <si>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</si>
  <si>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</si>
  <si>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</si>
  <si>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</si>
  <si>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</si>
  <si>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</si>
  <si>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</si>
  <si>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</si>
  <si>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</si>
  <si>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</si>
  <si>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</si>
  <si>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</si>
  <si>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</si>
  <si>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</si>
  <si>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</si>
  <si>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</si>
  <si>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</si>
  <si>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</si>
  <si>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</si>
  <si>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</si>
  <si>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</si>
  <si>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</si>
  <si>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</si>
  <si>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</si>
  <si>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</si>
  <si>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</si>
  <si>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</si>
  <si>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</si>
  <si>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</si>
  <si>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</si>
  <si>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</si>
  <si>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</si>
  <si>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</si>
  <si>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</si>
  <si>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</si>
  <si>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</si>
  <si>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</si>
  <si>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</si>
  <si>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</si>
  <si>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</si>
  <si>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</si>
  <si>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</si>
  <si>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</si>
  <si>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</si>
  <si>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</si>
  <si>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</si>
  <si>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</si>
  <si>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</si>
  <si>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</si>
  <si>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</si>
  <si>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</si>
  <si>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</si>
  <si>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</si>
  <si>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</si>
  <si>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</si>
  <si>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</si>
  <si>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</si>
  <si>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</si>
  <si>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</si>
  <si>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</si>
  <si>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</si>
  <si>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</si>
  <si>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</si>
  <si>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</si>
  <si>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</si>
  <si>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</si>
  <si>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</si>
  <si>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</si>
  <si>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</si>
  <si>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</si>
  <si>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</si>
  <si>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</si>
  <si>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</si>
  <si>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</si>
  <si>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</si>
  <si>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</si>
  <si>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</si>
  <si>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</si>
  <si>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</si>
  <si>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</si>
  <si>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</si>
  <si>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</si>
  <si>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</si>
  <si>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</si>
  <si>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</si>
  <si>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</si>
  <si>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</si>
  <si>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</si>
  <si>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</si>
  <si>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</si>
  <si>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</si>
  <si>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</si>
  <si>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</si>
  <si>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</si>
  <si>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</si>
  <si>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</si>
  <si>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</si>
  <si>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</si>
  <si>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</si>
  <si>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</si>
  <si>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</si>
  <si>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</si>
  <si>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</si>
  <si>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</si>
  <si>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</si>
  <si>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</si>
  <si>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</si>
  <si>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</si>
  <si>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</si>
  <si>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</si>
  <si>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</si>
  <si>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</si>
  <si>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</si>
  <si>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</si>
  <si>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</si>
  <si>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</si>
  <si>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</si>
  <si>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</si>
  <si>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</si>
  <si>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</si>
  <si>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</si>
  <si>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</si>
  <si>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</si>
  <si>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</si>
  <si>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</si>
  <si>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</si>
  <si>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</si>
  <si>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</si>
  <si>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</si>
  <si>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</si>
  <si>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</si>
  <si>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</si>
  <si>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</si>
  <si>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</si>
  <si>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</si>
  <si>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</si>
  <si>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</si>
  <si>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</si>
  <si>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</si>
  <si>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</si>
  <si>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</si>
  <si>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</si>
  <si>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</si>
  <si>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</si>
  <si>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</si>
  <si>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</si>
  <si>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</si>
  <si>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</si>
  <si>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</si>
  <si>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</si>
  <si>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</si>
  <si>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</si>
  <si>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</si>
  <si>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</si>
  <si>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</si>
  <si>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</si>
  <si>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</si>
  <si>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</si>
  <si>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</si>
  <si>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</si>
  <si>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</si>
  <si>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</si>
  <si>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</si>
  <si>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</si>
  <si>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</si>
  <si>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</si>
  <si>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</si>
  <si>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</si>
  <si>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</si>
  <si>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</si>
  <si>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</si>
  <si>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</si>
  <si>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</si>
  <si>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</si>
  <si>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</si>
  <si>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</si>
  <si>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</si>
  <si>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</si>
  <si>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</si>
  <si>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</si>
  <si>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</si>
  <si>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</si>
  <si>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</si>
  <si>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</si>
  <si>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</si>
  <si>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</si>
  <si>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</si>
  <si>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</si>
  <si>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</si>
  <si>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</si>
  <si>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</si>
  <si>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</si>
  <si>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</si>
  <si>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</si>
  <si>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</si>
  <si>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</si>
  <si>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</si>
  <si>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</si>
  <si>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</si>
  <si>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</si>
  <si>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</si>
  <si>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</si>
  <si>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</si>
  <si>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</si>
  <si>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</si>
  <si>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</si>
  <si>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</si>
  <si>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</si>
  <si>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</si>
  <si>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</si>
  <si>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</si>
  <si>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</si>
  <si>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</si>
  <si>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</si>
  <si>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</si>
  <si>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</si>
  <si>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</si>
  <si>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</si>
  <si>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</si>
  <si>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</si>
  <si>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</si>
  <si>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</si>
  <si>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</si>
  <si>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</si>
  <si>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</si>
  <si>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</si>
  <si>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</si>
  <si>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</si>
  <si>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</si>
  <si>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</si>
  <si>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</si>
  <si>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</si>
  <si>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</si>
  <si>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</si>
  <si>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</si>
  <si>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</si>
  <si>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</si>
  <si>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</si>
  <si>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</si>
  <si>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</si>
  <si>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</si>
  <si>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</si>
  <si>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</si>
  <si>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</si>
  <si>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</si>
  <si>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</si>
  <si>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</si>
  <si>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</si>
  <si>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</si>
  <si>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</si>
  <si>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</si>
  <si>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</si>
  <si>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</si>
  <si>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</si>
  <si>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</si>
  <si>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</si>
  <si>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</si>
  <si>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</si>
  <si>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</si>
  <si>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</si>
  <si>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</si>
  <si>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</si>
  <si>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</si>
  <si>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</si>
  <si>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</si>
  <si>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</si>
  <si>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</si>
  <si>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</si>
  <si>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</si>
  <si>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</si>
  <si>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</si>
  <si>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</si>
  <si>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</si>
  <si>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</si>
  <si>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</si>
  <si>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</si>
  <si>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</si>
  <si>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</si>
  <si>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</si>
  <si>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</si>
  <si>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</si>
  <si>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</si>
  <si>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</si>
  <si>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</si>
  <si>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</si>
  <si>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</si>
  <si>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</si>
  <si>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</si>
  <si>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</si>
  <si>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</si>
  <si>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</si>
  <si>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</si>
  <si>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</si>
  <si>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</si>
  <si>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</si>
  <si>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</si>
  <si>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</si>
  <si>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</si>
  <si>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</si>
  <si>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</si>
  <si>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</si>
  <si>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</si>
  <si>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</si>
  <si>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</si>
  <si>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</si>
  <si>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</si>
  <si>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</si>
  <si>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</si>
  <si>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</si>
  <si>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</si>
  <si>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</si>
  <si>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</si>
  <si>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</si>
  <si>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</si>
  <si>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</si>
  <si>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</si>
  <si>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</si>
  <si>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</si>
  <si>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</si>
  <si>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</si>
  <si>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</si>
  <si>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</si>
  <si>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</si>
  <si>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</si>
  <si>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</si>
  <si>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</si>
  <si>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</si>
  <si>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</si>
  <si>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</si>
  <si>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</si>
  <si>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</si>
  <si>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</si>
  <si>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</si>
  <si>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</si>
  <si>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</si>
  <si>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</si>
  <si>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</si>
  <si>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</si>
  <si>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</si>
  <si>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</si>
  <si>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</si>
  <si>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</si>
  <si>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</si>
  <si>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</si>
  <si>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</si>
  <si>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</si>
  <si>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</si>
  <si>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</si>
  <si>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</si>
  <si>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</si>
  <si>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</si>
  <si>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</si>
  <si>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</si>
  <si>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</si>
  <si>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</si>
  <si>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</si>
  <si>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</si>
  <si>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</si>
  <si>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</si>
  <si>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</si>
  <si>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</si>
  <si>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</si>
  <si>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</si>
  <si>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</si>
  <si>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</si>
  <si>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</si>
  <si>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</si>
  <si>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</si>
  <si>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</si>
  <si>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</si>
  <si>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</si>
  <si>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</si>
  <si>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</si>
  <si>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</si>
  <si>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</si>
  <si>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</si>
  <si>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</si>
  <si>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</si>
  <si>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</si>
  <si>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</si>
  <si>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</si>
  <si>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</si>
  <si>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</si>
  <si>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</si>
  <si>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</si>
  <si>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</si>
  <si>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</si>
  <si>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</si>
  <si>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</si>
  <si>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</si>
  <si>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</si>
  <si>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</si>
  <si>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</si>
  <si>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</si>
  <si>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</si>
  <si>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</si>
  <si>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</si>
  <si>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</si>
  <si>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</si>
  <si>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</si>
  <si>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</si>
  <si>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</si>
  <si>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</si>
  <si>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</si>
  <si>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</si>
  <si>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</si>
  <si>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</si>
  <si>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</si>
  <si>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</si>
  <si>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</si>
  <si>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</si>
  <si>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</si>
  <si>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</si>
  <si>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</si>
  <si>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</si>
  <si>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</si>
  <si>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</si>
  <si>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</si>
  <si>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</si>
  <si>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</si>
  <si>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</si>
  <si>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</si>
  <si>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</si>
  <si>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</si>
  <si>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</si>
  <si>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</si>
  <si>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</si>
  <si>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</si>
  <si>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</si>
  <si>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</si>
  <si>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</si>
  <si>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</si>
  <si>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</si>
  <si>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</si>
  <si>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</si>
  <si>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</si>
  <si>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</si>
  <si>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</si>
  <si>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</si>
  <si>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</si>
  <si>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</si>
  <si>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</si>
  <si>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</si>
  <si>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</si>
  <si>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</si>
  <si>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</si>
  <si>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</si>
  <si>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</si>
  <si>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</si>
  <si>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</si>
  <si>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</si>
  <si>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</si>
  <si>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</si>
  <si>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</si>
  <si>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</si>
  <si>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</si>
  <si>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</si>
  <si>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</si>
  <si>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</si>
  <si>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</si>
  <si>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</si>
  <si>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</si>
  <si>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</si>
  <si>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</si>
  <si>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</si>
  <si>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</si>
  <si>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</si>
  <si>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</si>
  <si>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</si>
  <si>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</si>
  <si>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</si>
  <si>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</si>
  <si>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</si>
  <si>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</si>
  <si>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</si>
  <si>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</si>
  <si>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</si>
  <si>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</si>
  <si>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</si>
  <si>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</si>
  <si>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</si>
  <si>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</si>
  <si>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</si>
  <si>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</si>
  <si>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</si>
  <si>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</si>
  <si>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</si>
  <si>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</si>
  <si>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</si>
  <si>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</si>
  <si>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</si>
  <si>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</si>
  <si>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</si>
  <si>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</si>
  <si>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</si>
  <si>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</si>
  <si>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</si>
  <si>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</si>
  <si>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</si>
  <si>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</si>
  <si>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</si>
  <si>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</si>
  <si>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</si>
  <si>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</si>
  <si>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</si>
  <si>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</si>
  <si>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</si>
  <si>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</si>
  <si>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</si>
  <si>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</si>
  <si>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</si>
  <si>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</si>
  <si>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</si>
  <si>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</si>
  <si>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</si>
  <si>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</si>
  <si>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</si>
  <si>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</si>
  <si>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</si>
  <si>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</si>
  <si>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</si>
  <si>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</si>
  <si>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</si>
  <si>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</si>
  <si>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</si>
  <si>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</si>
  <si>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</si>
  <si>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</si>
  <si>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</si>
  <si>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</si>
  <si>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</si>
  <si>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</si>
  <si>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</si>
  <si>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</si>
  <si>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</si>
  <si>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</si>
  <si>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</si>
  <si>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</si>
  <si>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</si>
  <si>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</si>
  <si>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</si>
  <si>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</si>
  <si>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</si>
  <si>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</si>
  <si>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</si>
  <si>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</si>
  <si>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</si>
  <si>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</si>
  <si>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</si>
  <si>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</si>
  <si>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</si>
  <si>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</si>
  <si>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</si>
  <si>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</si>
  <si>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</si>
  <si>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</si>
  <si>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</si>
  <si>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</si>
  <si>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</si>
  <si>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</si>
  <si>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</si>
  <si>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</si>
  <si>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</si>
  <si>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</si>
  <si>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</si>
  <si>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</si>
  <si>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</si>
  <si>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</si>
  <si>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</si>
  <si>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</si>
  <si>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</si>
  <si>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</si>
  <si>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</si>
  <si>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</si>
  <si>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</si>
  <si>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</si>
  <si>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</si>
  <si>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</si>
  <si>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</si>
  <si>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</si>
  <si>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</si>
  <si>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</si>
  <si>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</si>
  <si>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</si>
  <si>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</si>
  <si>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</si>
  <si>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</si>
  <si>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</si>
  <si>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</si>
  <si>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</si>
  <si>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</si>
  <si>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</si>
  <si>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</si>
  <si>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</si>
  <si>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</si>
  <si>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</si>
  <si>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</si>
  <si>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</si>
  <si>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</si>
  <si>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</si>
  <si>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</si>
  <si>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</si>
  <si>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</si>
  <si>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</si>
  <si>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</si>
  <si>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</si>
  <si>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</si>
  <si>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</si>
  <si>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</si>
  <si>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</si>
  <si>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</si>
  <si>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</si>
  <si>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</si>
  <si>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</si>
  <si>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</si>
  <si>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</si>
  <si>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</si>
  <si>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</si>
  <si>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</si>
  <si>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</si>
  <si>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</si>
  <si>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</si>
  <si>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</si>
  <si>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</si>
  <si>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</si>
  <si>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</si>
  <si>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</si>
  <si>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</si>
  <si>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</si>
  <si>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</si>
  <si>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</si>
  <si>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</si>
  <si>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</si>
  <si>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</si>
  <si>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</si>
  <si>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</si>
  <si>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</si>
  <si>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</si>
  <si>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</si>
  <si>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</si>
  <si>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</si>
  <si>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</si>
  <si>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</si>
  <si>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</si>
  <si>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</si>
  <si>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</si>
  <si>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</si>
  <si>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</si>
  <si>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</si>
  <si>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</si>
  <si>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</si>
  <si>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</si>
  <si>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</si>
  <si>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</si>
  <si>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</si>
  <si>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</si>
  <si>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</si>
  <si>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</si>
  <si>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</si>
  <si>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</si>
  <si>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</si>
  <si>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</si>
  <si>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</si>
  <si>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</si>
  <si>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</si>
  <si>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</si>
  <si>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</si>
  <si>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</si>
  <si>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</si>
  <si>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</si>
  <si>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</si>
  <si>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</si>
  <si>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</si>
  <si>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</si>
  <si>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</si>
  <si>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</si>
  <si>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</si>
  <si>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</si>
  <si>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</si>
  <si>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</si>
  <si>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</si>
  <si>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</si>
  <si>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</si>
  <si>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</si>
  <si>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</si>
  <si>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</si>
  <si>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</si>
  <si>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</si>
  <si>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</si>
  <si>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</si>
  <si>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</si>
  <si>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</si>
  <si>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</si>
  <si>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</si>
  <si>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</si>
  <si>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</si>
  <si>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</si>
  <si>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</si>
  <si>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</si>
  <si>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</si>
  <si>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</si>
  <si>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</si>
  <si>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</si>
  <si>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</si>
  <si>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</si>
  <si>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</si>
  <si>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</si>
  <si>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</si>
  <si>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</si>
  <si>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</si>
  <si>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</si>
  <si>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</si>
  <si>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</si>
  <si>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</si>
  <si>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</si>
  <si>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</si>
  <si>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</si>
  <si>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</si>
  <si>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</si>
  <si>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</si>
  <si>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</si>
  <si>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</si>
  <si>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</si>
  <si>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</si>
  <si>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</si>
  <si>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</si>
  <si>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</si>
  <si>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</si>
  <si>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</si>
  <si>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</si>
  <si>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</si>
  <si>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</si>
  <si>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</si>
  <si>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</si>
  <si>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</si>
  <si>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</si>
  <si>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</si>
  <si>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</si>
  <si>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</si>
  <si>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</si>
  <si>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</si>
  <si>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</si>
  <si>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</si>
  <si>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</si>
  <si>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</si>
  <si>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</si>
  <si>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</si>
  <si>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</si>
  <si>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</si>
  <si>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</si>
  <si>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</si>
  <si>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</si>
  <si>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</si>
  <si>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</si>
  <si>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</si>
  <si>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</si>
  <si>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</si>
  <si>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</si>
  <si>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</si>
  <si>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</si>
  <si>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</si>
  <si>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</si>
  <si>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</si>
  <si>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</si>
  <si>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</si>
  <si>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</si>
  <si>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</si>
  <si>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</si>
  <si>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</si>
  <si>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</si>
  <si>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</si>
  <si>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</si>
  <si>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</si>
  <si>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</si>
  <si>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</si>
  <si>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</si>
  <si>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</si>
  <si>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</si>
  <si>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</si>
  <si>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</si>
  <si>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</si>
  <si>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</si>
  <si>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</si>
  <si>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</si>
  <si>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</si>
  <si>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</si>
  <si>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</si>
  <si>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</si>
  <si>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</si>
  <si>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</si>
  <si>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</si>
  <si>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</si>
  <si>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</si>
  <si>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</si>
  <si>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</si>
  <si>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</si>
  <si>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</si>
  <si>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</si>
  <si>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</si>
  <si>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</si>
  <si>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</si>
  <si>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</si>
  <si>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</si>
  <si>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</si>
  <si>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</si>
  <si>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</si>
  <si>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</si>
  <si>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</si>
  <si>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</si>
  <si>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</si>
  <si>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</si>
  <si>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</si>
  <si>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</si>
  <si>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</si>
  <si>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</si>
  <si>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</si>
  <si>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</si>
  <si>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</si>
  <si>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</si>
  <si>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</si>
  <si>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</si>
  <si>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</si>
  <si>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</si>
  <si>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</si>
  <si>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</si>
  <si>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</si>
  <si>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</si>
  <si>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</si>
  <si>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</si>
  <si>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</si>
  <si>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</si>
  <si>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</si>
  <si>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</si>
  <si>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</si>
  <si>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</si>
  <si>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</si>
  <si>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</si>
  <si>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</si>
  <si>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</si>
  <si>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</si>
  <si>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</si>
  <si>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</si>
  <si>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</si>
  <si>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</si>
  <si>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</si>
  <si>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</si>
  <si>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</si>
  <si>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</si>
  <si>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</si>
  <si>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</si>
  <si>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</si>
  <si>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</si>
  <si>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</si>
  <si>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</si>
  <si>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</si>
  <si>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</si>
  <si>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</si>
  <si>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</si>
  <si>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Magita, Inc</t>
  </si>
  <si>
    <t>1820 The Exchange SE #350</t>
  </si>
  <si>
    <t>magitaenterprise@bellsouth.net</t>
  </si>
  <si>
    <t>Roya Collins</t>
  </si>
  <si>
    <t>President</t>
  </si>
  <si>
    <t>Dulles Park II</t>
  </si>
  <si>
    <t>226 Old Clinton Road</t>
  </si>
  <si>
    <t>City Limits</t>
  </si>
  <si>
    <t>City of Gray</t>
  </si>
  <si>
    <t>Ed Barbee</t>
  </si>
  <si>
    <t xml:space="preserve">109 James St. </t>
  </si>
  <si>
    <t>Mayor</t>
  </si>
  <si>
    <t>grayga.us</t>
  </si>
  <si>
    <t>Ed.Barbee@Grayga.us</t>
  </si>
  <si>
    <t>N/a</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</si>
  <si>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</si>
  <si>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Dulles Park II, LP</t>
  </si>
  <si>
    <t>For Profit</t>
  </si>
  <si>
    <t>Member</t>
  </si>
  <si>
    <t>Potemkin-Dulles II, LLC</t>
  </si>
  <si>
    <t>Affordable Equity Partners, Inc</t>
  </si>
  <si>
    <t>Bkimes@AEPartners.com</t>
  </si>
  <si>
    <t xml:space="preserve">206 Peach Way </t>
  </si>
  <si>
    <t>206 Peach Way</t>
  </si>
  <si>
    <t>www.aepartners.com</t>
  </si>
  <si>
    <t>Brian Kimes</t>
  </si>
  <si>
    <t>Vice President</t>
  </si>
  <si>
    <t>Magita, Inc.</t>
  </si>
  <si>
    <t xml:space="preserve">1820 The Exchange SE #350      
</t>
  </si>
  <si>
    <t>Fairway Construction Company, Inc.</t>
  </si>
  <si>
    <t>Will Markel</t>
  </si>
  <si>
    <t>Executive Vice President</t>
  </si>
  <si>
    <t>Tstanley@Fairwayconstruction.net</t>
  </si>
  <si>
    <t>TMC Management and Realty, Inc</t>
  </si>
  <si>
    <t>1341 Cassville Road, N.W.</t>
  </si>
  <si>
    <t>Brenda@tmcmgt.com</t>
  </si>
  <si>
    <t>Scott Spivey</t>
  </si>
  <si>
    <t>Partner</t>
  </si>
  <si>
    <t>Brena Hoyt</t>
  </si>
  <si>
    <t>Director of Operations</t>
  </si>
  <si>
    <t>Spivey, Pope, Green &amp; Greer</t>
  </si>
  <si>
    <t>4875 Riverside Drivem Suite 200</t>
  </si>
  <si>
    <t>Sspivey@spgglaw.com</t>
  </si>
  <si>
    <t>Aprio</t>
  </si>
  <si>
    <t>Five Concourse Parkway, Suite 1000</t>
  </si>
  <si>
    <t>Frank.Gudger@Aprio.com</t>
  </si>
  <si>
    <t>www.aprio.com</t>
  </si>
  <si>
    <t>Frank Grudger</t>
  </si>
  <si>
    <t>Partner-in-charge</t>
  </si>
  <si>
    <t>Martin Riley Assoicates Architects, P.C.</t>
  </si>
  <si>
    <t xml:space="preserve">215 Church St. </t>
  </si>
  <si>
    <t>www.MartinRiley.com</t>
  </si>
  <si>
    <t>Mrilet$MartinRiley.com</t>
  </si>
  <si>
    <t>Mike Riley</t>
  </si>
  <si>
    <t>RAC, LLC &amp; Gateway Developmnet</t>
  </si>
  <si>
    <t>Sherri Rollins</t>
  </si>
  <si>
    <t>PO Box 697</t>
  </si>
  <si>
    <t>Srollins@Gatewaydco.com</t>
  </si>
  <si>
    <t>Syndicator and Management</t>
  </si>
  <si>
    <t>The Federal and State Syndicator and the General Contractor are related parties.</t>
  </si>
  <si>
    <t>Sterling Bank</t>
  </si>
  <si>
    <t xml:space="preserve">Affordable Equity Partners, Inc. </t>
  </si>
  <si>
    <t>Magita Inc.</t>
  </si>
  <si>
    <t>GP/LP Equity</t>
  </si>
  <si>
    <t>DCA GA South</t>
  </si>
  <si>
    <t>Misc. Admin Costs</t>
  </si>
  <si>
    <t>Personal Property Taxes</t>
  </si>
  <si>
    <t>Applicant belives that the proposed project is feasible, viable and in conformance with the plan. The overall development and construction costs are considered reasonable and were evaluated by an experienced General Contractor and Engineer. The Residential Square footages as defined in the Core application and Q&amp;A which include patios and balconies available for the exclusive use of tenants are:  1BR/1BA = 757 Sq.ft.  and 2BR/2BA = 961 Sq. ft.</t>
  </si>
  <si>
    <t>The total development cost for the project is below the cost limits for the Macon area.</t>
  </si>
  <si>
    <t>The Applicant is targeting a HFOP 55+ tenancy for the proposed project.</t>
  </si>
  <si>
    <t>Agree</t>
  </si>
  <si>
    <t>Applicant certifies that they will include the number and kinds of services required in the QAP for the proposed tenancy.</t>
  </si>
  <si>
    <t>Novogradac &amp; Company, LLP</t>
  </si>
  <si>
    <t>Three to Four Months</t>
  </si>
  <si>
    <t xml:space="preserve">There is not an identity of interest between the buyer and seller. An appraisal is not included in the application.                
</t>
  </si>
  <si>
    <t>Geotechnical &amp; Environmental Consultants, Inc</t>
  </si>
  <si>
    <t>N/Ap</t>
  </si>
  <si>
    <t xml:space="preserve">There will be a crossing over wetlands but the disturbance is not expected to exceed 0.1 acres              
</t>
  </si>
  <si>
    <t>Project did not receive HOME Funds.</t>
  </si>
  <si>
    <t>Purchase Contract</t>
  </si>
  <si>
    <t xml:space="preserve">The site is legally accessible by paved roads and documentation reflecting this is included in the application.  There is both an entry through Dulles Park that is documented via an easement in tab 9 and an alternate access directly to Old Clinton Rd.                
</t>
  </si>
  <si>
    <t>Operating Utiities Confirmed by Georgia Power</t>
  </si>
  <si>
    <t>Georgia Power Company</t>
  </si>
  <si>
    <t>Building</t>
  </si>
  <si>
    <t>Covered Porch</t>
  </si>
  <si>
    <t>Yes - W&amp;D hookups installed in each unit</t>
  </si>
  <si>
    <t>W&amp;D installed in each unit</t>
  </si>
  <si>
    <t>Zeffert &amp; Associates</t>
  </si>
  <si>
    <t>Applicant agrees to retain a DCA qualified consultant to monitor the project for accessibility compliance who will not be a member of the project team nor have an identity of interest with any members of the project team.</t>
  </si>
  <si>
    <t xml:space="preserve">Applicant agrees to meet all DCA requirements per the 2020 QAP and Architectural Standards                
</t>
  </si>
  <si>
    <t>Applicant will prepare and submit an AFFH Marketing plan if selected for funding.</t>
  </si>
  <si>
    <t>Applicant agrees to accept 811 PBRA or other DCA sponsored RA for 10% of the total restricted units.</t>
  </si>
  <si>
    <t>The Applicant believes the project as proposed is an optimal utilization of DCA resources and will provide much desired housing to the City of Gray and the surrounding area.</t>
  </si>
  <si>
    <t xml:space="preserve">33.00714 
</t>
  </si>
  <si>
    <t xml:space="preserve">Jones County Transit  
</t>
  </si>
  <si>
    <t xml:space="preserve">(478) 986-6432
</t>
  </si>
  <si>
    <t xml:space="preserve">jonestransit@mgcaa.org   
</t>
  </si>
  <si>
    <t xml:space="preserve">http://www.jonescountyga.org/county-directory/transit/   
</t>
  </si>
  <si>
    <t xml:space="preserve">Health screening and wellness education services         
</t>
  </si>
  <si>
    <t>monthly</t>
  </si>
  <si>
    <t xml:space="preserve">Healthy Eating Education   
</t>
  </si>
  <si>
    <t>Active Lifestyle Education</t>
  </si>
  <si>
    <t xml:space="preserve">TMC Management and Realty, Inc. will provide healthy eating monthly newsletters to residents free of charge         
</t>
  </si>
  <si>
    <t>Jones County - 684</t>
  </si>
  <si>
    <t xml:space="preserve">Gray Elementary School - 1550  
</t>
  </si>
  <si>
    <t xml:space="preserve">Gray Station Middle School - 0106  
</t>
  </si>
  <si>
    <t xml:space="preserve">Jones County High School - 0192  
</t>
  </si>
  <si>
    <t>Upper</t>
  </si>
  <si>
    <t>Gray / Jones County</t>
  </si>
  <si>
    <t>GP/LP equity</t>
  </si>
  <si>
    <t>No Debt Service Indicated</t>
  </si>
  <si>
    <t xml:space="preserve">Blood pressure checks, biometric screenings, BMI height and weight checks, glucose monitoring
</t>
  </si>
  <si>
    <t xml:space="preserve">Healthy eating, appropriate exercise, lifestyle changes and disease risk education appropriate to the resident population 
</t>
  </si>
  <si>
    <t xml:space="preserve">TMBB Consulting, Inc. will provide monthly preventive healthcare services and will act as the Health Service Coordinator for the services to ensure the services are carried out on a monthly basis and will monitor the progress of the program for reporting purposes.  In addition, TMC Management &amp; Realthy, Inc. will provide a Healthy Eating Initiative through its community garden and healthy eating education for its residents.  The cost for the Preventive Healthcare is estimated at $20,000 per year and the cost for associated with providing Healthy Eating Inititative is $3,500 per year, captured in the Revenues and Expenses tab within this core application. </t>
  </si>
  <si>
    <t xml:space="preserve">Please see Tab 1 for Insurance and Real Estate Tax documentation.  Applicant has budgeted $23,500 per year for costs related to Enriched property services; $20,000 for Preventive Health Care &amp; Health Service Coordinator  and $3,500 for the Healthy Eating Initiative. 
</t>
  </si>
  <si>
    <t>2019-060</t>
  </si>
  <si>
    <t>Direct</t>
  </si>
  <si>
    <t>See below</t>
  </si>
  <si>
    <t>2020PA-079</t>
  </si>
  <si>
    <t>Please see Tab 08 for site control through December 31, 2020.</t>
  </si>
  <si>
    <t>Water and Sewer Availability and Capacity confirmed by the City of Gray.</t>
  </si>
  <si>
    <t>Please see Tab 10 for evidence the project is in compliance with zoning regulations.</t>
  </si>
  <si>
    <t>Cable TV / Internet</t>
  </si>
  <si>
    <t>PK-5</t>
  </si>
  <si>
    <t>The project falls within the school boundaries of Gray Elementary School, Gray Station Middle School and Jones County Hgh School. Gray Elementary School has an average 2017-2019 CCRPI score above the minimum and is therefore eligible for one point.</t>
  </si>
  <si>
    <t>There has only been one 9% development awarded within the City of Gray Ploitical Jurisdiction within the last 15 years.</t>
  </si>
  <si>
    <t xml:space="preserve">Please see Tab 40 for documentation of the GICH support letter signed by the primary contact, Donald Black, stating support for the project and that the property lies within the GICH community boundaries. Also in Tab 40, there is the local government letter agreeing to the issuance of the letter from the GICH Team.            
</t>
  </si>
  <si>
    <t>Please see tab 28 of the application for documentation regarding Jones County Transit Services. Service is publicized to the general public, available to all residents of the proposed development and has a local route.</t>
  </si>
  <si>
    <t>The project is within two miles of numerous desirables, including but not limited to, grocery store, public school, restaurants, pharmacy, place of worship, bank and others. The project is eligible for 10 points in this scoring section and there are no undesirables.</t>
  </si>
  <si>
    <t xml:space="preserve">TMMB Consulting, LLC 
</t>
  </si>
  <si>
    <t xml:space="preserve">The proposed development is located in an area reporting an 8.05% poverty level, which is below the 10% poverty threshold .  The immediate area reports an Upper Income designation.  Further, the applicant is claiming 10 points for desirable activites.  Finally, the site is located in a census tract that is eligible for the Opportunity360 points.  Documentation to support the points claimed in this category may be found in Tab 33 Stable Communities folder.  </t>
  </si>
  <si>
    <t>Electric Heat Pump</t>
  </si>
  <si>
    <t>2003-049</t>
  </si>
  <si>
    <t>Dulles Park</t>
  </si>
  <si>
    <t>2014-018</t>
  </si>
  <si>
    <t>Water Tower Park Senior Village</t>
  </si>
  <si>
    <t>2004-031</t>
  </si>
  <si>
    <t>Pecan Hills of Milledgeville</t>
  </si>
  <si>
    <t>2008-049</t>
  </si>
  <si>
    <t>Bladwin Park</t>
  </si>
  <si>
    <t>2008-064</t>
  </si>
  <si>
    <t>Prairie Summit</t>
  </si>
  <si>
    <t>2012-220</t>
  </si>
  <si>
    <t>Heritage Vista</t>
  </si>
  <si>
    <t>The LIHTC comparables are experiencing a weighted average vacancy rate of 99.4% and three of the LIHTC senior properties (Baldwin Park, Water Tower Senior Village and Dulles Park) reporting vacancy at 0%. Futhermore, all three of those properties maintain waiting listsup to 75+ households. Please see Tab 5 of the Application for the Market Study.
Additional DCA funded projects in the PMA: 2001-009 Waterford Place Apartments, 1995-063 Edgewood Park, 2009-007 First Neighborhood, 2014-038 Hunt School and 2002-301 Grove Park Village.</t>
  </si>
  <si>
    <t xml:space="preserve">Applicant agrees to provide the above required amenities in conformance with DCA Amentities Guidebook. All buildings will be single-story.                
</t>
  </si>
  <si>
    <t xml:space="preserve">All site relevant site information available in tab 15.                
</t>
  </si>
  <si>
    <t xml:space="preserve">Applicant Worksheet exceeds requirements for Earthcraft MF designation and applicant has attended the appropriate Earthcraft Training. Documentation is included in Tab16 of the application.      
</t>
  </si>
  <si>
    <t>The project team has not changed since application. The qualification determination letter is included in Tab 19.</t>
  </si>
  <si>
    <t>N/A, site is vacant.</t>
  </si>
  <si>
    <t xml:space="preserve">"I.  The Applicant believes to have fully completed the proposed application.
II. The overall AMI percentage for each affordable unit is 57.92%.
IV. Rural Public Transportation will be available to the residents at Dulles Park II through Jones County Transit. Please see Tab 28 for community transportation documentation.
V. The proposed development will offer enriched property services including Preventive Health Care under a MOU with a local health care provider, Jones County Health Department. Additionally, the Applicant agrees to provide a Healthy Eating Initiative at the proposed. Monthly educational newsletters will be provide free of charge to the residents at Dulles Park II.
IX.   The proposed project is located in a census tract that has a poverty level of 8.05% and is designated as an Upper Income level. Additionally, the census tract scores two Opportunity360 report  points for Healthy and Well-being and Economic Security. Please see Tab 33 for the Stable Communities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t>
  </si>
  <si>
    <t>Magita Inc is proposing to develop a 48 unit senior, 55+ complex in Gray, Ga to be named Dulles Park II. The site is located adjacent to the original Dulles Park, which was developed by related parties some 15 years ago, and will make use of existing city utilities. In spite of the fact that the original Dulles Park has some age on it, it remains a very desirable property, and well liked in the local community.
Like the original, Dulles Park II is designed to meet the needs of people fifty-five years or older in this area.
The development consists of 14 one bedroom and 34 two bedroom units restricted to a resident base for households making at or below 50% and 60% of AMI.
Dulles Park II offers amenities suited to the senior tenancy with a fully equipped fitness center, healthy eating and computer skills classes. The community is also within a ½ mile of Harvey’s Supermarket, pharmacies and multiple restaurants. It is also within a mile of Jones County Senior Center, parks and a church.
In addition, Dulles Park II‘s management company will promote a healthy eating and lifestyle initiative through monthly newsletters and a well-maintained Community Garden.</t>
  </si>
  <si>
    <t>Applicant has used the DCA Georgia south utility allowances for Rowhouse/Townhouse. Documentation is included in Tab 01 of the application.</t>
  </si>
  <si>
    <t>roya@potemkindevelopment.com</t>
  </si>
  <si>
    <t>Healthy Eating Initiative Expense</t>
  </si>
  <si>
    <t>2020-059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</si>
</sst>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s>
  <cellStyleXfs count="65">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43" fontId="2" fillId="0" borderId="0" applyFont="0" applyFill="0" applyBorder="0" applyAlignment="0" applyProtection="0"/>
    <xf numFmtId="9"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7" fillId="0" borderId="193">
      <alignment horizontal="left" vertical="center"/>
    </xf>
    <xf numFmtId="10" fontId="6" fillId="3" borderId="194" applyNumberFormat="0" applyBorder="0" applyAlignment="0" applyProtection="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7" fillId="0" borderId="198">
      <alignment horizontal="left" vertical="center"/>
    </xf>
  </cellStyleXfs>
  <cellXfs count="4297">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6" fillId="0" borderId="0" xfId="0" applyFont="1" applyFill="1" applyAlignment="1" applyProtection="1">
      <alignment horizontal="left"/>
    </xf>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92"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55" fillId="0" borderId="0" xfId="0" applyFont="1" applyFill="1" applyAlignment="1" applyProtection="1">
      <alignment horizontal="center" vertical="center"/>
    </xf>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6" fillId="13" borderId="3"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6"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86" fillId="0" borderId="0" xfId="0" applyFont="1" applyFill="1" applyBorder="1" applyAlignment="1" applyProtection="1"/>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7"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41" fillId="0" borderId="0" xfId="13" applyFont="1" applyAlignment="1" applyProtection="1">
      <alignment horizontal="centerContinuous"/>
    </xf>
    <xf numFmtId="0" fontId="11" fillId="0" borderId="0" xfId="13" applyFont="1" applyProtection="1"/>
    <xf numFmtId="0" fontId="27" fillId="0" borderId="0" xfId="13" applyFont="1" applyProtection="1"/>
    <xf numFmtId="175"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9"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9" fillId="0" borderId="0" xfId="13" applyFont="1" applyAlignment="1" applyProtection="1">
      <alignment vertical="center"/>
    </xf>
    <xf numFmtId="0" fontId="11"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22" fillId="0" borderId="0" xfId="13" applyFont="1" applyProtection="1"/>
    <xf numFmtId="0" fontId="153" fillId="0" borderId="0" xfId="13" applyFont="1" applyProtection="1"/>
    <xf numFmtId="0" fontId="54"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8"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24" fillId="0" borderId="0" xfId="13" applyFont="1" applyProtection="1"/>
    <xf numFmtId="166" fontId="5" fillId="0" borderId="86" xfId="13" applyNumberFormat="1" applyFont="1" applyBorder="1" applyAlignment="1" applyProtection="1">
      <alignment vertical="center"/>
    </xf>
    <xf numFmtId="0" fontId="5"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10" fillId="0" borderId="86"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15" fillId="0" borderId="52" xfId="13" applyFont="1" applyBorder="1" applyAlignment="1" applyProtection="1">
      <alignment horizontal="center" vertical="center"/>
    </xf>
    <xf numFmtId="0" fontId="18" fillId="0" borderId="0" xfId="13" applyFont="1" applyAlignment="1" applyProtection="1"/>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46"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93" fillId="0" borderId="0" xfId="0" applyFont="1" applyAlignment="1" applyProtection="1">
      <alignment vertical="center"/>
    </xf>
    <xf numFmtId="3" fontId="10" fillId="0" borderId="3" xfId="0" applyNumberFormat="1" applyFont="1" applyFill="1" applyBorder="1" applyAlignment="1" applyProtection="1">
      <alignment horizontal="center" vertical="center"/>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6" xfId="0" applyNumberFormat="1" applyFont="1" applyBorder="1" applyAlignment="1" applyProtection="1">
      <alignment horizontal="center"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3" fontId="6" fillId="0" borderId="0" xfId="0" applyNumberFormat="1" applyFont="1" applyBorder="1" applyAlignment="1" applyProtection="1">
      <alignment horizontal="center" vertical="center" wrapText="1"/>
    </xf>
    <xf numFmtId="3" fontId="6"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0" fontId="16" fillId="13" borderId="100"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9"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93" fillId="0" borderId="0" xfId="0" applyFont="1" applyAlignment="1" applyProtection="1">
      <alignment horizontal="left"/>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6"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00"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7" fillId="0" borderId="0" xfId="0" applyFont="1" applyFill="1" applyAlignment="1" applyProtection="1">
      <alignment vertical="center"/>
    </xf>
    <xf numFmtId="3" fontId="145"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4"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1" fillId="0" borderId="0" xfId="0" applyFont="1" applyAlignment="1" applyProtection="1">
      <alignment horizontal="center"/>
    </xf>
    <xf numFmtId="0" fontId="95"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47" fillId="0" borderId="8" xfId="0" applyFont="1" applyFill="1" applyBorder="1" applyAlignment="1" applyProtection="1">
      <alignment horizontal="center" vertical="center"/>
    </xf>
    <xf numFmtId="0" fontId="12"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93" fillId="0" borderId="0" xfId="0" applyFont="1" applyFill="1" applyProtection="1"/>
    <xf numFmtId="0" fontId="26" fillId="0" borderId="0" xfId="0" applyFont="1" applyFill="1" applyAlignment="1" applyProtection="1">
      <alignment horizontal="right" vertical="center"/>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86"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6" fillId="0" borderId="0" xfId="0" quotePrefix="1" applyFont="1" applyFill="1" applyBorder="1" applyAlignment="1" applyProtection="1">
      <alignment horizontal="right" vertical="center"/>
    </xf>
    <xf numFmtId="0" fontId="19"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10" fillId="0" borderId="112" xfId="0" applyNumberFormat="1" applyFont="1" applyFill="1" applyBorder="1" applyAlignment="1" applyProtection="1">
      <alignment horizontal="center" vertical="center"/>
    </xf>
    <xf numFmtId="38" fontId="10" fillId="0" borderId="15" xfId="0" applyNumberFormat="1" applyFont="1" applyFill="1" applyBorder="1" applyAlignment="1" applyProtection="1">
      <alignment horizontal="center" vertical="center"/>
    </xf>
    <xf numFmtId="0" fontId="55" fillId="0" borderId="85" xfId="0" quotePrefix="1" applyFont="1" applyFill="1" applyBorder="1" applyAlignment="1" applyProtection="1">
      <alignment vertical="top"/>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6" fillId="0" borderId="80" xfId="0" applyNumberFormat="1" applyFont="1" applyFill="1" applyBorder="1" applyAlignment="1" applyProtection="1">
      <alignment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10" fontId="6" fillId="0" borderId="116" xfId="0" applyNumberFormat="1" applyFont="1" applyFill="1" applyBorder="1" applyAlignment="1" applyProtection="1">
      <alignment horizontal="center" vertical="center" wrapText="1"/>
    </xf>
    <xf numFmtId="10" fontId="6"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89"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6"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5" fillId="0" borderId="0" xfId="0" applyFont="1" applyAlignment="1" applyProtection="1">
      <alignment horizontal="center"/>
    </xf>
    <xf numFmtId="0" fontId="15"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5" fillId="0" borderId="0" xfId="0" applyFont="1" applyAlignment="1" applyProtection="1">
      <alignment horizontal="right" vertical="center"/>
    </xf>
    <xf numFmtId="0" fontId="16" fillId="0" borderId="0" xfId="0" applyFont="1" applyAlignment="1" applyProtection="1">
      <alignment horizontal="left"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38" fontId="27" fillId="0" borderId="120" xfId="0" applyNumberFormat="1"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5" xfId="0" applyNumberFormat="1" applyFont="1" applyFill="1" applyBorder="1" applyAlignment="1" applyProtection="1">
      <alignment horizontal="center" vertical="center"/>
    </xf>
    <xf numFmtId="38" fontId="10" fillId="0" borderId="120"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10" fillId="0"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0" xfId="0" applyFont="1" applyFill="1" applyAlignment="1" applyProtection="1">
      <alignment horizontal="center" vertical="center" wrapText="1"/>
    </xf>
    <xf numFmtId="0" fontId="10" fillId="0" borderId="10" xfId="0" applyFont="1" applyFill="1" applyBorder="1" applyAlignment="1" applyProtection="1">
      <alignment horizontal="center" vertical="center"/>
    </xf>
    <xf numFmtId="0" fontId="10"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5"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0" fontId="23" fillId="0" borderId="0" xfId="0" applyFont="1" applyFill="1" applyAlignment="1" applyProtection="1">
      <alignment horizontal="left"/>
    </xf>
    <xf numFmtId="0" fontId="23"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20" fillId="0" borderId="85" xfId="0" applyFont="1" applyFill="1" applyBorder="1" applyProtection="1"/>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87" fillId="0" borderId="0" xfId="0" applyFont="1" applyFill="1" applyAlignment="1" applyProtection="1">
      <alignment vertical="center"/>
    </xf>
    <xf numFmtId="0" fontId="9" fillId="0" borderId="0" xfId="0" applyFont="1" applyBorder="1" applyAlignment="1" applyProtection="1"/>
    <xf numFmtId="0" fontId="9" fillId="0" borderId="0" xfId="0" applyFont="1" applyAlignment="1" applyProtection="1"/>
    <xf numFmtId="0" fontId="6"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6" fillId="0" borderId="0" xfId="0" applyFont="1" applyFill="1" applyAlignment="1" applyProtection="1">
      <alignment horizontal="left" wrapText="1"/>
    </xf>
    <xf numFmtId="0" fontId="156" fillId="0" borderId="0" xfId="0" applyFont="1" applyAlignment="1" applyProtection="1">
      <alignment horizontal="center" vertical="center"/>
    </xf>
    <xf numFmtId="0" fontId="100" fillId="0" borderId="0" xfId="0" applyFont="1" applyFill="1" applyProtection="1"/>
    <xf numFmtId="0" fontId="171"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1" fontId="5" fillId="0" borderId="0" xfId="12" applyNumberFormat="1" applyFont="1"/>
    <xf numFmtId="38" fontId="5" fillId="0" borderId="0" xfId="12" applyNumberFormat="1" applyFont="1"/>
    <xf numFmtId="181" fontId="5" fillId="0" borderId="0" xfId="28" applyNumberFormat="1" applyFont="1"/>
    <xf numFmtId="181"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1" fontId="5" fillId="0" borderId="0" xfId="28" applyNumberFormat="1" applyFont="1" applyAlignment="1">
      <alignment horizontal="center"/>
    </xf>
    <xf numFmtId="0" fontId="153"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38" fontId="5"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5" fillId="0" borderId="0" xfId="13" applyFont="1" applyAlignment="1" applyProtection="1">
      <alignment vertical="center"/>
    </xf>
    <xf numFmtId="0" fontId="15" fillId="0" borderId="0" xfId="13" applyFont="1" applyProtection="1"/>
    <xf numFmtId="0" fontId="12" fillId="0" borderId="0" xfId="13" applyFont="1" applyAlignment="1" applyProtection="1">
      <alignment vertical="center"/>
    </xf>
    <xf numFmtId="0" fontId="5"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5" fillId="13" borderId="0" xfId="13" applyFont="1" applyFill="1" applyAlignment="1" applyProtection="1">
      <alignment vertical="center"/>
    </xf>
    <xf numFmtId="0" fontId="171"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1"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1"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5" fillId="10" borderId="0" xfId="12" applyFont="1" applyFill="1"/>
    <xf numFmtId="10" fontId="203" fillId="10" borderId="0" xfId="0" applyNumberFormat="1" applyFont="1" applyFill="1"/>
    <xf numFmtId="0" fontId="201" fillId="10" borderId="0" xfId="0" applyFont="1" applyFill="1"/>
    <xf numFmtId="0" fontId="5" fillId="0" borderId="13" xfId="12" applyFont="1" applyBorder="1"/>
    <xf numFmtId="0" fontId="181"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204" fillId="0" borderId="0" xfId="0" applyFont="1" applyFill="1" applyBorder="1" applyProtection="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25" fillId="0" borderId="86" xfId="13" applyFont="1" applyBorder="1" applyAlignment="1" applyProtection="1">
      <alignment horizontal="center" vertical="center" wrapText="1"/>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5" fillId="10" borderId="0" xfId="13" applyFont="1" applyFill="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6"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0" fontId="5" fillId="10" borderId="0" xfId="13" applyFont="1" applyFill="1" applyAlignment="1" applyProtection="1">
      <alignment horizontal="right"/>
    </xf>
    <xf numFmtId="181"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1" fontId="5" fillId="0" borderId="0" xfId="13" applyNumberFormat="1" applyFont="1" applyProtection="1"/>
    <xf numFmtId="181" fontId="5" fillId="0" borderId="0" xfId="13" applyNumberFormat="1" applyFont="1" applyBorder="1" applyProtection="1"/>
    <xf numFmtId="181"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42"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4" fillId="0" borderId="82" xfId="1" applyNumberFormat="1" applyFont="1" applyFill="1" applyBorder="1" applyAlignment="1" applyProtection="1">
      <alignment vertical="center"/>
    </xf>
    <xf numFmtId="38" fontId="5" fillId="0" borderId="8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205"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8"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207" fillId="0" borderId="29" xfId="1" applyNumberFormat="1" applyFont="1" applyFill="1" applyBorder="1" applyAlignment="1" applyProtection="1">
      <alignment horizontal="center" vertical="center"/>
    </xf>
    <xf numFmtId="164" fontId="207" fillId="0" borderId="34" xfId="1" applyNumberFormat="1" applyFont="1" applyFill="1" applyBorder="1" applyAlignment="1" applyProtection="1">
      <alignment horizontal="center" vertical="center"/>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9"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14" fillId="0" borderId="123"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30" xfId="1" applyNumberFormat="1" applyFont="1" applyFill="1" applyBorder="1" applyAlignment="1" applyProtection="1">
      <alignment horizontal="right" vertical="center"/>
    </xf>
    <xf numFmtId="38" fontId="14" fillId="0" borderId="119"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9" xfId="0" applyNumberFormat="1" applyFont="1" applyFill="1" applyBorder="1" applyProtection="1"/>
    <xf numFmtId="38" fontId="5" fillId="0" borderId="108" xfId="0" applyNumberFormat="1" applyFont="1" applyFill="1" applyBorder="1" applyProtection="1"/>
    <xf numFmtId="38" fontId="5" fillId="0" borderId="110" xfId="0" applyNumberFormat="1" applyFont="1" applyFill="1" applyBorder="1" applyProtection="1"/>
    <xf numFmtId="38" fontId="5" fillId="0" borderId="129" xfId="1" applyNumberFormat="1" applyFont="1" applyFill="1" applyBorder="1" applyAlignment="1" applyProtection="1">
      <alignment horizontal="right" vertical="center"/>
    </xf>
    <xf numFmtId="38" fontId="5" fillId="0" borderId="123"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30" xfId="0" applyNumberFormat="1" applyFont="1" applyFill="1" applyBorder="1" applyProtection="1"/>
    <xf numFmtId="38" fontId="5" fillId="0" borderId="119" xfId="0" applyNumberFormat="1" applyFont="1" applyFill="1" applyBorder="1" applyProtection="1"/>
    <xf numFmtId="38" fontId="5" fillId="0" borderId="103" xfId="0" applyNumberFormat="1" applyFont="1" applyFill="1" applyBorder="1" applyProtection="1"/>
    <xf numFmtId="38" fontId="14" fillId="0" borderId="116"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18"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0" fillId="0" borderId="117" xfId="1" applyNumberFormat="1" applyFont="1" applyFill="1" applyBorder="1" applyAlignment="1" applyProtection="1">
      <alignment horizontal="right" vertical="center"/>
    </xf>
    <xf numFmtId="38" fontId="10" fillId="0" borderId="118"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11"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31"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110"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11"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31" xfId="1" applyNumberFormat="1" applyFont="1" applyFill="1" applyBorder="1" applyAlignment="1" applyProtection="1">
      <alignment horizontal="right" vertical="center"/>
    </xf>
    <xf numFmtId="38" fontId="5" fillId="0" borderId="130" xfId="1" applyNumberFormat="1" applyFont="1" applyFill="1" applyBorder="1" applyAlignment="1" applyProtection="1">
      <alignment horizontal="right" vertical="center"/>
    </xf>
    <xf numFmtId="38" fontId="5" fillId="0" borderId="119"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vertical="center"/>
    </xf>
    <xf numFmtId="38" fontId="5" fillId="0" borderId="123"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38" fontId="14" fillId="0" borderId="117" xfId="1" applyNumberFormat="1" applyFont="1" applyFill="1" applyBorder="1" applyAlignment="1" applyProtection="1">
      <alignment vertical="center"/>
    </xf>
    <xf numFmtId="38" fontId="14" fillId="0" borderId="118"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23" fillId="0" borderId="8" xfId="0" applyFont="1" applyFill="1" applyBorder="1" applyProtection="1"/>
    <xf numFmtId="0" fontId="16"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0" fontId="44" fillId="0" borderId="86" xfId="0"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top"/>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2" fillId="0" borderId="0" xfId="0" quotePrefix="1" applyFont="1" applyFill="1" applyAlignment="1" applyProtection="1">
      <alignment horizontal="center" vertical="top"/>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4" fillId="0" borderId="0" xfId="0" applyFont="1" applyFill="1" applyAlignment="1" applyProtection="1">
      <alignment wrapText="1"/>
    </xf>
    <xf numFmtId="0" fontId="20" fillId="0" borderId="0" xfId="0" applyFont="1" applyFill="1" applyAlignment="1" applyProtection="1">
      <alignment horizontal="left"/>
    </xf>
    <xf numFmtId="0" fontId="6" fillId="0" borderId="0" xfId="0" applyFont="1" applyAlignment="1" applyProtection="1">
      <alignment horizontal="right"/>
    </xf>
    <xf numFmtId="0" fontId="20" fillId="0" borderId="20" xfId="0" applyFont="1" applyFill="1" applyBorder="1" applyAlignment="1" applyProtection="1">
      <alignment vertical="center"/>
    </xf>
    <xf numFmtId="176" fontId="6" fillId="0" borderId="0" xfId="0" applyNumberFormat="1" applyFont="1" applyFill="1" applyBorder="1" applyAlignment="1" applyProtection="1">
      <alignment vertical="center"/>
    </xf>
    <xf numFmtId="0" fontId="6" fillId="0" borderId="7" xfId="0" applyFont="1" applyFill="1" applyBorder="1" applyAlignment="1" applyProtection="1">
      <alignment horizontal="right" vertical="center"/>
    </xf>
    <xf numFmtId="0" fontId="6" fillId="0" borderId="8" xfId="0" applyFont="1" applyFill="1" applyBorder="1" applyAlignment="1" applyProtection="1">
      <alignment horizontal="right" vertical="center"/>
    </xf>
    <xf numFmtId="0" fontId="142" fillId="0" borderId="0" xfId="0" applyFont="1" applyProtection="1"/>
    <xf numFmtId="0" fontId="214" fillId="0" borderId="0" xfId="0" applyFont="1" applyFill="1" applyBorder="1" applyAlignment="1" applyProtection="1">
      <alignment horizontal="right" vertical="center"/>
    </xf>
    <xf numFmtId="0" fontId="15" fillId="0" borderId="0" xfId="0" applyFont="1" applyAlignment="1" applyProtection="1">
      <alignment vertical="center" wrapText="1"/>
    </xf>
    <xf numFmtId="10" fontId="16" fillId="0" borderId="86" xfId="0" applyNumberFormat="1" applyFont="1" applyBorder="1" applyAlignment="1" applyProtection="1">
      <alignment horizontal="center" vertical="center"/>
    </xf>
    <xf numFmtId="38" fontId="10" fillId="0" borderId="132" xfId="0" applyNumberFormat="1" applyFont="1" applyFill="1" applyBorder="1" applyAlignment="1" applyProtection="1">
      <alignment horizontal="center" vertical="center"/>
    </xf>
    <xf numFmtId="0" fontId="16" fillId="0" borderId="0" xfId="0" applyFont="1" applyAlignment="1" applyProtection="1">
      <alignment horizontal="left" vertical="top" wrapText="1"/>
    </xf>
    <xf numFmtId="49" fontId="92" fillId="0" borderId="0" xfId="0" applyNumberFormat="1" applyFont="1" applyAlignment="1" applyProtection="1">
      <alignment horizontal="left"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21"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16"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6" fillId="0" borderId="0" xfId="0" applyFont="1" applyAlignment="1" applyProtection="1">
      <alignment vertical="center" wrapText="1"/>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6" fillId="0" borderId="0" xfId="0" applyFont="1" applyBorder="1" applyAlignment="1" applyProtection="1">
      <alignment vertical="center" wrapText="1"/>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19"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31" fillId="0" borderId="0" xfId="0" applyNumberFormat="1" applyFont="1" applyBorder="1" applyAlignment="1" applyProtection="1">
      <alignment horizontal="center" vertical="center" wrapText="1"/>
    </xf>
    <xf numFmtId="0" fontId="12"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15" fillId="0" borderId="0" xfId="0" applyFont="1" applyFill="1" applyBorder="1" applyAlignment="1" applyProtection="1">
      <alignment vertical="center" wrapText="1"/>
    </xf>
    <xf numFmtId="3" fontId="107" fillId="17" borderId="138" xfId="0" applyNumberFormat="1" applyFont="1" applyFill="1" applyBorder="1" applyAlignment="1" applyProtection="1">
      <alignment horizontal="center" vertical="center"/>
    </xf>
    <xf numFmtId="10" fontId="107" fillId="17" borderId="138" xfId="0" applyNumberFormat="1" applyFont="1" applyFill="1" applyBorder="1" applyAlignment="1" applyProtection="1">
      <alignment horizontal="center" vertical="center"/>
    </xf>
    <xf numFmtId="0" fontId="6" fillId="0" borderId="56" xfId="0" applyFont="1" applyBorder="1" applyAlignment="1" applyProtection="1">
      <alignment horizontal="left" vertical="center"/>
    </xf>
    <xf numFmtId="0" fontId="9" fillId="0" borderId="137" xfId="0" applyFont="1" applyBorder="1" applyAlignment="1" applyProtection="1">
      <alignment vertical="center"/>
    </xf>
    <xf numFmtId="0" fontId="20" fillId="0" borderId="137" xfId="0" applyFont="1" applyFill="1" applyBorder="1" applyAlignment="1" applyProtection="1">
      <alignment vertical="center"/>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6"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222"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0" fontId="16" fillId="13" borderId="136" xfId="0" applyFont="1" applyFill="1" applyBorder="1" applyAlignment="1" applyProtection="1">
      <alignment horizontal="center"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3" fillId="0" borderId="0" xfId="0" applyFont="1" applyFill="1" applyAlignment="1" applyProtection="1">
      <alignment vertical="top" wrapText="1"/>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24" fillId="0" borderId="81" xfId="0" applyFont="1" applyBorder="1" applyAlignment="1">
      <alignment horizontal="center"/>
    </xf>
    <xf numFmtId="0" fontId="6" fillId="0" borderId="0" xfId="0" applyFont="1" applyBorder="1"/>
    <xf numFmtId="0" fontId="225" fillId="0" borderId="0" xfId="0" applyFont="1" applyBorder="1"/>
    <xf numFmtId="9" fontId="225"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25"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5" fillId="0" borderId="0" xfId="0" applyFont="1" applyFill="1" applyBorder="1" applyAlignment="1" applyProtection="1">
      <alignment horizontal="right" vertical="center"/>
    </xf>
    <xf numFmtId="0" fontId="155" fillId="0" borderId="0" xfId="0" applyFont="1" applyFill="1" applyBorder="1" applyAlignment="1" applyProtection="1">
      <alignment horizontal="center" vertical="center" wrapText="1"/>
    </xf>
    <xf numFmtId="0" fontId="6" fillId="7" borderId="0" xfId="0" applyFont="1" applyFill="1" applyAlignment="1" applyProtection="1">
      <alignment vertical="center"/>
    </xf>
    <xf numFmtId="0" fontId="6" fillId="0" borderId="70" xfId="0" applyFont="1" applyFill="1" applyBorder="1" applyAlignment="1" applyProtection="1">
      <alignment horizontal="left" vertical="center"/>
    </xf>
    <xf numFmtId="0" fontId="6" fillId="0" borderId="83" xfId="0" applyFont="1" applyFill="1" applyBorder="1" applyAlignment="1" applyProtection="1">
      <alignment horizontal="left" vertical="center"/>
    </xf>
    <xf numFmtId="0" fontId="44" fillId="0" borderId="56" xfId="0" applyFont="1" applyFill="1" applyBorder="1" applyAlignment="1" applyProtection="1">
      <alignment horizontal="left" vertical="center"/>
    </xf>
    <xf numFmtId="3" fontId="107" fillId="0" borderId="70" xfId="0" applyNumberFormat="1" applyFont="1" applyFill="1" applyBorder="1" applyAlignment="1" applyProtection="1">
      <alignment horizontal="center" vertical="center"/>
    </xf>
    <xf numFmtId="3" fontId="107" fillId="0" borderId="83"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6" fillId="7" borderId="0" xfId="0" applyFont="1" applyFill="1" applyAlignment="1" applyProtection="1">
      <alignment horizontal="right" vertical="center"/>
    </xf>
    <xf numFmtId="0" fontId="44" fillId="0" borderId="0" xfId="0" applyFont="1" applyFill="1" applyBorder="1" applyAlignment="1" applyProtection="1">
      <alignment vertical="center" wrapText="1"/>
    </xf>
    <xf numFmtId="0" fontId="53" fillId="0" borderId="0" xfId="0" applyFont="1" applyFill="1" applyBorder="1" applyAlignment="1" applyProtection="1">
      <alignment vertical="center"/>
    </xf>
    <xf numFmtId="0" fontId="16" fillId="0" borderId="16" xfId="0"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0" fontId="16" fillId="0" borderId="18" xfId="0" applyFont="1" applyFill="1" applyBorder="1" applyAlignment="1" applyProtection="1">
      <alignment horizontal="center" vertical="center"/>
    </xf>
    <xf numFmtId="4" fontId="6" fillId="0" borderId="23" xfId="0" applyNumberFormat="1" applyFont="1" applyFill="1" applyBorder="1" applyAlignment="1" applyProtection="1">
      <alignment horizontal="center" vertical="center" wrapText="1"/>
    </xf>
    <xf numFmtId="4" fontId="6" fillId="0" borderId="25" xfId="0" applyNumberFormat="1" applyFont="1" applyFill="1" applyBorder="1" applyAlignment="1" applyProtection="1">
      <alignment horizontal="center" vertical="center" wrapText="1"/>
    </xf>
    <xf numFmtId="4" fontId="6" fillId="0" borderId="24" xfId="0" applyNumberFormat="1" applyFont="1" applyFill="1" applyBorder="1" applyAlignment="1" applyProtection="1">
      <alignment horizontal="center" vertical="center" wrapText="1"/>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2" fillId="0" borderId="0" xfId="0" applyFont="1" applyAlignment="1" applyProtection="1">
      <alignment horizontal="center"/>
    </xf>
    <xf numFmtId="0" fontId="16" fillId="0" borderId="0" xfId="0" applyFont="1" applyFill="1" applyBorder="1" applyProtection="1"/>
    <xf numFmtId="0" fontId="18" fillId="0" borderId="0" xfId="0" applyFont="1" applyAlignment="1" applyProtection="1">
      <alignment horizontal="right"/>
    </xf>
    <xf numFmtId="1" fontId="92" fillId="0" borderId="0" xfId="0" applyNumberFormat="1" applyFont="1" applyAlignment="1" applyProtection="1">
      <alignment vertical="center"/>
    </xf>
    <xf numFmtId="0" fontId="30" fillId="0" borderId="0" xfId="0" applyFont="1" applyAlignment="1" applyProtection="1">
      <alignment vertical="center"/>
    </xf>
    <xf numFmtId="0" fontId="92"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10" fillId="0" borderId="86" xfId="0" applyNumberFormat="1" applyFont="1" applyBorder="1" applyAlignment="1" applyProtection="1">
      <alignment horizontal="center" vertical="top" wrapText="1"/>
    </xf>
    <xf numFmtId="0" fontId="53" fillId="0" borderId="0" xfId="0" applyFont="1" applyProtection="1"/>
    <xf numFmtId="0" fontId="100" fillId="0" borderId="0" xfId="0" applyFont="1" applyAlignment="1" applyProtection="1">
      <alignment vertical="center" wrapText="1"/>
    </xf>
    <xf numFmtId="38" fontId="12" fillId="0" borderId="136" xfId="0" applyNumberFormat="1" applyFont="1" applyFill="1" applyBorder="1"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32"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6"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90"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90" fillId="0" borderId="156" xfId="33" applyFont="1" applyFill="1" applyBorder="1" applyAlignment="1">
      <alignment horizontal="center" wrapText="1"/>
    </xf>
    <xf numFmtId="0" fontId="76" fillId="0" borderId="12" xfId="33" applyFont="1" applyFill="1" applyBorder="1" applyAlignment="1">
      <alignment horizontal="center" wrapText="1"/>
    </xf>
    <xf numFmtId="164" fontId="90" fillId="0" borderId="12" xfId="34" applyNumberFormat="1" applyFont="1" applyFill="1" applyBorder="1" applyAlignment="1">
      <alignment horizontal="center" wrapText="1"/>
    </xf>
    <xf numFmtId="0" fontId="90"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3" fillId="0" borderId="0" xfId="0" applyFont="1" applyFill="1" applyAlignment="1" applyProtection="1">
      <alignment horizontal="right"/>
    </xf>
    <xf numFmtId="0" fontId="18" fillId="0" borderId="0" xfId="0" applyFont="1" applyProtection="1"/>
    <xf numFmtId="0" fontId="6" fillId="0" borderId="84" xfId="0" applyFont="1" applyBorder="1" applyAlignment="1" applyProtection="1">
      <alignment vertical="center"/>
    </xf>
    <xf numFmtId="0" fontId="13" fillId="0" borderId="0" xfId="0" applyFont="1" applyAlignment="1" applyProtection="1">
      <alignment horizontal="right" vertical="center"/>
    </xf>
    <xf numFmtId="0" fontId="92" fillId="0" borderId="0" xfId="0" applyFont="1" applyAlignment="1" applyProtection="1">
      <alignment horizontal="center" vertical="center"/>
    </xf>
    <xf numFmtId="49" fontId="92" fillId="0" borderId="0" xfId="0" applyNumberFormat="1" applyFont="1" applyAlignment="1" applyProtection="1">
      <alignment horizontal="center" vertical="center"/>
    </xf>
    <xf numFmtId="2" fontId="92" fillId="0" borderId="0" xfId="0" applyNumberFormat="1" applyFont="1" applyAlignment="1" applyProtection="1">
      <alignment horizontal="center" vertical="center"/>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86" fillId="0" borderId="0" xfId="0" applyFont="1" applyFill="1" applyAlignment="1" applyProtection="1">
      <alignment horizontal="left" vertical="center"/>
    </xf>
    <xf numFmtId="176" fontId="16" fillId="13" borderId="17"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top" wrapText="1"/>
    </xf>
    <xf numFmtId="0" fontId="6" fillId="0" borderId="0" xfId="0" applyFont="1" applyFill="1" applyAlignment="1" applyProtection="1">
      <alignment horizontal="center" wrapText="1"/>
    </xf>
    <xf numFmtId="0" fontId="93"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6" fillId="0" borderId="0" xfId="0" applyFont="1" applyFill="1" applyBorder="1" applyAlignment="1" applyProtection="1">
      <alignment wrapText="1"/>
    </xf>
    <xf numFmtId="0" fontId="100" fillId="0" borderId="0" xfId="0" applyFont="1" applyFill="1" applyBorder="1" applyAlignment="1" applyProtection="1">
      <alignment vertical="center" wrapText="1"/>
    </xf>
    <xf numFmtId="0" fontId="98" fillId="0" borderId="0"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204" fillId="0" borderId="0" xfId="0" applyFont="1" applyFill="1" applyProtection="1"/>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9" fillId="0" borderId="0" xfId="0" applyFont="1" applyFill="1" applyAlignment="1" applyProtection="1">
      <alignment vertical="center"/>
    </xf>
    <xf numFmtId="0" fontId="20" fillId="0" borderId="86" xfId="0" applyFont="1" applyFill="1" applyBorder="1" applyAlignment="1" applyProtection="1">
      <alignment horizontal="center" vertical="center"/>
    </xf>
    <xf numFmtId="0" fontId="20" fillId="0" borderId="86" xfId="0" quotePrefix="1" applyFont="1" applyFill="1" applyBorder="1" applyAlignment="1" applyProtection="1">
      <alignment horizontal="center" vertical="center"/>
    </xf>
    <xf numFmtId="0" fontId="113" fillId="0" borderId="0" xfId="0" applyFont="1" applyBorder="1" applyAlignment="1" applyProtection="1">
      <alignment horizontal="center" vertical="center" wrapText="1"/>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31" fillId="8" borderId="36" xfId="0" applyFont="1" applyFill="1" applyBorder="1" applyAlignment="1" applyProtection="1">
      <alignment vertical="center"/>
    </xf>
    <xf numFmtId="0" fontId="31" fillId="8" borderId="2" xfId="0" applyFont="1" applyFill="1" applyBorder="1" applyAlignment="1" applyProtection="1">
      <alignment vertical="center"/>
    </xf>
    <xf numFmtId="0" fontId="31" fillId="8" borderId="37" xfId="0" applyFont="1" applyFill="1" applyBorder="1" applyAlignment="1" applyProtection="1">
      <alignment vertical="center"/>
    </xf>
    <xf numFmtId="0" fontId="31" fillId="8" borderId="82" xfId="0" applyFont="1" applyFill="1" applyBorder="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8" fillId="0" borderId="0" xfId="0" applyFont="1" applyProtection="1"/>
    <xf numFmtId="0" fontId="94" fillId="0" borderId="0" xfId="0" applyFont="1" applyProtection="1"/>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247"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Alignment="1" applyProtection="1">
      <alignment vertical="top"/>
    </xf>
    <xf numFmtId="0" fontId="107" fillId="0" borderId="0" xfId="0" applyFont="1" applyFill="1" applyProtection="1"/>
    <xf numFmtId="0" fontId="12" fillId="0" borderId="0" xfId="0" applyFont="1" applyFill="1" applyBorder="1" applyAlignment="1" applyProtection="1">
      <alignment horizontal="right" vertical="top"/>
    </xf>
    <xf numFmtId="0" fontId="92" fillId="0" borderId="0" xfId="0" applyFont="1" applyFill="1" applyAlignment="1" applyProtection="1">
      <alignment horizontal="center" vertical="center"/>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3"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4"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3" fillId="0" borderId="0" xfId="0" applyFont="1" applyFill="1" applyBorder="1" applyAlignment="1" applyProtection="1">
      <alignment vertical="center" wrapText="1"/>
    </xf>
    <xf numFmtId="0" fontId="103" fillId="20" borderId="7" xfId="0" applyFont="1" applyFill="1" applyBorder="1" applyAlignment="1" applyProtection="1">
      <alignment vertical="center" wrapText="1"/>
    </xf>
    <xf numFmtId="0" fontId="103" fillId="20" borderId="0" xfId="0" applyFont="1" applyFill="1" applyBorder="1" applyAlignment="1" applyProtection="1">
      <alignment vertical="center" wrapText="1"/>
    </xf>
    <xf numFmtId="0" fontId="103" fillId="20" borderId="8" xfId="0" applyFont="1" applyFill="1" applyBorder="1" applyAlignment="1" applyProtection="1">
      <alignment vertical="center" wrapText="1"/>
    </xf>
    <xf numFmtId="0" fontId="103" fillId="0" borderId="7" xfId="0" applyFont="1" applyFill="1" applyBorder="1" applyAlignment="1" applyProtection="1">
      <alignment vertical="center" wrapText="1"/>
    </xf>
    <xf numFmtId="0" fontId="103" fillId="0" borderId="8" xfId="0" applyFont="1" applyFill="1" applyBorder="1" applyAlignment="1" applyProtection="1">
      <alignment vertical="center" wrapText="1"/>
    </xf>
    <xf numFmtId="0" fontId="18" fillId="0" borderId="0" xfId="0" applyFont="1" applyFill="1" applyProtection="1"/>
    <xf numFmtId="0" fontId="217" fillId="0" borderId="0" xfId="0" applyFont="1" applyFill="1" applyBorder="1" applyAlignment="1" applyProtection="1">
      <alignment horizontal="left" vertical="center"/>
    </xf>
    <xf numFmtId="0" fontId="94"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xf>
    <xf numFmtId="0" fontId="251"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252" fillId="0" borderId="0" xfId="0" applyFont="1" applyFill="1" applyBorder="1" applyAlignment="1" applyProtection="1">
      <alignment horizontal="left" vertical="center"/>
    </xf>
    <xf numFmtId="0" fontId="104"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04" fillId="0" borderId="0" xfId="0" applyFont="1" applyFill="1" applyBorder="1" applyAlignment="1" applyProtection="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pplyProtection="1">
      <alignment horizontal="right" vertical="center"/>
    </xf>
    <xf numFmtId="0" fontId="104" fillId="0" borderId="0" xfId="0" applyFont="1" applyFill="1" applyBorder="1" applyAlignment="1" applyProtection="1"/>
    <xf numFmtId="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1" fontId="104" fillId="0" borderId="0" xfId="1" applyNumberFormat="1" applyFont="1" applyFill="1" applyBorder="1" applyAlignment="1" applyProtection="1">
      <alignment horizontal="center" vertical="center"/>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74" fontId="104" fillId="0" borderId="0" xfId="10" applyNumberFormat="1" applyFont="1" applyFill="1" applyBorder="1" applyAlignment="1" applyProtection="1">
      <alignment vertical="center"/>
    </xf>
    <xf numFmtId="0" fontId="252" fillId="0" borderId="0" xfId="0" applyFont="1" applyFill="1" applyBorder="1" applyAlignment="1" applyProtection="1">
      <alignment vertical="center"/>
    </xf>
    <xf numFmtId="166" fontId="104" fillId="0" borderId="0" xfId="1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53" fillId="0" borderId="0" xfId="0" applyNumberFormat="1" applyFont="1" applyFill="1" applyBorder="1" applyAlignment="1" applyProtection="1">
      <alignment vertical="center"/>
    </xf>
    <xf numFmtId="37" fontId="104" fillId="0" borderId="0" xfId="1" applyNumberFormat="1" applyFont="1" applyFill="1" applyBorder="1" applyAlignment="1" applyProtection="1">
      <alignment vertical="center"/>
    </xf>
    <xf numFmtId="6" fontId="10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8" fontId="104"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253"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0" fontId="252" fillId="0" borderId="0" xfId="0" applyFont="1" applyFill="1" applyBorder="1" applyAlignment="1" applyProtection="1">
      <alignment vertical="top"/>
    </xf>
    <xf numFmtId="16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center" vertical="center"/>
    </xf>
    <xf numFmtId="0" fontId="94" fillId="0" borderId="0" xfId="13" applyFont="1" applyFill="1" applyBorder="1" applyAlignment="1" applyProtection="1">
      <alignment vertical="center"/>
    </xf>
    <xf numFmtId="0" fontId="97" fillId="0" borderId="0" xfId="13" applyFont="1" applyFill="1" applyBorder="1" applyAlignment="1" applyProtection="1">
      <alignmen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38"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pplyProtection="1">
      <alignment horizontal="left" vertical="center"/>
    </xf>
    <xf numFmtId="0" fontId="98" fillId="0" borderId="0" xfId="0" applyFont="1" applyFill="1" applyBorder="1" applyAlignment="1" applyProtection="1">
      <alignment horizontal="lef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vertical="center"/>
    </xf>
    <xf numFmtId="0" fontId="98" fillId="0" borderId="0" xfId="0" applyFont="1" applyFill="1" applyBorder="1" applyAlignment="1" applyProtection="1"/>
    <xf numFmtId="164" fontId="98" fillId="0" borderId="0" xfId="1" applyNumberFormat="1" applyFont="1" applyFill="1" applyBorder="1" applyAlignment="1" applyProtection="1">
      <alignment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right" vertic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left"/>
    </xf>
    <xf numFmtId="10" fontId="9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vertical="center"/>
    </xf>
    <xf numFmtId="0" fontId="95" fillId="0" borderId="0" xfId="0" applyFont="1" applyFill="1" applyBorder="1" applyAlignment="1" applyProtection="1">
      <alignment vertical="top"/>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horizontal="righ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top"/>
    </xf>
    <xf numFmtId="0" fontId="95" fillId="0" borderId="0" xfId="0" applyFont="1" applyFill="1" applyBorder="1" applyAlignment="1" applyProtection="1">
      <alignment horizontal="right"/>
    </xf>
    <xf numFmtId="0" fontId="95" fillId="0" borderId="0" xfId="0" applyFont="1" applyFill="1" applyBorder="1" applyAlignment="1" applyProtection="1">
      <alignment horizontal="left"/>
    </xf>
    <xf numFmtId="0" fontId="95" fillId="0" borderId="0" xfId="0" applyFont="1" applyFill="1" applyBorder="1" applyAlignment="1" applyProtection="1"/>
    <xf numFmtId="3" fontId="95" fillId="0" borderId="0" xfId="0" applyNumberFormat="1" applyFont="1" applyFill="1" applyBorder="1" applyAlignment="1" applyProtection="1">
      <alignment horizontal="center"/>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right" vertical="center"/>
    </xf>
    <xf numFmtId="0" fontId="95"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0" fontId="204" fillId="0" borderId="0" xfId="0" applyFont="1" applyFill="1" applyBorder="1" applyAlignment="1" applyProtection="1"/>
    <xf numFmtId="0" fontId="254" fillId="0" borderId="0" xfId="0"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xf numFmtId="0" fontId="97" fillId="0" borderId="0" xfId="0" applyFont="1" applyFill="1" applyBorder="1" applyAlignment="1" applyProtection="1">
      <alignment vertical="top"/>
    </xf>
    <xf numFmtId="0" fontId="259" fillId="0" borderId="0" xfId="0"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9" fontId="98" fillId="0" borderId="0" xfId="1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0" fontId="97" fillId="0" borderId="0" xfId="0" applyFont="1" applyFill="1" applyBorder="1" applyAlignment="1" applyProtection="1">
      <alignment horizontal="center"/>
    </xf>
    <xf numFmtId="0" fontId="260" fillId="0" borderId="0" xfId="0" applyFont="1" applyFill="1" applyBorder="1" applyAlignment="1" applyProtection="1">
      <alignment vertical="center"/>
    </xf>
    <xf numFmtId="0" fontId="251" fillId="0" borderId="0" xfId="0" applyFont="1" applyFill="1" applyBorder="1" applyAlignment="1" applyProtection="1">
      <alignment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top"/>
    </xf>
    <xf numFmtId="0" fontId="95" fillId="0" borderId="0" xfId="0" quotePrefix="1" applyFont="1" applyFill="1" applyBorder="1" applyAlignment="1" applyProtection="1">
      <alignment horizontal="center" vertical="top"/>
    </xf>
    <xf numFmtId="0" fontId="95"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0" fontId="132" fillId="0" borderId="0" xfId="0" applyFont="1" applyFill="1" applyBorder="1" applyAlignment="1" applyProtection="1">
      <alignment vertical="center"/>
    </xf>
    <xf numFmtId="3" fontId="95"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49" fontId="95" fillId="0" borderId="0" xfId="0" applyNumberFormat="1" applyFont="1" applyFill="1" applyBorder="1" applyAlignment="1" applyProtection="1">
      <alignment horizontal="left" vertical="center"/>
    </xf>
    <xf numFmtId="176"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vertical="center"/>
    </xf>
    <xf numFmtId="174" fontId="95" fillId="0" borderId="0" xfId="0" applyNumberFormat="1" applyFont="1" applyFill="1" applyBorder="1" applyAlignment="1" applyProtection="1">
      <alignment vertical="center"/>
    </xf>
    <xf numFmtId="0" fontId="94" fillId="0" borderId="0" xfId="0" applyFont="1" applyFill="1" applyBorder="1" applyAlignment="1" applyProtection="1">
      <alignment horizontal="left" vertical="top"/>
    </xf>
    <xf numFmtId="0" fontId="98" fillId="0" borderId="0" xfId="0" applyFont="1" applyFill="1" applyBorder="1" applyAlignment="1" applyProtection="1">
      <alignment horizontal="right" vertical="top"/>
    </xf>
    <xf numFmtId="49" fontId="95"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0" fontId="258" fillId="0" borderId="0" xfId="0" applyFont="1" applyFill="1" applyBorder="1" applyAlignment="1" applyProtection="1">
      <alignment horizontal="right" vertical="center"/>
    </xf>
    <xf numFmtId="2" fontId="95"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0" fontId="253" fillId="0" borderId="0" xfId="0"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left" vertical="top"/>
    </xf>
    <xf numFmtId="38" fontId="254" fillId="0" borderId="0" xfId="0" applyNumberFormat="1" applyFont="1" applyFill="1" applyBorder="1" applyAlignment="1" applyProtection="1">
      <alignment horizontal="center" vertical="center"/>
    </xf>
    <xf numFmtId="0" fontId="94" fillId="0" borderId="0" xfId="0" applyFont="1" applyFill="1" applyBorder="1" applyAlignment="1" applyProtection="1"/>
    <xf numFmtId="49" fontId="44" fillId="0" borderId="142"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9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7" fontId="118" fillId="0" borderId="20" xfId="13" applyNumberFormat="1" applyFont="1" applyBorder="1" applyAlignment="1">
      <alignment horizontal="center"/>
    </xf>
    <xf numFmtId="0" fontId="118"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3" fillId="0" borderId="83" xfId="13" applyFont="1" applyBorder="1" applyAlignment="1" applyProtection="1">
      <alignment horizontal="center"/>
    </xf>
    <xf numFmtId="0" fontId="5" fillId="0" borderId="13" xfId="13" applyFont="1" applyBorder="1" applyProtection="1"/>
    <xf numFmtId="0" fontId="5" fillId="0" borderId="85" xfId="13" applyFont="1" applyBorder="1" applyProtection="1"/>
    <xf numFmtId="3" fontId="100" fillId="10" borderId="13" xfId="13" applyNumberFormat="1" applyFont="1" applyFill="1" applyBorder="1" applyAlignment="1" applyProtection="1">
      <alignment horizontal="center" vertical="center"/>
    </xf>
    <xf numFmtId="0" fontId="10" fillId="0" borderId="0" xfId="13" applyFont="1" applyAlignment="1" applyProtection="1">
      <alignment horizontal="center" vertical="center"/>
    </xf>
    <xf numFmtId="3" fontId="92" fillId="10" borderId="59" xfId="13" applyNumberFormat="1" applyFont="1" applyFill="1" applyBorder="1" applyAlignment="1" applyProtection="1">
      <alignment horizontal="center" vertical="center"/>
    </xf>
    <xf numFmtId="3" fontId="92" fillId="10" borderId="91" xfId="13" applyNumberFormat="1" applyFont="1" applyFill="1" applyBorder="1" applyAlignment="1" applyProtection="1">
      <alignment horizontal="center" vertical="center"/>
    </xf>
    <xf numFmtId="0" fontId="5" fillId="0" borderId="0" xfId="13" applyFont="1" applyAlignment="1" applyProtection="1">
      <alignment horizontal="right" vertical="center"/>
    </xf>
    <xf numFmtId="0" fontId="5" fillId="0" borderId="0" xfId="13" applyFont="1" applyAlignment="1" applyProtection="1">
      <alignment horizontal="center" vertical="center" wrapText="1"/>
    </xf>
    <xf numFmtId="0" fontId="7" fillId="0" borderId="0" xfId="13" applyFont="1" applyAlignment="1" applyProtection="1">
      <alignment horizontal="center" wrapText="1"/>
    </xf>
    <xf numFmtId="0" fontId="112" fillId="0" borderId="0" xfId="13" applyFont="1" applyAlignment="1" applyProtection="1">
      <alignment horizontal="center" wrapText="1"/>
    </xf>
    <xf numFmtId="0" fontId="7" fillId="0" borderId="13" xfId="13" applyFont="1" applyBorder="1" applyAlignment="1" applyProtection="1">
      <alignment horizontal="center" wrapText="1"/>
    </xf>
    <xf numFmtId="0" fontId="7" fillId="0" borderId="0" xfId="13" applyFont="1" applyAlignment="1" applyProtection="1">
      <alignment horizontal="center" vertical="center" wrapText="1"/>
    </xf>
    <xf numFmtId="0" fontId="7" fillId="0" borderId="85" xfId="13" applyFont="1" applyBorder="1" applyAlignment="1" applyProtection="1">
      <alignment horizontal="center" wrapText="1"/>
    </xf>
    <xf numFmtId="0" fontId="112"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10" fillId="0" borderId="13" xfId="13" applyFont="1" applyBorder="1" applyAlignment="1" applyProtection="1">
      <alignment horizontal="center"/>
    </xf>
    <xf numFmtId="0" fontId="10" fillId="0" borderId="13" xfId="13" applyFont="1" applyBorder="1" applyAlignment="1" applyProtection="1">
      <alignment horizontal="center" vertical="center"/>
    </xf>
    <xf numFmtId="0" fontId="10" fillId="0" borderId="85" xfId="13" applyFont="1" applyBorder="1" applyAlignment="1" applyProtection="1">
      <alignment horizontal="center" vertical="center"/>
    </xf>
    <xf numFmtId="0" fontId="263"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95" fillId="0" borderId="0" xfId="6" applyFont="1" applyFill="1" applyBorder="1" applyAlignment="1" applyProtection="1">
      <alignment vertical="center"/>
    </xf>
    <xf numFmtId="0" fontId="97" fillId="0" borderId="0" xfId="6" applyFont="1" applyFill="1" applyBorder="1" applyAlignment="1" applyProtection="1">
      <alignment vertical="center"/>
    </xf>
    <xf numFmtId="166" fontId="104" fillId="0" borderId="0" xfId="10" applyNumberFormat="1" applyFont="1" applyFill="1" applyBorder="1" applyAlignment="1" applyProtection="1">
      <alignment horizontal="center" vertical="center"/>
    </xf>
    <xf numFmtId="10" fontId="104" fillId="0" borderId="0" xfId="10" applyNumberFormat="1" applyFont="1" applyFill="1" applyBorder="1" applyAlignment="1" applyProtection="1">
      <alignment horizontal="center" vertical="center"/>
    </xf>
    <xf numFmtId="49" fontId="104" fillId="0" borderId="0" xfId="0" applyNumberFormat="1" applyFont="1" applyFill="1" applyBorder="1" applyAlignment="1" applyProtection="1">
      <alignment vertical="center"/>
    </xf>
    <xf numFmtId="0" fontId="104" fillId="0" borderId="0" xfId="0" quotePrefix="1" applyFont="1" applyFill="1" applyBorder="1" applyAlignment="1" applyProtection="1"/>
    <xf numFmtId="0" fontId="104" fillId="0" borderId="0" xfId="0" quotePrefix="1" applyFont="1" applyFill="1" applyBorder="1" applyAlignment="1" applyProtection="1">
      <alignment horizontal="right"/>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xf>
    <xf numFmtId="0" fontId="252" fillId="0" borderId="0" xfId="0" applyFont="1" applyFill="1" applyBorder="1" applyAlignment="1" applyProtection="1"/>
    <xf numFmtId="49" fontId="251"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0" fontId="251"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63" fillId="0" borderId="0" xfId="0" applyFont="1" applyFill="1" applyBorder="1" applyAlignment="1" applyProtection="1">
      <alignment horizontal="center" vertical="center"/>
    </xf>
    <xf numFmtId="164" fontId="104"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37" fontId="252" fillId="0" borderId="0" xfId="0" applyNumberFormat="1" applyFont="1" applyFill="1" applyBorder="1" applyAlignment="1" applyProtection="1">
      <alignment horizontal="center" vertical="center"/>
    </xf>
    <xf numFmtId="4" fontId="104"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vertical="center"/>
    </xf>
    <xf numFmtId="4" fontId="104" fillId="0" borderId="0" xfId="0" applyNumberFormat="1" applyFont="1" applyFill="1" applyBorder="1" applyAlignment="1" applyProtection="1">
      <alignment vertical="center"/>
    </xf>
    <xf numFmtId="4" fontId="104" fillId="0" borderId="0" xfId="0" applyNumberFormat="1" applyFont="1" applyFill="1" applyBorder="1" applyAlignment="1" applyProtection="1">
      <alignment horizontal="left"/>
    </xf>
    <xf numFmtId="37"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xf numFmtId="164" fontId="97" fillId="0" borderId="0" xfId="1" applyNumberFormat="1" applyFont="1" applyFill="1" applyBorder="1" applyAlignment="1" applyProtection="1">
      <alignment horizontal="left" vertical="center"/>
    </xf>
    <xf numFmtId="3" fontId="252" fillId="0" borderId="0" xfId="0" applyNumberFormat="1" applyFont="1" applyFill="1" applyBorder="1" applyAlignment="1" applyProtection="1">
      <alignment horizontal="left" vertical="center"/>
    </xf>
    <xf numFmtId="38" fontId="104"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left" vertical="top"/>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252" fillId="0" borderId="0" xfId="1" applyNumberFormat="1" applyFont="1" applyFill="1" applyBorder="1" applyAlignment="1" applyProtection="1">
      <alignment vertical="top"/>
    </xf>
    <xf numFmtId="0" fontId="97" fillId="0" borderId="0" xfId="13" applyFont="1" applyFill="1" applyBorder="1" applyAlignment="1" applyProtection="1">
      <alignment horizontal="right" vertical="center"/>
    </xf>
    <xf numFmtId="49" fontId="94" fillId="0" borderId="0" xfId="0" applyNumberFormat="1" applyFont="1" applyFill="1" applyBorder="1" applyAlignment="1" applyProtection="1"/>
    <xf numFmtId="0" fontId="98" fillId="0" borderId="0" xfId="0" applyFont="1" applyFill="1" applyBorder="1" applyAlignment="1" applyProtection="1">
      <alignment textRotation="90"/>
    </xf>
    <xf numFmtId="49" fontId="94" fillId="0" borderId="0" xfId="0" quotePrefix="1" applyNumberFormat="1" applyFont="1" applyFill="1" applyBorder="1" applyAlignment="1" applyProtection="1">
      <alignment vertical="center"/>
    </xf>
    <xf numFmtId="0"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top"/>
    </xf>
    <xf numFmtId="0" fontId="255"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2" fontId="98" fillId="0" borderId="0" xfId="0" applyNumberFormat="1" applyFont="1" applyFill="1" applyBorder="1" applyAlignment="1" applyProtection="1">
      <alignment vertical="top"/>
    </xf>
    <xf numFmtId="0" fontId="94"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right"/>
    </xf>
    <xf numFmtId="38" fontId="94" fillId="0" borderId="0" xfId="0" applyNumberFormat="1" applyFont="1" applyFill="1" applyBorder="1" applyAlignment="1" applyProtection="1"/>
    <xf numFmtId="0" fontId="94" fillId="0" borderId="0" xfId="0" quotePrefix="1" applyFont="1" applyFill="1" applyBorder="1" applyAlignment="1" applyProtection="1">
      <alignment horizontal="center" vertical="center"/>
    </xf>
    <xf numFmtId="10" fontId="98" fillId="0" borderId="0" xfId="0" applyNumberFormat="1" applyFont="1" applyFill="1" applyBorder="1" applyAlignment="1" applyProtection="1"/>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1" fontId="94" fillId="0" borderId="0" xfId="0" applyNumberFormat="1" applyFont="1" applyFill="1" applyBorder="1" applyAlignment="1" applyProtection="1"/>
    <xf numFmtId="0" fontId="98"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right"/>
    </xf>
    <xf numFmtId="164" fontId="94" fillId="0" borderId="0" xfId="1" applyNumberFormat="1" applyFont="1" applyFill="1" applyBorder="1" applyAlignment="1" applyProtection="1"/>
    <xf numFmtId="0" fontId="264" fillId="0" borderId="0" xfId="0" applyFont="1" applyFill="1" applyBorder="1" applyAlignment="1" applyProtection="1">
      <alignment vertical="center"/>
    </xf>
    <xf numFmtId="0" fontId="132" fillId="0" borderId="0" xfId="0" applyFont="1" applyFill="1" applyBorder="1" applyAlignment="1" applyProtection="1"/>
    <xf numFmtId="0" fontId="261" fillId="0" borderId="0" xfId="0"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top"/>
    </xf>
    <xf numFmtId="3" fontId="95" fillId="0" borderId="0" xfId="0" applyNumberFormat="1" applyFont="1" applyFill="1" applyBorder="1" applyAlignment="1" applyProtection="1">
      <alignment horizontal="center" vertical="top"/>
    </xf>
    <xf numFmtId="0" fontId="95" fillId="0" borderId="0" xfId="0" applyFont="1" applyFill="1" applyBorder="1" applyAlignment="1" applyProtection="1">
      <alignment horizontal="justify" vertical="top"/>
    </xf>
    <xf numFmtId="3" fontId="97" fillId="0" borderId="0" xfId="0" applyNumberFormat="1" applyFont="1" applyFill="1" applyBorder="1" applyAlignment="1" applyProtection="1">
      <alignment horizontal="center" vertical="top"/>
    </xf>
    <xf numFmtId="6" fontId="132" fillId="0" borderId="0" xfId="0" applyNumberFormat="1" applyFont="1" applyFill="1" applyBorder="1" applyAlignment="1" applyProtection="1">
      <alignment vertical="center"/>
    </xf>
    <xf numFmtId="3" fontId="261"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1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166"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left" vertical="center"/>
    </xf>
    <xf numFmtId="175"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justify" vertical="center"/>
    </xf>
    <xf numFmtId="1" fontId="95" fillId="0" borderId="0" xfId="0"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vertical="center"/>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8" fontId="98" fillId="0" borderId="0" xfId="0" applyNumberFormat="1" applyFont="1" applyFill="1" applyBorder="1" applyAlignment="1" applyProtection="1">
      <alignment vertical="center"/>
    </xf>
    <xf numFmtId="9"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top"/>
    </xf>
    <xf numFmtId="0" fontId="94" fillId="0" borderId="0" xfId="0" quotePrefix="1" applyFont="1" applyFill="1" applyBorder="1" applyAlignment="1" applyProtection="1">
      <alignment vertical="center"/>
    </xf>
    <xf numFmtId="0" fontId="98" fillId="0" borderId="0" xfId="0" quotePrefix="1" applyFont="1" applyFill="1" applyBorder="1" applyAlignment="1" applyProtection="1">
      <alignment horizontal="center" vertical="top"/>
    </xf>
    <xf numFmtId="9" fontId="95" fillId="0" borderId="0" xfId="10" applyFont="1" applyFill="1" applyBorder="1" applyAlignment="1" applyProtection="1">
      <alignment horizontal="center" vertical="top"/>
    </xf>
    <xf numFmtId="0" fontId="94"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4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0" fillId="0" borderId="0" xfId="0" applyFont="1" applyFill="1" applyBorder="1" applyAlignment="1" applyProtection="1"/>
    <xf numFmtId="0" fontId="255" fillId="0" borderId="0" xfId="0" applyFont="1" applyFill="1" applyBorder="1" applyAlignment="1" applyProtection="1">
      <alignment horizontal="center" vertical="center"/>
    </xf>
    <xf numFmtId="0" fontId="255" fillId="0" borderId="0" xfId="0" applyFont="1" applyFill="1" applyBorder="1" applyAlignment="1" applyProtection="1"/>
    <xf numFmtId="38" fontId="94" fillId="0" borderId="0" xfId="0" applyNumberFormat="1"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0" fontId="261" fillId="0" borderId="0" xfId="0" applyFont="1" applyFill="1" applyBorder="1" applyAlignment="1" applyProtection="1">
      <alignment vertical="top"/>
    </xf>
    <xf numFmtId="4" fontId="95"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38" fontId="98" fillId="0" borderId="0" xfId="0" applyNumberFormat="1" applyFont="1" applyFill="1" applyBorder="1" applyAlignment="1" applyProtection="1">
      <alignment horizontal="center" vertical="top"/>
    </xf>
    <xf numFmtId="0" fontId="98" fillId="0" borderId="0" xfId="0" applyFont="1" applyFill="1" applyBorder="1" applyAlignment="1" applyProtection="1">
      <alignment vertical="center" textRotation="90"/>
    </xf>
    <xf numFmtId="0" fontId="261" fillId="0" borderId="0" xfId="0" applyFont="1" applyFill="1" applyBorder="1" applyAlignment="1" applyProtection="1">
      <alignment horizontal="center" vertical="center"/>
    </xf>
    <xf numFmtId="0" fontId="98" fillId="0" borderId="0" xfId="0" quotePrefix="1" applyFont="1" applyFill="1" applyBorder="1" applyAlignment="1" applyProtection="1">
      <alignment vertical="top"/>
    </xf>
    <xf numFmtId="0" fontId="253" fillId="0" borderId="0" xfId="0" applyFont="1" applyFill="1" applyBorder="1" applyAlignment="1" applyProtection="1"/>
    <xf numFmtId="38" fontId="98" fillId="0" borderId="0" xfId="0" applyNumberFormat="1" applyFont="1" applyFill="1" applyBorder="1" applyAlignment="1" applyProtection="1">
      <alignment horizontal="left" vertical="center"/>
    </xf>
    <xf numFmtId="0" fontId="265" fillId="0" borderId="0" xfId="0"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8" fillId="0" borderId="0" xfId="0" quotePrefix="1" applyFont="1" applyFill="1" applyBorder="1" applyAlignment="1" applyProtection="1">
      <alignment horizontal="lef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258" fillId="0" borderId="0" xfId="0" applyFont="1" applyFill="1" applyBorder="1" applyAlignment="1" applyProtection="1"/>
    <xf numFmtId="0" fontId="104" fillId="0" borderId="0" xfId="0" quotePrefix="1" applyFont="1" applyFill="1" applyBorder="1" applyAlignment="1" applyProtection="1">
      <alignment horizontal="center"/>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1" fontId="104" fillId="0" borderId="0" xfId="1" applyNumberFormat="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75" fontId="104" fillId="0" borderId="0" xfId="0" applyNumberFormat="1" applyFont="1" applyFill="1" applyBorder="1" applyAlignment="1" applyProtection="1">
      <alignment vertical="center"/>
    </xf>
    <xf numFmtId="1" fontId="104" fillId="0" borderId="0" xfId="0" applyNumberFormat="1" applyFont="1" applyFill="1" applyBorder="1" applyAlignment="1" applyProtection="1">
      <alignment horizontal="center" vertical="center"/>
    </xf>
    <xf numFmtId="6" fontId="104"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37" fontId="104" fillId="0" borderId="0" xfId="0" applyNumberFormat="1" applyFont="1" applyFill="1" applyBorder="1" applyAlignment="1" applyProtection="1">
      <alignment vertical="center"/>
    </xf>
    <xf numFmtId="3" fontId="104" fillId="0" borderId="0" xfId="1" applyNumberFormat="1" applyFont="1" applyFill="1" applyBorder="1" applyAlignment="1" applyProtection="1">
      <alignment vertical="center"/>
    </xf>
    <xf numFmtId="38" fontId="104" fillId="0" borderId="0" xfId="2"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xf>
    <xf numFmtId="38" fontId="97" fillId="0" borderId="0" xfId="0"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center" vertical="center"/>
    </xf>
    <xf numFmtId="170" fontId="104" fillId="0" borderId="0" xfId="0" applyNumberFormat="1" applyFont="1" applyFill="1" applyBorder="1" applyAlignment="1" applyProtection="1">
      <alignment vertical="center"/>
    </xf>
    <xf numFmtId="0" fontId="94" fillId="0" borderId="0" xfId="13" applyFont="1" applyFill="1" applyBorder="1" applyAlignment="1" applyProtection="1"/>
    <xf numFmtId="0" fontId="254" fillId="0" borderId="0" xfId="13" applyFont="1" applyFill="1" applyBorder="1" applyAlignment="1" applyProtection="1">
      <alignment vertical="top"/>
    </xf>
    <xf numFmtId="0" fontId="97" fillId="0" borderId="0" xfId="13" applyFont="1" applyFill="1" applyBorder="1" applyAlignment="1" applyProtection="1"/>
    <xf numFmtId="0" fontId="97" fillId="0" borderId="0" xfId="1" applyNumberFormat="1" applyFont="1" applyFill="1" applyBorder="1" applyAlignment="1" applyProtection="1">
      <alignment vertical="top"/>
    </xf>
    <xf numFmtId="175" fontId="94" fillId="0" borderId="0" xfId="0" applyNumberFormat="1" applyFont="1" applyFill="1" applyBorder="1" applyAlignment="1" applyProtection="1">
      <alignment vertical="center"/>
    </xf>
    <xf numFmtId="3"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2" fontId="94" fillId="0" borderId="0" xfId="0" applyNumberFormat="1" applyFont="1" applyFill="1" applyBorder="1" applyAlignment="1" applyProtection="1">
      <alignment horizontal="center" vertical="center"/>
    </xf>
    <xf numFmtId="164" fontId="98" fillId="0" borderId="0" xfId="0" applyNumberFormat="1" applyFont="1" applyFill="1" applyBorder="1" applyAlignment="1" applyProtection="1"/>
    <xf numFmtId="3"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xf numFmtId="3" fontId="95" fillId="0" borderId="0" xfId="1" applyNumberFormat="1" applyFont="1" applyFill="1" applyBorder="1" applyAlignment="1" applyProtection="1">
      <alignment horizontal="center" vertical="center"/>
    </xf>
    <xf numFmtId="168" fontId="97"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vertical="top"/>
    </xf>
    <xf numFmtId="4" fontId="95" fillId="0" borderId="0" xfId="0" applyNumberFormat="1" applyFont="1" applyFill="1" applyBorder="1" applyAlignment="1" applyProtection="1">
      <alignment vertical="top"/>
    </xf>
    <xf numFmtId="0" fontId="97" fillId="0" borderId="0" xfId="0" applyNumberFormat="1" applyFont="1" applyFill="1" applyBorder="1" applyAlignment="1" applyProtection="1">
      <alignment vertical="center"/>
    </xf>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49" fontId="97" fillId="0" borderId="0" xfId="0" applyNumberFormat="1" applyFont="1" applyFill="1" applyBorder="1" applyAlignment="1" applyProtection="1">
      <alignment horizontal="center" vertical="center"/>
    </xf>
    <xf numFmtId="178" fontId="98" fillId="0" borderId="0" xfId="0" applyNumberFormat="1" applyFont="1" applyFill="1" applyBorder="1" applyAlignment="1" applyProtection="1">
      <alignment horizontal="center" vertical="center"/>
    </xf>
    <xf numFmtId="174" fontId="98" fillId="0" borderId="0" xfId="0" applyNumberFormat="1" applyFont="1" applyFill="1" applyBorder="1" applyAlignment="1" applyProtection="1">
      <alignment horizontal="center" vertical="center"/>
    </xf>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66" fillId="0" borderId="0" xfId="0" applyFont="1" applyFill="1" applyBorder="1" applyAlignment="1" applyProtection="1">
      <alignment horizontal="right"/>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16" fillId="13" borderId="18" xfId="0" applyFont="1" applyFill="1" applyBorder="1" applyAlignment="1" applyProtection="1">
      <alignment horizontal="center" vertical="top"/>
    </xf>
    <xf numFmtId="0" fontId="98" fillId="0" borderId="0" xfId="0" applyFont="1" applyFill="1" applyBorder="1" applyAlignment="1" applyProtection="1">
      <alignment horizontal="center"/>
    </xf>
    <xf numFmtId="0" fontId="132" fillId="0" borderId="0" xfId="0" applyFont="1" applyFill="1" applyBorder="1" applyAlignment="1" applyProtection="1">
      <alignment horizontal="center" vertic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0" fontId="16" fillId="5" borderId="16"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18" xfId="0" applyNumberFormat="1" applyFont="1" applyFill="1" applyBorder="1" applyAlignment="1" applyProtection="1">
      <alignment horizontal="left"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0" fontId="16" fillId="5" borderId="136" xfId="0" applyFont="1" applyFill="1" applyBorder="1" applyAlignment="1" applyProtection="1">
      <alignment horizontal="center" vertical="center"/>
    </xf>
    <xf numFmtId="176"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166" fontId="16" fillId="5" borderId="17"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10" fontId="6" fillId="10" borderId="84" xfId="0" applyNumberFormat="1" applyFont="1" applyFill="1" applyBorder="1" applyAlignment="1" applyProtection="1">
      <alignment horizontal="center" vertical="center"/>
    </xf>
    <xf numFmtId="4" fontId="6" fillId="10" borderId="18" xfId="0" applyNumberFormat="1" applyFont="1" applyFill="1" applyBorder="1" applyAlignment="1" applyProtection="1">
      <alignment horizontal="center" vertical="center"/>
    </xf>
    <xf numFmtId="0" fontId="16" fillId="5" borderId="86" xfId="0" applyFont="1" applyFill="1" applyBorder="1" applyAlignment="1" applyProtection="1">
      <alignment horizontal="center" vertical="top"/>
    </xf>
    <xf numFmtId="3" fontId="6" fillId="5" borderId="3" xfId="1" applyNumberFormat="1" applyFont="1" applyFill="1" applyBorder="1" applyAlignment="1" applyProtection="1">
      <alignment horizontal="center" vertical="center"/>
    </xf>
    <xf numFmtId="0" fontId="16" fillId="5" borderId="3"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3" fontId="16" fillId="5"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2" xfId="0" applyNumberFormat="1" applyFont="1" applyFill="1" applyBorder="1" applyAlignment="1" applyProtection="1">
      <alignment horizontal="center" vertical="center"/>
    </xf>
    <xf numFmtId="3" fontId="10" fillId="5" borderId="16" xfId="0" applyNumberFormat="1" applyFont="1" applyFill="1" applyBorder="1" applyAlignment="1" applyProtection="1">
      <alignment horizontal="center" vertical="center"/>
    </xf>
    <xf numFmtId="3" fontId="10" fillId="5" borderId="17" xfId="0" applyNumberFormat="1" applyFont="1" applyFill="1" applyBorder="1" applyAlignment="1" applyProtection="1">
      <alignment horizontal="center" vertical="center"/>
    </xf>
    <xf numFmtId="3" fontId="10" fillId="5" borderId="18" xfId="0" applyNumberFormat="1" applyFont="1" applyFill="1" applyBorder="1" applyAlignment="1" applyProtection="1">
      <alignment horizontal="center" vertical="center"/>
    </xf>
    <xf numFmtId="3" fontId="10" fillId="5" borderId="86"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38" fontId="10" fillId="5" borderId="17"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0" fontId="16" fillId="5" borderId="11" xfId="0" applyFont="1" applyFill="1" applyBorder="1" applyAlignment="1" applyProtection="1">
      <alignment horizontal="center" vertical="center"/>
    </xf>
    <xf numFmtId="0" fontId="5" fillId="10" borderId="3" xfId="0" applyFont="1" applyFill="1" applyBorder="1" applyAlignment="1" applyProtection="1">
      <alignment horizontal="center" vertical="center"/>
    </xf>
    <xf numFmtId="49" fontId="6" fillId="10" borderId="84" xfId="0" applyNumberFormat="1" applyFont="1" applyFill="1" applyBorder="1" applyAlignment="1" applyProtection="1">
      <alignment horizontal="center" vertical="center" wrapText="1"/>
    </xf>
    <xf numFmtId="0" fontId="6" fillId="10" borderId="29" xfId="0" applyFont="1" applyFill="1" applyBorder="1" applyAlignment="1" applyProtection="1">
      <alignment horizontal="center" vertical="center" wrapText="1"/>
    </xf>
    <xf numFmtId="49" fontId="6" fillId="10" borderId="29" xfId="0" applyNumberFormat="1" applyFont="1" applyFill="1" applyBorder="1" applyAlignment="1" applyProtection="1">
      <alignment horizontal="center" vertical="center" wrapText="1"/>
    </xf>
    <xf numFmtId="4" fontId="6" fillId="10" borderId="51" xfId="0" applyNumberFormat="1" applyFont="1" applyFill="1" applyBorder="1" applyAlignment="1" applyProtection="1">
      <alignment horizontal="center" vertical="center" wrapText="1"/>
    </xf>
    <xf numFmtId="4" fontId="6" fillId="10" borderId="52" xfId="0" applyNumberFormat="1" applyFont="1" applyFill="1" applyBorder="1" applyAlignment="1" applyProtection="1">
      <alignment horizontal="center" vertical="center" wrapText="1"/>
    </xf>
    <xf numFmtId="4" fontId="6" fillId="10" borderId="139" xfId="0" applyNumberFormat="1" applyFont="1" applyFill="1" applyBorder="1" applyAlignment="1" applyProtection="1">
      <alignment horizontal="center" vertical="center" wrapText="1"/>
    </xf>
    <xf numFmtId="49" fontId="6" fillId="10" borderId="17" xfId="0" applyNumberFormat="1" applyFont="1" applyFill="1" applyBorder="1" applyAlignment="1" applyProtection="1">
      <alignment horizontal="center" vertical="center" wrapText="1"/>
    </xf>
    <xf numFmtId="0" fontId="6" fillId="10" borderId="31" xfId="0" applyFont="1" applyFill="1" applyBorder="1" applyAlignment="1" applyProtection="1">
      <alignment horizontal="center" vertical="center" wrapText="1"/>
    </xf>
    <xf numFmtId="49" fontId="6" fillId="10" borderId="31" xfId="0" applyNumberFormat="1" applyFont="1" applyFill="1" applyBorder="1" applyAlignment="1" applyProtection="1">
      <alignment horizontal="center" vertical="center" wrapText="1"/>
    </xf>
    <xf numFmtId="4" fontId="6" fillId="10" borderId="50" xfId="0" applyNumberFormat="1" applyFont="1" applyFill="1" applyBorder="1" applyAlignment="1" applyProtection="1">
      <alignment horizontal="center" vertical="center" wrapText="1"/>
    </xf>
    <xf numFmtId="4" fontId="6" fillId="10" borderId="38" xfId="0" applyNumberFormat="1" applyFont="1" applyFill="1" applyBorder="1" applyAlignment="1" applyProtection="1">
      <alignment horizontal="center" vertical="center" wrapText="1"/>
    </xf>
    <xf numFmtId="4" fontId="6" fillId="10" borderId="74" xfId="0" applyNumberFormat="1" applyFont="1" applyFill="1" applyBorder="1" applyAlignment="1" applyProtection="1">
      <alignment horizontal="center" vertical="center" wrapText="1"/>
    </xf>
    <xf numFmtId="49" fontId="6" fillId="10" borderId="18" xfId="0" applyNumberFormat="1" applyFont="1" applyFill="1" applyBorder="1" applyAlignment="1" applyProtection="1">
      <alignment horizontal="center" vertical="center" wrapText="1"/>
    </xf>
    <xf numFmtId="0" fontId="6" fillId="10" borderId="34" xfId="0" applyFont="1" applyFill="1" applyBorder="1" applyAlignment="1" applyProtection="1">
      <alignment horizontal="center" vertical="center" wrapText="1"/>
    </xf>
    <xf numFmtId="49" fontId="6" fillId="10" borderId="34" xfId="0" applyNumberFormat="1" applyFont="1" applyFill="1" applyBorder="1" applyAlignment="1" applyProtection="1">
      <alignment horizontal="center" vertical="center" wrapText="1"/>
    </xf>
    <xf numFmtId="4" fontId="6" fillId="10" borderId="48" xfId="0" applyNumberFormat="1" applyFont="1" applyFill="1" applyBorder="1" applyAlignment="1" applyProtection="1">
      <alignment horizontal="center" vertical="center" wrapText="1"/>
    </xf>
    <xf numFmtId="4" fontId="6" fillId="10" borderId="49" xfId="0" applyNumberFormat="1" applyFont="1" applyFill="1" applyBorder="1" applyAlignment="1" applyProtection="1">
      <alignment horizontal="center" vertical="center" wrapText="1"/>
    </xf>
    <xf numFmtId="4" fontId="6" fillId="10" borderId="76" xfId="0" applyNumberFormat="1" applyFont="1" applyFill="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xf>
    <xf numFmtId="3" fontId="6" fillId="10" borderId="18" xfId="0" applyNumberFormat="1" applyFont="1" applyFill="1" applyBorder="1" applyAlignment="1" applyProtection="1">
      <alignment horizontal="center" vertical="center" wrapText="1"/>
    </xf>
    <xf numFmtId="0" fontId="16" fillId="5" borderId="116" xfId="0" applyFont="1" applyFill="1" applyBorder="1" applyAlignment="1" applyProtection="1">
      <alignment horizontal="center" vertical="center"/>
    </xf>
    <xf numFmtId="0" fontId="16" fillId="5" borderId="142" xfId="0" applyFont="1" applyFill="1" applyBorder="1" applyAlignment="1" applyProtection="1">
      <alignment horizontal="center" vertical="center"/>
    </xf>
    <xf numFmtId="0" fontId="16" fillId="5" borderId="111" xfId="0" applyFont="1" applyFill="1" applyBorder="1" applyAlignment="1" applyProtection="1">
      <alignment horizontal="center" vertical="center"/>
    </xf>
    <xf numFmtId="176" fontId="86" fillId="10" borderId="116" xfId="0" applyNumberFormat="1" applyFont="1" applyFill="1" applyBorder="1" applyAlignment="1" applyProtection="1">
      <alignment horizontal="center" vertical="center"/>
    </xf>
    <xf numFmtId="0" fontId="16" fillId="5" borderId="51" xfId="0" applyFont="1" applyFill="1" applyBorder="1" applyAlignment="1" applyProtection="1">
      <alignment horizontal="center" vertical="center"/>
    </xf>
    <xf numFmtId="0" fontId="16" fillId="5" borderId="50" xfId="0" applyFont="1" applyFill="1" applyBorder="1" applyAlignment="1" applyProtection="1">
      <alignment horizontal="center" vertical="center"/>
    </xf>
    <xf numFmtId="0" fontId="16" fillId="5" borderId="48" xfId="0" applyFont="1" applyFill="1" applyBorder="1" applyAlignment="1" applyProtection="1">
      <alignment horizontal="center" vertical="center"/>
    </xf>
    <xf numFmtId="38" fontId="12" fillId="5" borderId="12" xfId="0" applyNumberFormat="1" applyFont="1" applyFill="1" applyBorder="1" applyAlignment="1" applyProtection="1">
      <alignment horizontal="center" vertical="center"/>
    </xf>
    <xf numFmtId="183" fontId="16" fillId="5" borderId="84" xfId="0" applyNumberFormat="1" applyFont="1" applyFill="1" applyBorder="1" applyAlignment="1" applyProtection="1">
      <alignment horizontal="center" vertical="center"/>
    </xf>
    <xf numFmtId="167" fontId="6" fillId="10" borderId="18" xfId="0" applyNumberFormat="1" applyFont="1" applyFill="1" applyBorder="1" applyAlignment="1" applyProtection="1">
      <alignment horizontal="center" vertical="center"/>
    </xf>
    <xf numFmtId="9" fontId="15" fillId="10" borderId="86" xfId="0" applyNumberFormat="1" applyFont="1" applyFill="1" applyBorder="1" applyAlignment="1" applyProtection="1">
      <alignment horizontal="center" vertical="center"/>
    </xf>
    <xf numFmtId="10" fontId="44" fillId="10" borderId="17" xfId="0" applyNumberFormat="1" applyFont="1" applyFill="1" applyBorder="1" applyAlignment="1" applyProtection="1">
      <alignment horizontal="center" vertical="center"/>
    </xf>
    <xf numFmtId="0" fontId="6" fillId="10" borderId="17" xfId="0" applyFont="1" applyFill="1" applyBorder="1" applyAlignment="1" applyProtection="1">
      <alignment horizontal="center" vertical="center"/>
    </xf>
    <xf numFmtId="49" fontId="44" fillId="5" borderId="86" xfId="0" applyNumberFormat="1" applyFont="1" applyFill="1" applyBorder="1" applyAlignment="1" applyProtection="1">
      <alignment horizontal="center" vertical="center" wrapText="1"/>
    </xf>
    <xf numFmtId="178" fontId="15" fillId="5" borderId="86" xfId="0" applyNumberFormat="1" applyFont="1" applyFill="1" applyBorder="1" applyAlignment="1" applyProtection="1">
      <alignment horizontal="center" vertical="center"/>
    </xf>
    <xf numFmtId="1" fontId="15" fillId="10" borderId="86" xfId="0" applyNumberFormat="1" applyFont="1" applyFill="1" applyBorder="1" applyAlignment="1" applyProtection="1">
      <alignment horizontal="center" vertical="center"/>
    </xf>
    <xf numFmtId="1" fontId="6" fillId="10" borderId="86" xfId="0" applyNumberFormat="1"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0" fontId="6" fillId="5" borderId="16" xfId="0" applyFont="1" applyFill="1" applyBorder="1" applyAlignment="1" applyProtection="1">
      <alignment horizontal="left" vertical="center"/>
    </xf>
    <xf numFmtId="0" fontId="6" fillId="5" borderId="18" xfId="0" applyFont="1" applyFill="1" applyBorder="1" applyAlignment="1" applyProtection="1">
      <alignment horizontal="left" vertical="center"/>
    </xf>
    <xf numFmtId="38" fontId="10" fillId="5" borderId="16" xfId="0" applyNumberFormat="1" applyFont="1" applyFill="1" applyBorder="1" applyAlignment="1" applyProtection="1">
      <alignment horizontal="center" vertical="center"/>
    </xf>
    <xf numFmtId="38" fontId="10" fillId="5" borderId="136" xfId="0" applyNumberFormat="1" applyFont="1" applyFill="1" applyBorder="1" applyAlignment="1" applyProtection="1">
      <alignment horizontal="center" vertical="center"/>
    </xf>
    <xf numFmtId="0" fontId="16" fillId="5" borderId="12" xfId="0" applyFont="1" applyFill="1" applyBorder="1" applyAlignment="1" applyProtection="1">
      <alignment horizontal="center" vertical="top"/>
    </xf>
    <xf numFmtId="0" fontId="6" fillId="10" borderId="86" xfId="0" applyFont="1" applyFill="1" applyBorder="1" applyAlignment="1" applyProtection="1">
      <alignment horizontal="center" vertical="center"/>
    </xf>
    <xf numFmtId="3" fontId="15" fillId="10" borderId="16" xfId="0" applyNumberFormat="1" applyFont="1" applyFill="1" applyBorder="1" applyAlignment="1" applyProtection="1">
      <alignment horizontal="center" vertical="center"/>
    </xf>
    <xf numFmtId="174" fontId="15" fillId="10" borderId="17" xfId="0" applyNumberFormat="1" applyFont="1" applyFill="1" applyBorder="1" applyAlignment="1" applyProtection="1">
      <alignment horizontal="center" vertical="center"/>
    </xf>
    <xf numFmtId="3" fontId="15" fillId="10" borderId="18"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Border="1" applyAlignment="1" applyProtection="1">
      <alignment horizontal="center" wrapText="1"/>
    </xf>
    <xf numFmtId="0" fontId="47" fillId="0" borderId="82"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47" fillId="0" borderId="85" xfId="0" applyFont="1" applyFill="1" applyBorder="1" applyAlignment="1" applyProtection="1">
      <alignment vertical="center"/>
    </xf>
    <xf numFmtId="171" fontId="55" fillId="0" borderId="0" xfId="0" applyNumberFormat="1" applyFont="1" applyFill="1" applyBorder="1" applyAlignment="1" applyProtection="1">
      <alignment horizontal="center" vertical="center"/>
    </xf>
    <xf numFmtId="4" fontId="64" fillId="0" borderId="13" xfId="1" applyNumberFormat="1" applyFont="1" applyFill="1" applyBorder="1" applyAlignment="1" applyProtection="1">
      <alignment horizontal="right" vertical="center"/>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wrapText="1"/>
    </xf>
    <xf numFmtId="0" fontId="10" fillId="0" borderId="0" xfId="0" applyFont="1" applyFill="1" applyAlignment="1" applyProtection="1">
      <alignment horizontal="lef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center"/>
    </xf>
    <xf numFmtId="0" fontId="6" fillId="0" borderId="0"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12" xfId="0" applyFont="1" applyFill="1" applyBorder="1" applyAlignment="1" applyProtection="1">
      <alignment horizontal="center" vertical="center"/>
    </xf>
    <xf numFmtId="0" fontId="6" fillId="0" borderId="0" xfId="0" applyFont="1" applyFill="1" applyAlignment="1" applyProtection="1">
      <alignment horizontal="center"/>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Alignment="1" applyProtection="1">
      <alignment horizontal="center" vertical="center"/>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0" borderId="0"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3" fontId="15" fillId="0" borderId="18" xfId="0" applyNumberFormat="1" applyFont="1" applyBorder="1" applyAlignment="1" applyProtection="1">
      <alignment horizontal="center" vertical="center" wrapText="1"/>
    </xf>
    <xf numFmtId="0" fontId="6" fillId="0" borderId="0" xfId="0" applyFont="1" applyAlignment="1" applyProtection="1">
      <alignment horizontal="left" vertical="top" wrapText="1"/>
    </xf>
    <xf numFmtId="0" fontId="6" fillId="0" borderId="13" xfId="0" applyFont="1" applyFill="1" applyBorder="1" applyAlignment="1" applyProtection="1">
      <alignment horizontal="left" vertical="center" wrapText="1"/>
    </xf>
    <xf numFmtId="0" fontId="6" fillId="0" borderId="0" xfId="0" applyFont="1" applyFill="1" applyAlignment="1" applyProtection="1">
      <alignment horizontal="center" vertical="center"/>
    </xf>
    <xf numFmtId="3" fontId="15" fillId="0" borderId="16" xfId="0" applyNumberFormat="1" applyFont="1" applyBorder="1" applyAlignment="1" applyProtection="1">
      <alignment horizontal="center" vertical="center" wrapText="1"/>
    </xf>
    <xf numFmtId="0" fontId="20" fillId="0" borderId="0" xfId="0" applyFont="1" applyFill="1" applyAlignment="1" applyProtection="1">
      <alignment horizontal="center"/>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wrapText="1"/>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horizontal="left" vertical="top"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109" fillId="0" borderId="0" xfId="6" applyFont="1" applyFill="1" applyBorder="1" applyAlignment="1" applyProtection="1">
      <alignment horizontal="left" vertical="center"/>
    </xf>
    <xf numFmtId="0" fontId="110" fillId="0" borderId="0" xfId="6" applyFont="1" applyFill="1" applyBorder="1" applyAlignment="1" applyProtection="1">
      <alignment horizontal="left" vertical="center"/>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0" fontId="43" fillId="0" borderId="0" xfId="0" applyFont="1" applyFill="1" applyAlignment="1" applyProtection="1">
      <alignment horizontal="left" vertical="top" wrapText="1"/>
    </xf>
    <xf numFmtId="0" fontId="42" fillId="0" borderId="0" xfId="0" applyFont="1" applyFill="1" applyAlignment="1" applyProtection="1">
      <alignment horizontal="left" vertical="center" wrapText="1"/>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89" fillId="12" borderId="0" xfId="0" applyFont="1" applyFill="1" applyAlignment="1" applyProtection="1">
      <alignment horizontal="center"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10" fillId="0" borderId="13" xfId="0" applyFont="1" applyBorder="1" applyAlignment="1" applyProtection="1">
      <alignment horizontal="center" vertical="center" wrapText="1"/>
    </xf>
    <xf numFmtId="0" fontId="21"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4"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111" fillId="0" borderId="0" xfId="0" applyFont="1" applyFill="1" applyAlignment="1" applyProtection="1">
      <alignment horizontal="center" vertical="center"/>
    </xf>
    <xf numFmtId="49" fontId="140"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67" fillId="0" borderId="62"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0" fontId="55" fillId="0" borderId="0" xfId="0" applyFont="1" applyFill="1" applyAlignment="1" applyProtection="1">
      <alignment horizontal="left"/>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38" fontId="55" fillId="0" borderId="1"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center" vertical="center"/>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106"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0" borderId="65" xfId="1" applyNumberFormat="1" applyFont="1" applyFill="1" applyBorder="1" applyAlignment="1" applyProtection="1">
      <alignment horizontal="right" vertical="center"/>
    </xf>
    <xf numFmtId="0" fontId="47" fillId="0" borderId="61" xfId="0" applyFont="1" applyBorder="1" applyProtection="1"/>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49" fontId="100" fillId="20" borderId="0" xfId="0" applyNumberFormat="1" applyFont="1" applyFill="1" applyBorder="1" applyAlignment="1" applyProtection="1">
      <alignment horizontal="center"/>
    </xf>
    <xf numFmtId="0" fontId="185" fillId="0" borderId="0" xfId="0" applyFont="1" applyFill="1" applyAlignment="1" applyProtection="1">
      <alignment horizontal="right"/>
    </xf>
    <xf numFmtId="0" fontId="10" fillId="0" borderId="0" xfId="0" applyFont="1" applyFill="1" applyAlignment="1" applyProtection="1">
      <alignment horizontal="left" vertical="center"/>
    </xf>
    <xf numFmtId="0" fontId="42" fillId="0" borderId="7"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141"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94" fillId="0" borderId="0" xfId="0" applyFont="1" applyFill="1" applyAlignment="1" applyProtection="1">
      <alignment horizontal="center" wrapText="1"/>
    </xf>
    <xf numFmtId="0" fontId="98" fillId="0" borderId="0" xfId="0" applyFont="1" applyFill="1" applyAlignment="1" applyProtection="1">
      <alignment horizont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3" fontId="100" fillId="0" borderId="0" xfId="0" applyNumberFormat="1" applyFont="1" applyFill="1" applyBorder="1" applyAlignment="1" applyProtection="1">
      <alignment horizontal="left" vertical="top" wrapText="1"/>
    </xf>
    <xf numFmtId="0" fontId="12" fillId="0" borderId="13" xfId="0" applyFont="1" applyFill="1" applyBorder="1" applyAlignment="1" applyProtection="1">
      <alignment horizontal="center"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80" fillId="0" borderId="0" xfId="0" applyFont="1" applyFill="1" applyAlignment="1" applyProtection="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6" fillId="0" borderId="0" xfId="0" applyFont="1" applyFill="1" applyBorder="1" applyAlignment="1" applyProtection="1">
      <alignment horizontal="left" vertical="top" wrapText="1"/>
    </xf>
    <xf numFmtId="0" fontId="155" fillId="0" borderId="0" xfId="0" applyFont="1" applyFill="1" applyBorder="1" applyAlignment="1" applyProtection="1">
      <alignment horizontal="center" vertical="center"/>
    </xf>
    <xf numFmtId="3" fontId="16" fillId="5" borderId="78" xfId="0" applyNumberFormat="1" applyFont="1" applyFill="1" applyBorder="1" applyAlignment="1" applyProtection="1">
      <alignment horizontal="left" vertical="center"/>
    </xf>
    <xf numFmtId="3" fontId="16" fillId="5" borderId="79" xfId="0" applyNumberFormat="1" applyFont="1" applyFill="1" applyBorder="1" applyAlignment="1" applyProtection="1">
      <alignment horizontal="left" vertical="center"/>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6" fillId="10" borderId="78" xfId="0" applyFont="1" applyFill="1" applyBorder="1" applyAlignment="1" applyProtection="1">
      <alignment horizontal="left" vertical="top"/>
    </xf>
    <xf numFmtId="0" fontId="6" fillId="10" borderId="82" xfId="0" applyFont="1" applyFill="1" applyBorder="1" applyAlignment="1" applyProtection="1">
      <alignment horizontal="left" vertical="top"/>
    </xf>
    <xf numFmtId="0" fontId="6" fillId="10" borderId="79" xfId="0" applyFont="1" applyFill="1" applyBorder="1" applyAlignment="1" applyProtection="1">
      <alignment horizontal="left" vertical="top"/>
    </xf>
    <xf numFmtId="0" fontId="44" fillId="5" borderId="33"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6" fillId="0" borderId="0" xfId="0" applyFont="1" applyBorder="1" applyAlignment="1" applyProtection="1">
      <alignment horizontal="center" vertical="center"/>
    </xf>
    <xf numFmtId="0" fontId="6" fillId="0" borderId="8" xfId="0" applyFont="1" applyBorder="1" applyAlignment="1" applyProtection="1">
      <alignment horizontal="center" vertical="center"/>
    </xf>
    <xf numFmtId="0" fontId="16" fillId="5" borderId="80" xfId="0" applyFont="1" applyFill="1" applyBorder="1" applyAlignment="1" applyProtection="1">
      <alignment horizontal="center" vertical="center"/>
    </xf>
    <xf numFmtId="0" fontId="16" fillId="5" borderId="81" xfId="0" applyFont="1" applyFill="1" applyBorder="1" applyAlignment="1" applyProtection="1">
      <alignment horizontal="center" vertical="center"/>
    </xf>
    <xf numFmtId="3" fontId="16" fillId="5" borderId="28" xfId="0" applyNumberFormat="1" applyFont="1" applyFill="1" applyBorder="1" applyAlignment="1" applyProtection="1">
      <alignment horizontal="left" vertical="center"/>
    </xf>
    <xf numFmtId="3" fontId="16" fillId="5" borderId="29" xfId="0" applyNumberFormat="1" applyFont="1" applyFill="1" applyBorder="1" applyAlignment="1" applyProtection="1">
      <alignment horizontal="left" vertical="center"/>
    </xf>
    <xf numFmtId="176" fontId="16" fillId="5" borderId="9" xfId="0" applyNumberFormat="1" applyFont="1" applyFill="1" applyBorder="1" applyAlignment="1" applyProtection="1">
      <alignment horizontal="left" vertical="center"/>
    </xf>
    <xf numFmtId="176" fontId="16" fillId="5" borderId="14" xfId="0" applyNumberFormat="1" applyFont="1" applyFill="1" applyBorder="1" applyAlignment="1" applyProtection="1">
      <alignment horizontal="left" vertical="center"/>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6" fillId="5" borderId="116" xfId="0" applyNumberFormat="1" applyFont="1" applyFill="1" applyBorder="1" applyAlignment="1" applyProtection="1">
      <alignment horizontal="left" vertical="center"/>
    </xf>
    <xf numFmtId="3" fontId="16" fillId="5" borderId="117" xfId="0" applyNumberFormat="1"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16" fillId="5" borderId="80" xfId="0" applyFont="1" applyFill="1" applyBorder="1" applyAlignment="1" applyProtection="1">
      <alignment horizontal="left" vertical="center"/>
    </xf>
    <xf numFmtId="0" fontId="16" fillId="5" borderId="85" xfId="0" applyFont="1" applyFill="1" applyBorder="1" applyAlignment="1" applyProtection="1">
      <alignment horizontal="left" vertical="center"/>
    </xf>
    <xf numFmtId="0" fontId="16" fillId="5" borderId="81" xfId="0" applyFont="1" applyFill="1" applyBorder="1" applyAlignment="1" applyProtection="1">
      <alignment horizontal="left" vertical="center"/>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6" fillId="5" borderId="30"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16" fillId="5" borderId="16" xfId="0" applyFont="1" applyFill="1" applyBorder="1" applyAlignment="1" applyProtection="1">
      <alignment horizontal="left" vertical="center"/>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xf>
    <xf numFmtId="0" fontId="93" fillId="0" borderId="0" xfId="0" applyFont="1" applyFill="1" applyBorder="1" applyAlignment="1" applyProtection="1">
      <alignment horizontal="center" vertical="center"/>
    </xf>
    <xf numFmtId="0" fontId="6" fillId="5" borderId="133" xfId="0" applyFont="1" applyFill="1" applyBorder="1" applyAlignment="1" applyProtection="1">
      <alignment horizontal="left" vertical="top" wrapText="1"/>
    </xf>
    <xf numFmtId="0" fontId="6" fillId="5" borderId="134" xfId="0" applyFont="1" applyFill="1" applyBorder="1" applyAlignment="1" applyProtection="1">
      <alignment horizontal="left" vertical="top" wrapText="1"/>
    </xf>
    <xf numFmtId="0" fontId="6" fillId="5" borderId="135" xfId="0" applyFont="1" applyFill="1" applyBorder="1" applyAlignment="1" applyProtection="1">
      <alignment horizontal="left" vertical="top" wrapText="1"/>
    </xf>
    <xf numFmtId="3" fontId="151" fillId="0" borderId="78" xfId="0" applyNumberFormat="1" applyFont="1" applyFill="1" applyBorder="1" applyAlignment="1" applyProtection="1">
      <alignment horizontal="center" vertical="center" wrapText="1"/>
    </xf>
    <xf numFmtId="3" fontId="151" fillId="0" borderId="79" xfId="0" applyNumberFormat="1" applyFont="1" applyFill="1" applyBorder="1" applyAlignment="1" applyProtection="1">
      <alignment horizontal="center" vertical="center" wrapText="1"/>
    </xf>
    <xf numFmtId="176" fontId="10" fillId="10" borderId="78" xfId="0" applyNumberFormat="1" applyFont="1" applyFill="1" applyBorder="1" applyAlignment="1" applyProtection="1">
      <alignment horizontal="center"/>
    </xf>
    <xf numFmtId="176" fontId="10" fillId="10" borderId="79" xfId="0" applyNumberFormat="1" applyFont="1" applyFill="1" applyBorder="1" applyAlignment="1" applyProtection="1">
      <alignment horizont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16" fillId="5" borderId="18" xfId="0" applyFont="1" applyFill="1" applyBorder="1" applyAlignment="1" applyProtection="1">
      <alignment horizontal="center" vertical="top"/>
    </xf>
    <xf numFmtId="0" fontId="16" fillId="5" borderId="136" xfId="0" applyFont="1" applyFill="1" applyBorder="1" applyAlignment="1" applyProtection="1">
      <alignment horizontal="center" vertical="top"/>
    </xf>
    <xf numFmtId="0" fontId="44" fillId="5" borderId="80" xfId="0" applyFont="1" applyFill="1" applyBorder="1" applyAlignment="1" applyProtection="1">
      <alignment horizontal="left" vertical="top" wrapText="1"/>
    </xf>
    <xf numFmtId="0" fontId="44" fillId="5" borderId="85" xfId="0" applyFont="1" applyFill="1" applyBorder="1" applyAlignment="1" applyProtection="1">
      <alignment horizontal="left" vertical="top" wrapText="1"/>
    </xf>
    <xf numFmtId="0" fontId="44" fillId="5" borderId="81" xfId="0" applyFont="1" applyFill="1" applyBorder="1" applyAlignment="1" applyProtection="1">
      <alignment horizontal="left" vertical="top" wrapText="1"/>
    </xf>
    <xf numFmtId="0" fontId="44" fillId="5" borderId="9" xfId="0" applyFont="1" applyFill="1" applyBorder="1" applyAlignment="1" applyProtection="1">
      <alignment horizontal="left" vertical="top" wrapText="1"/>
    </xf>
    <xf numFmtId="0" fontId="44" fillId="5" borderId="13" xfId="0" applyFont="1" applyFill="1" applyBorder="1" applyAlignment="1" applyProtection="1">
      <alignment horizontal="left" vertical="top" wrapText="1"/>
    </xf>
    <xf numFmtId="0" fontId="44" fillId="5" borderId="14" xfId="0" applyFont="1" applyFill="1" applyBorder="1" applyAlignment="1" applyProtection="1">
      <alignment horizontal="left" vertical="top" wrapText="1"/>
    </xf>
    <xf numFmtId="0" fontId="6" fillId="10" borderId="78" xfId="0" applyFont="1" applyFill="1" applyBorder="1" applyAlignment="1" applyProtection="1">
      <alignment horizontal="left" vertical="center" wrapText="1"/>
    </xf>
    <xf numFmtId="0" fontId="6" fillId="10" borderId="82" xfId="0" applyFont="1" applyFill="1" applyBorder="1" applyAlignment="1" applyProtection="1">
      <alignment horizontal="left" vertical="center" wrapText="1"/>
    </xf>
    <xf numFmtId="0" fontId="6" fillId="10" borderId="79" xfId="0" applyFont="1" applyFill="1" applyBorder="1" applyAlignment="1" applyProtection="1">
      <alignment horizontal="left" vertical="center" wrapText="1"/>
    </xf>
    <xf numFmtId="0" fontId="6" fillId="0" borderId="0" xfId="0" applyFont="1" applyFill="1" applyAlignment="1" applyProtection="1">
      <alignment horizontal="center" vertical="center" wrapText="1"/>
    </xf>
    <xf numFmtId="0" fontId="6" fillId="0" borderId="47" xfId="0" applyFont="1" applyFill="1" applyBorder="1" applyAlignment="1" applyProtection="1">
      <alignment horizontal="center" wrapText="1"/>
    </xf>
    <xf numFmtId="38" fontId="107"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xf>
    <xf numFmtId="0" fontId="6" fillId="5" borderId="36"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6" fillId="0" borderId="0" xfId="0" applyFont="1" applyFill="1" applyAlignment="1" applyProtection="1">
      <alignment horizontal="left" vertical="center" wrapText="1"/>
    </xf>
    <xf numFmtId="0" fontId="44" fillId="10" borderId="121"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6" fillId="5" borderId="111"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16" fillId="5" borderId="58" xfId="0" applyFont="1" applyFill="1" applyBorder="1" applyAlignment="1" applyProtection="1">
      <alignment horizontal="left" vertical="center"/>
    </xf>
    <xf numFmtId="0" fontId="44" fillId="5" borderId="133" xfId="0" applyFont="1" applyFill="1" applyBorder="1" applyAlignment="1" applyProtection="1">
      <alignment horizontal="left" vertical="top" wrapText="1"/>
    </xf>
    <xf numFmtId="0" fontId="44" fillId="5" borderId="134" xfId="0" applyFont="1" applyFill="1" applyBorder="1" applyAlignment="1" applyProtection="1">
      <alignment horizontal="left" vertical="top" wrapText="1"/>
    </xf>
    <xf numFmtId="0" fontId="44" fillId="5" borderId="135" xfId="0" applyFont="1" applyFill="1" applyBorder="1" applyAlignment="1" applyProtection="1">
      <alignment horizontal="left" vertical="top" wrapText="1"/>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16" fillId="5" borderId="133" xfId="0" applyFont="1" applyFill="1" applyBorder="1" applyAlignment="1" applyProtection="1">
      <alignment horizontal="left" vertical="center"/>
    </xf>
    <xf numFmtId="0" fontId="16" fillId="5" borderId="134" xfId="0" applyFont="1" applyFill="1" applyBorder="1" applyAlignment="1" applyProtection="1">
      <alignment horizontal="left" vertical="center"/>
    </xf>
    <xf numFmtId="0" fontId="16" fillId="5" borderId="135" xfId="0" applyFont="1" applyFill="1" applyBorder="1" applyAlignment="1" applyProtection="1">
      <alignment horizontal="left" vertic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175" fontId="16" fillId="5" borderId="78" xfId="0" applyNumberFormat="1" applyFont="1" applyFill="1" applyBorder="1" applyAlignment="1" applyProtection="1">
      <alignment horizontal="left" vertical="center"/>
    </xf>
    <xf numFmtId="175" fontId="16" fillId="5" borderId="82" xfId="0" applyNumberFormat="1" applyFont="1" applyFill="1" applyBorder="1" applyAlignment="1" applyProtection="1">
      <alignment horizontal="left" vertical="center"/>
    </xf>
    <xf numFmtId="175" fontId="16" fillId="5" borderId="79" xfId="0" applyNumberFormat="1" applyFont="1" applyFill="1" applyBorder="1" applyAlignment="1" applyProtection="1">
      <alignment horizontal="left" vertical="center"/>
    </xf>
    <xf numFmtId="175" fontId="16" fillId="5" borderId="28" xfId="0" applyNumberFormat="1" applyFont="1" applyFill="1" applyBorder="1" applyAlignment="1" applyProtection="1">
      <alignment horizontal="left" vertical="center"/>
    </xf>
    <xf numFmtId="175" fontId="16" fillId="5" borderId="57" xfId="0" applyNumberFormat="1" applyFont="1" applyFill="1" applyBorder="1" applyAlignment="1" applyProtection="1">
      <alignment horizontal="left" vertical="center"/>
    </xf>
    <xf numFmtId="175" fontId="16" fillId="5" borderId="29" xfId="0" applyNumberFormat="1" applyFont="1" applyFill="1" applyBorder="1" applyAlignment="1" applyProtection="1">
      <alignment horizontal="left" vertical="center"/>
    </xf>
    <xf numFmtId="0" fontId="12" fillId="5" borderId="86" xfId="0" applyFont="1" applyFill="1" applyBorder="1" applyAlignment="1" applyProtection="1">
      <alignment horizontal="left" vertical="center"/>
    </xf>
    <xf numFmtId="0" fontId="6" fillId="5" borderId="192" xfId="55" applyFont="1" applyFill="1" applyBorder="1" applyAlignment="1" applyProtection="1">
      <alignment horizontal="left" vertical="top" wrapText="1"/>
    </xf>
    <xf numFmtId="0" fontId="6" fillId="5" borderId="193" xfId="55" applyFont="1" applyFill="1" applyBorder="1" applyAlignment="1" applyProtection="1">
      <alignment horizontal="left" vertical="top" wrapText="1"/>
    </xf>
    <xf numFmtId="0" fontId="6" fillId="5" borderId="79" xfId="55" applyFont="1" applyFill="1" applyBorder="1" applyAlignment="1" applyProtection="1">
      <alignment horizontal="left" vertical="top" wrapText="1"/>
    </xf>
    <xf numFmtId="0" fontId="6" fillId="5" borderId="192" xfId="60" applyFont="1" applyFill="1" applyBorder="1" applyAlignment="1" applyProtection="1">
      <alignment horizontal="left" vertical="top" wrapText="1"/>
    </xf>
    <xf numFmtId="0" fontId="6" fillId="5" borderId="193" xfId="60" applyFont="1" applyFill="1" applyBorder="1" applyAlignment="1" applyProtection="1">
      <alignment horizontal="left" vertical="top" wrapText="1"/>
    </xf>
    <xf numFmtId="0" fontId="6" fillId="5" borderId="79" xfId="60" applyFont="1" applyFill="1" applyBorder="1" applyAlignment="1" applyProtection="1">
      <alignment horizontal="left" vertical="top" wrapText="1"/>
    </xf>
    <xf numFmtId="0" fontId="6" fillId="5" borderId="192" xfId="63" applyFont="1" applyFill="1" applyBorder="1" applyAlignment="1" applyProtection="1">
      <alignment horizontal="left" vertical="top" wrapText="1"/>
    </xf>
    <xf numFmtId="0" fontId="6" fillId="5" borderId="193" xfId="63" applyFont="1" applyFill="1" applyBorder="1" applyAlignment="1" applyProtection="1">
      <alignment horizontal="left" vertical="top" wrapText="1"/>
    </xf>
    <xf numFmtId="0" fontId="6" fillId="5" borderId="79" xfId="63" applyFont="1" applyFill="1" applyBorder="1" applyAlignment="1" applyProtection="1">
      <alignment horizontal="left" vertical="top" wrapText="1"/>
    </xf>
    <xf numFmtId="0" fontId="6" fillId="5" borderId="192" xfId="56" applyFont="1" applyFill="1" applyBorder="1" applyAlignment="1" applyProtection="1">
      <alignment horizontal="left" vertical="top" wrapText="1"/>
    </xf>
    <xf numFmtId="0" fontId="6" fillId="5" borderId="193" xfId="56" applyFont="1" applyFill="1" applyBorder="1" applyAlignment="1" applyProtection="1">
      <alignment horizontal="left" vertical="top" wrapText="1"/>
    </xf>
    <xf numFmtId="0" fontId="6" fillId="5" borderId="79" xfId="56" applyFont="1" applyFill="1" applyBorder="1" applyAlignment="1" applyProtection="1">
      <alignment horizontal="left" vertical="top" wrapText="1"/>
    </xf>
    <xf numFmtId="0" fontId="16" fillId="5" borderId="195" xfId="57" applyFont="1" applyFill="1" applyBorder="1" applyAlignment="1" applyProtection="1">
      <alignment horizontal="left" vertical="center"/>
    </xf>
    <xf numFmtId="0" fontId="16" fillId="5" borderId="196" xfId="57" applyFont="1" applyFill="1" applyBorder="1" applyAlignment="1" applyProtection="1">
      <alignment horizontal="left" vertical="center"/>
    </xf>
    <xf numFmtId="0" fontId="5" fillId="0" borderId="197" xfId="57" applyBorder="1" applyAlignment="1" applyProtection="1">
      <alignment horizontal="left" vertical="center"/>
    </xf>
    <xf numFmtId="0" fontId="6" fillId="5" borderId="192" xfId="59" applyFont="1" applyFill="1" applyBorder="1" applyAlignment="1" applyProtection="1">
      <alignment horizontal="left" vertical="top" wrapText="1"/>
    </xf>
    <xf numFmtId="0" fontId="6" fillId="5" borderId="193" xfId="59" applyFont="1" applyFill="1" applyBorder="1" applyAlignment="1" applyProtection="1">
      <alignment horizontal="left" vertical="top" wrapText="1"/>
    </xf>
    <xf numFmtId="0" fontId="6" fillId="5" borderId="79" xfId="59" applyFont="1" applyFill="1" applyBorder="1" applyAlignment="1" applyProtection="1">
      <alignment horizontal="left" vertical="top" wrapText="1"/>
    </xf>
    <xf numFmtId="0" fontId="0" fillId="0" borderId="79" xfId="0" applyBorder="1" applyAlignment="1" applyProtection="1">
      <alignment horizontal="left" vertical="center"/>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96" fillId="0" borderId="0" xfId="0" applyFont="1" applyFill="1" applyAlignment="1" applyProtection="1">
      <alignment horizontal="left" vertical="top" wrapText="1"/>
    </xf>
    <xf numFmtId="0" fontId="16" fillId="5" borderId="84"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44" fillId="0" borderId="0" xfId="0" quotePrefix="1" applyFont="1" applyFill="1" applyAlignment="1" applyProtection="1">
      <alignment horizontal="left" vertical="center"/>
    </xf>
    <xf numFmtId="0" fontId="16" fillId="13" borderId="84"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87" fillId="0" borderId="0" xfId="0" applyFont="1" applyFill="1" applyAlignment="1" applyProtection="1">
      <alignment horizontal="left" vertical="center" wrapText="1"/>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164" fillId="0" borderId="0" xfId="0" applyFont="1" applyFill="1" applyBorder="1" applyAlignment="1" applyProtection="1">
      <alignment horizontal="center" vertical="top" wrapText="1"/>
    </xf>
    <xf numFmtId="3" fontId="15" fillId="10" borderId="78" xfId="0" applyNumberFormat="1" applyFont="1" applyFill="1" applyBorder="1" applyAlignment="1" applyProtection="1">
      <alignment horizontal="center" vertical="center" wrapText="1"/>
    </xf>
    <xf numFmtId="3" fontId="15" fillId="10" borderId="79" xfId="0" applyNumberFormat="1" applyFont="1" applyFill="1" applyBorder="1" applyAlignment="1" applyProtection="1">
      <alignment horizontal="center" vertical="center" wrapText="1"/>
    </xf>
    <xf numFmtId="0" fontId="12" fillId="0" borderId="0" xfId="0" quotePrefix="1" applyFont="1" applyFill="1" applyAlignment="1" applyProtection="1">
      <alignment horizontal="right" vertical="top" wrapText="1"/>
    </xf>
    <xf numFmtId="0" fontId="93" fillId="0" borderId="0" xfId="0" applyFont="1" applyFill="1" applyAlignment="1" applyProtection="1">
      <alignment horizontal="left" vertical="center"/>
    </xf>
    <xf numFmtId="0" fontId="6" fillId="5" borderId="28" xfId="0" applyFont="1" applyFill="1" applyBorder="1" applyAlignment="1" applyProtection="1">
      <alignment horizontal="left" vertical="center"/>
    </xf>
    <xf numFmtId="0" fontId="6" fillId="5" borderId="57" xfId="0" applyFont="1" applyFill="1" applyBorder="1" applyAlignment="1" applyProtection="1">
      <alignment horizontal="left" vertical="center"/>
    </xf>
    <xf numFmtId="0" fontId="6" fillId="5" borderId="29" xfId="0" applyFont="1" applyFill="1" applyBorder="1" applyAlignment="1" applyProtection="1">
      <alignment horizontal="left" vertical="center"/>
    </xf>
    <xf numFmtId="0" fontId="6" fillId="0" borderId="7"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44" fillId="5" borderId="125" xfId="0" applyFont="1" applyFill="1" applyBorder="1" applyAlignment="1" applyProtection="1">
      <alignment horizontal="left" vertical="top" wrapText="1"/>
    </xf>
    <xf numFmtId="0" fontId="44" fillId="5" borderId="126" xfId="0" applyFont="1" applyFill="1" applyBorder="1" applyAlignment="1" applyProtection="1">
      <alignment horizontal="left" vertical="top" wrapText="1"/>
    </xf>
    <xf numFmtId="3" fontId="6" fillId="5" borderId="27" xfId="0" applyNumberFormat="1" applyFont="1" applyFill="1" applyBorder="1" applyAlignment="1" applyProtection="1">
      <alignment horizontal="center" vertical="center" wrapText="1"/>
    </xf>
    <xf numFmtId="3" fontId="6" fillId="5" borderId="92" xfId="0" applyNumberFormat="1" applyFont="1" applyFill="1" applyBorder="1" applyAlignment="1" applyProtection="1">
      <alignment horizontal="center" vertical="center" wrapText="1"/>
    </xf>
    <xf numFmtId="0" fontId="6" fillId="0" borderId="13" xfId="0" applyFont="1" applyBorder="1" applyAlignment="1" applyProtection="1">
      <alignment horizontal="center" vertical="center"/>
    </xf>
    <xf numFmtId="0" fontId="6" fillId="0" borderId="0" xfId="0" applyFont="1" applyAlignment="1" applyProtection="1">
      <alignment horizontal="left" vertical="center" wrapText="1"/>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20" fillId="0" borderId="0" xfId="0" applyFont="1" applyFill="1" applyAlignment="1" applyProtection="1">
      <alignment horizontal="center"/>
    </xf>
    <xf numFmtId="0" fontId="100" fillId="2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6" fillId="0" borderId="13" xfId="0" applyFont="1" applyFill="1" applyBorder="1" applyAlignment="1" applyProtection="1">
      <alignment horizontal="center" vertical="center" wrapText="1"/>
    </xf>
    <xf numFmtId="0" fontId="44" fillId="10" borderId="133" xfId="0" applyFont="1" applyFill="1" applyBorder="1" applyAlignment="1" applyProtection="1">
      <alignment horizontal="left" vertical="center" wrapText="1"/>
    </xf>
    <xf numFmtId="0" fontId="44" fillId="10" borderId="134" xfId="0" applyFont="1" applyFill="1" applyBorder="1" applyAlignment="1" applyProtection="1">
      <alignment horizontal="left" vertical="center" wrapText="1"/>
    </xf>
    <xf numFmtId="0" fontId="44" fillId="10" borderId="135" xfId="0" applyFont="1" applyFill="1" applyBorder="1" applyAlignment="1" applyProtection="1">
      <alignment horizontal="left" vertical="center" wrapText="1"/>
    </xf>
    <xf numFmtId="0" fontId="115" fillId="20" borderId="0" xfId="0" applyFont="1" applyFill="1" applyBorder="1" applyAlignment="1" applyProtection="1">
      <alignment horizontal="center" vertical="center"/>
    </xf>
    <xf numFmtId="0" fontId="115" fillId="20" borderId="41" xfId="0" applyFont="1" applyFill="1" applyBorder="1" applyAlignment="1" applyProtection="1">
      <alignment horizontal="center" vertical="center"/>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6" fillId="0" borderId="77" xfId="0"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0" fontId="16" fillId="0" borderId="74" xfId="0" applyFont="1" applyFill="1" applyBorder="1" applyAlignment="1" applyProtection="1">
      <alignment horizontal="center" vertical="center" wrapText="1"/>
    </xf>
    <xf numFmtId="0" fontId="44" fillId="0" borderId="0" xfId="0" applyFont="1" applyFill="1" applyAlignment="1" applyProtection="1">
      <alignment horizontal="center" wrapText="1"/>
    </xf>
    <xf numFmtId="0" fontId="6" fillId="5" borderId="78" xfId="0" applyFont="1" applyFill="1" applyBorder="1" applyAlignment="1" applyProtection="1">
      <alignment horizontal="left" vertical="center" wrapText="1"/>
    </xf>
    <xf numFmtId="0" fontId="6" fillId="5" borderId="82" xfId="0" applyFont="1" applyFill="1" applyBorder="1" applyAlignment="1" applyProtection="1">
      <alignment horizontal="left" vertical="center" wrapText="1"/>
    </xf>
    <xf numFmtId="0" fontId="6" fillId="5" borderId="79" xfId="0" applyFont="1" applyFill="1" applyBorder="1" applyAlignment="1" applyProtection="1">
      <alignment horizontal="left" vertical="center" wrapText="1"/>
    </xf>
    <xf numFmtId="0" fontId="44" fillId="10" borderId="78" xfId="0" applyNumberFormat="1" applyFont="1" applyFill="1" applyBorder="1" applyAlignment="1" applyProtection="1">
      <alignment horizontal="left" vertical="center" wrapText="1"/>
    </xf>
    <xf numFmtId="0" fontId="44" fillId="10" borderId="82" xfId="0" applyNumberFormat="1" applyFont="1" applyFill="1" applyBorder="1" applyAlignment="1" applyProtection="1">
      <alignment horizontal="left" vertical="center" wrapText="1"/>
    </xf>
    <xf numFmtId="0" fontId="44" fillId="10" borderId="79" xfId="0" applyNumberFormat="1" applyFont="1" applyFill="1" applyBorder="1" applyAlignment="1" applyProtection="1">
      <alignment horizontal="left" vertical="center"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3" fontId="15" fillId="0" borderId="16" xfId="0" applyNumberFormat="1" applyFont="1" applyBorder="1" applyAlignment="1" applyProtection="1">
      <alignment horizontal="center" vertical="center" wrapText="1"/>
    </xf>
    <xf numFmtId="0" fontId="16" fillId="0" borderId="0" xfId="0" applyFont="1" applyBorder="1" applyAlignment="1" applyProtection="1">
      <alignment horizontal="center" wrapText="1"/>
    </xf>
    <xf numFmtId="3" fontId="15" fillId="0" borderId="18" xfId="0" applyNumberFormat="1" applyFont="1" applyBorder="1" applyAlignment="1" applyProtection="1">
      <alignment horizontal="center" vertical="center" wrapText="1"/>
    </xf>
    <xf numFmtId="0" fontId="6" fillId="5" borderId="124" xfId="0" applyFont="1" applyFill="1" applyBorder="1" applyAlignment="1" applyProtection="1">
      <alignment horizontal="left" vertical="top" wrapText="1"/>
    </xf>
    <xf numFmtId="0" fontId="6" fillId="5" borderId="125" xfId="0" applyFont="1" applyFill="1" applyBorder="1" applyAlignment="1" applyProtection="1">
      <alignment horizontal="left" vertical="top" wrapText="1"/>
    </xf>
    <xf numFmtId="0" fontId="6" fillId="5" borderId="126" xfId="0" applyFont="1" applyFill="1" applyBorder="1" applyAlignment="1" applyProtection="1">
      <alignment horizontal="left" vertical="top" wrapText="1"/>
    </xf>
    <xf numFmtId="0" fontId="6" fillId="0" borderId="0" xfId="0" applyFont="1" applyBorder="1" applyAlignment="1" applyProtection="1">
      <alignment horizontal="center" vertical="top" wrapText="1"/>
    </xf>
    <xf numFmtId="0" fontId="16" fillId="0" borderId="13" xfId="0" applyFont="1" applyBorder="1" applyAlignment="1" applyProtection="1">
      <alignment horizontal="center" wrapText="1"/>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5" fillId="0" borderId="0" xfId="0" applyFont="1" applyFill="1" applyBorder="1" applyAlignment="1" applyProtection="1">
      <alignment horizontal="left" vertical="center" wrapText="1"/>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16" fillId="0" borderId="85" xfId="0" applyFont="1" applyFill="1" applyBorder="1" applyAlignment="1" applyProtection="1">
      <alignment horizontal="center" vertical="center" wrapText="1"/>
    </xf>
    <xf numFmtId="0" fontId="16" fillId="0" borderId="0" xfId="0" applyFont="1" applyFill="1" applyAlignment="1" applyProtection="1">
      <alignment horizontal="center" vertical="center" wrapText="1"/>
    </xf>
    <xf numFmtId="0" fontId="16" fillId="0" borderId="13" xfId="0" applyFont="1" applyFill="1" applyBorder="1" applyAlignment="1" applyProtection="1">
      <alignment horizontal="center" vertical="center" wrapText="1"/>
    </xf>
    <xf numFmtId="0" fontId="6" fillId="0" borderId="133" xfId="0" applyFont="1" applyFill="1" applyBorder="1" applyAlignment="1" applyProtection="1">
      <alignment horizontal="left" vertical="center"/>
    </xf>
    <xf numFmtId="0" fontId="6" fillId="0" borderId="134" xfId="0" applyFont="1" applyFill="1" applyBorder="1" applyAlignment="1" applyProtection="1">
      <alignment horizontal="left" vertical="center"/>
    </xf>
    <xf numFmtId="0" fontId="6" fillId="0" borderId="135" xfId="0" applyFont="1" applyFill="1" applyBorder="1" applyAlignment="1" applyProtection="1">
      <alignment horizontal="left" vertical="center"/>
    </xf>
    <xf numFmtId="0" fontId="44" fillId="10" borderId="28" xfId="0" applyNumberFormat="1" applyFont="1" applyFill="1" applyBorder="1" applyAlignment="1" applyProtection="1">
      <alignment horizontal="left" vertical="center" wrapText="1"/>
    </xf>
    <xf numFmtId="0" fontId="44" fillId="10" borderId="57" xfId="0" applyNumberFormat="1" applyFont="1" applyFill="1" applyBorder="1" applyAlignment="1" applyProtection="1">
      <alignment horizontal="left" vertical="center" wrapText="1"/>
    </xf>
    <xf numFmtId="0" fontId="44" fillId="10" borderId="29" xfId="0" applyNumberFormat="1" applyFont="1" applyFill="1" applyBorder="1" applyAlignment="1" applyProtection="1">
      <alignment horizontal="left" vertical="center" wrapText="1"/>
    </xf>
    <xf numFmtId="0" fontId="12" fillId="0" borderId="0" xfId="0" applyFont="1" applyBorder="1" applyAlignment="1" applyProtection="1">
      <alignment horizontal="center" wrapText="1"/>
    </xf>
    <xf numFmtId="0" fontId="6" fillId="0" borderId="0" xfId="0" applyFont="1" applyBorder="1" applyAlignment="1" applyProtection="1">
      <alignment horizontal="left" vertical="center" wrapText="1"/>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44" fillId="10" borderId="133" xfId="0" applyFont="1" applyFill="1" applyBorder="1" applyAlignment="1" applyProtection="1">
      <alignment horizontal="left" vertical="top" wrapText="1"/>
    </xf>
    <xf numFmtId="0" fontId="44" fillId="10" borderId="134" xfId="0" applyFont="1" applyFill="1" applyBorder="1" applyAlignment="1" applyProtection="1">
      <alignment horizontal="left" vertical="top" wrapText="1"/>
    </xf>
    <xf numFmtId="0" fontId="44" fillId="10" borderId="135" xfId="0" applyFont="1" applyFill="1" applyBorder="1" applyAlignment="1" applyProtection="1">
      <alignment horizontal="left" vertical="top" wrapText="1"/>
    </xf>
    <xf numFmtId="0" fontId="6" fillId="10" borderId="17" xfId="0" applyFont="1" applyFill="1" applyBorder="1" applyAlignment="1" applyProtection="1">
      <alignment horizontal="center" vertical="top"/>
    </xf>
    <xf numFmtId="0" fontId="6" fillId="10" borderId="18" xfId="0" applyFont="1" applyFill="1" applyBorder="1" applyAlignment="1" applyProtection="1">
      <alignment horizontal="center" vertical="top"/>
    </xf>
    <xf numFmtId="0" fontId="44" fillId="10" borderId="86" xfId="0" applyFont="1" applyFill="1" applyBorder="1" applyAlignment="1" applyProtection="1">
      <alignment horizontal="left" vertical="top" wrapText="1"/>
    </xf>
    <xf numFmtId="0" fontId="44" fillId="10" borderId="12" xfId="0" applyFont="1" applyFill="1" applyBorder="1" applyAlignment="1" applyProtection="1">
      <alignment horizontal="left" vertical="top" wrapText="1"/>
    </xf>
    <xf numFmtId="0" fontId="44" fillId="0" borderId="0" xfId="0" applyFont="1" applyFill="1" applyAlignment="1" applyProtection="1">
      <alignment horizontal="left" vertical="top" wrapText="1"/>
    </xf>
    <xf numFmtId="4" fontId="6" fillId="10" borderId="17" xfId="0" applyNumberFormat="1" applyFont="1" applyFill="1" applyBorder="1" applyAlignment="1" applyProtection="1">
      <alignment horizontal="center" vertical="top"/>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0" fontId="113" fillId="0" borderId="0" xfId="0" applyFont="1" applyFill="1" applyBorder="1" applyAlignment="1" applyProtection="1">
      <alignment horizontal="left" wrapText="1"/>
    </xf>
    <xf numFmtId="0" fontId="6" fillId="0" borderId="0" xfId="0" applyFont="1" applyFill="1" applyAlignment="1" applyProtection="1">
      <alignment horizontal="center" vertical="center"/>
    </xf>
    <xf numFmtId="0" fontId="6" fillId="0" borderId="8"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44" fillId="10" borderId="109" xfId="0" applyFont="1" applyFill="1" applyBorder="1" applyAlignment="1" applyProtection="1">
      <alignment horizontal="left" vertical="top" wrapText="1"/>
    </xf>
    <xf numFmtId="0" fontId="44" fillId="10" borderId="108"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44" fillId="10" borderId="28" xfId="0" applyFont="1" applyFill="1" applyBorder="1" applyAlignment="1" applyProtection="1">
      <alignment horizontal="left" vertical="top" wrapText="1"/>
    </xf>
    <xf numFmtId="0" fontId="44" fillId="10" borderId="57" xfId="0" applyFont="1" applyFill="1" applyBorder="1" applyAlignment="1" applyProtection="1">
      <alignment horizontal="left" vertical="top" wrapText="1"/>
    </xf>
    <xf numFmtId="0" fontId="44" fillId="10" borderId="29" xfId="0" applyFont="1" applyFill="1" applyBorder="1" applyAlignment="1" applyProtection="1">
      <alignment horizontal="left" vertical="top" wrapText="1"/>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6" fillId="0" borderId="85" xfId="0" applyFont="1" applyFill="1" applyBorder="1" applyAlignment="1" applyProtection="1">
      <alignment horizontal="center"/>
    </xf>
    <xf numFmtId="0" fontId="15" fillId="0" borderId="0" xfId="0" quotePrefix="1" applyFont="1" applyFill="1" applyAlignment="1" applyProtection="1">
      <alignment horizontal="left" vertical="top" wrapText="1"/>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15" fillId="0" borderId="0" xfId="0" applyFont="1" applyAlignment="1" applyProtection="1">
      <alignment horizontal="left" vertical="top" wrapText="1"/>
    </xf>
    <xf numFmtId="0" fontId="18" fillId="0" borderId="0"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5" fillId="0" borderId="56"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5" fillId="0" borderId="78"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0" fontId="44" fillId="20" borderId="0" xfId="0" applyFont="1" applyFill="1" applyAlignment="1" applyProtection="1">
      <alignment horizontal="left" vertical="center" wrapText="1"/>
    </xf>
    <xf numFmtId="0" fontId="6" fillId="0" borderId="13" xfId="0" applyFont="1" applyFill="1" applyBorder="1" applyAlignment="1" applyProtection="1">
      <alignment horizontal="left" vertical="center" wrapText="1"/>
    </xf>
    <xf numFmtId="49" fontId="103" fillId="20" borderId="0" xfId="0" applyNumberFormat="1" applyFont="1" applyFill="1" applyAlignment="1" applyProtection="1">
      <alignment horizontal="center" vertical="center"/>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18" fillId="0" borderId="0" xfId="0" applyFont="1" applyAlignment="1" applyProtection="1">
      <alignment horizontal="center"/>
    </xf>
    <xf numFmtId="0" fontId="163" fillId="0" borderId="0" xfId="0" applyFont="1" applyFill="1" applyBorder="1" applyAlignment="1" applyProtection="1">
      <alignment horizontal="center" vertical="top" wrapText="1"/>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0" fontId="6" fillId="5" borderId="33" xfId="0" applyFont="1" applyFill="1" applyBorder="1" applyAlignment="1" applyProtection="1">
      <alignment horizontal="left" vertical="center"/>
    </xf>
    <xf numFmtId="0" fontId="6" fillId="5" borderId="58" xfId="0" applyFont="1" applyFill="1" applyBorder="1" applyAlignment="1" applyProtection="1">
      <alignment horizontal="left" vertical="center"/>
    </xf>
    <xf numFmtId="0" fontId="6" fillId="5" borderId="34" xfId="0" applyFont="1" applyFill="1" applyBorder="1" applyAlignment="1" applyProtection="1">
      <alignment horizontal="left" vertical="center"/>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16" fillId="0" borderId="121"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0" fontId="6" fillId="0" borderId="8" xfId="0" applyFont="1" applyFill="1" applyBorder="1" applyAlignment="1" applyProtection="1">
      <alignment horizontal="left" vertical="center" wrapText="1"/>
    </xf>
    <xf numFmtId="0" fontId="115" fillId="0" borderId="165" xfId="0" applyFont="1" applyFill="1" applyBorder="1" applyAlignment="1" applyProtection="1">
      <alignment horizontal="center" vertical="top" wrapText="1"/>
    </xf>
    <xf numFmtId="0" fontId="115" fillId="0" borderId="166" xfId="0" applyFont="1" applyFill="1" applyBorder="1" applyAlignment="1" applyProtection="1">
      <alignment horizontal="center" vertical="top" wrapText="1"/>
    </xf>
    <xf numFmtId="0" fontId="115" fillId="0" borderId="167" xfId="0" applyFont="1" applyFill="1" applyBorder="1" applyAlignment="1" applyProtection="1">
      <alignment horizontal="center" vertical="top" wrapText="1"/>
    </xf>
    <xf numFmtId="0" fontId="115" fillId="0" borderId="168"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0" fontId="115" fillId="0" borderId="169" xfId="0" applyFont="1" applyFill="1" applyBorder="1" applyAlignment="1" applyProtection="1">
      <alignment horizontal="center" vertical="top" wrapText="1"/>
    </xf>
    <xf numFmtId="0" fontId="115" fillId="0" borderId="170" xfId="0" applyFont="1" applyFill="1" applyBorder="1" applyAlignment="1" applyProtection="1">
      <alignment horizontal="center" vertical="top" wrapText="1"/>
    </xf>
    <xf numFmtId="0" fontId="115" fillId="0" borderId="171" xfId="0" applyFont="1" applyFill="1" applyBorder="1" applyAlignment="1" applyProtection="1">
      <alignment horizontal="center" vertical="top" wrapText="1"/>
    </xf>
    <xf numFmtId="0" fontId="115" fillId="0" borderId="172" xfId="0" applyFont="1" applyFill="1" applyBorder="1" applyAlignment="1" applyProtection="1">
      <alignment horizontal="center" vertical="top" wrapText="1"/>
    </xf>
    <xf numFmtId="0" fontId="12" fillId="0" borderId="0" xfId="0" applyFont="1" applyFill="1" applyAlignment="1" applyProtection="1">
      <alignment horizontal="left" vertical="center"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10"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wrapText="1"/>
    </xf>
    <xf numFmtId="0" fontId="47" fillId="5" borderId="52" xfId="0" applyNumberFormat="1" applyFont="1" applyFill="1" applyBorder="1" applyAlignment="1" applyProtection="1">
      <alignment horizontal="center" vertical="center"/>
    </xf>
    <xf numFmtId="0" fontId="6" fillId="0" borderId="33" xfId="0" applyFont="1" applyFill="1" applyBorder="1" applyAlignment="1" applyProtection="1">
      <alignment horizontal="left" vertical="center" wrapText="1"/>
    </xf>
    <xf numFmtId="0" fontId="6" fillId="0" borderId="58"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6" fillId="0" borderId="7" xfId="0" applyFont="1" applyFill="1" applyBorder="1" applyAlignment="1" applyProtection="1">
      <alignment horizontal="right" vertical="center" wrapText="1"/>
    </xf>
    <xf numFmtId="0" fontId="6" fillId="0" borderId="0" xfId="0" applyFont="1" applyFill="1" applyBorder="1" applyAlignment="1" applyProtection="1">
      <alignment horizontal="right" vertical="center" wrapText="1"/>
    </xf>
    <xf numFmtId="176" fontId="12" fillId="10" borderId="78" xfId="0" applyNumberFormat="1" applyFont="1" applyFill="1" applyBorder="1" applyAlignment="1" applyProtection="1">
      <alignment horizontal="center" vertical="center"/>
    </xf>
    <xf numFmtId="176" fontId="12" fillId="10" borderId="79" xfId="0" applyNumberFormat="1" applyFont="1" applyFill="1" applyBorder="1" applyAlignment="1" applyProtection="1">
      <alignment horizontal="center" vertical="center"/>
    </xf>
    <xf numFmtId="0" fontId="9" fillId="5" borderId="13" xfId="0" applyFont="1" applyFill="1" applyBorder="1" applyAlignment="1" applyProtection="1">
      <alignment horizontal="left" vertical="center"/>
    </xf>
    <xf numFmtId="0" fontId="9" fillId="5" borderId="14" xfId="0" applyFont="1" applyFill="1" applyBorder="1" applyAlignment="1" applyProtection="1">
      <alignment horizontal="left" vertical="center"/>
    </xf>
    <xf numFmtId="0" fontId="78"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4" fontId="6" fillId="10" borderId="18" xfId="0" applyNumberFormat="1" applyFont="1" applyFill="1" applyBorder="1" applyAlignment="1" applyProtection="1">
      <alignment horizontal="center" vertical="top"/>
    </xf>
    <xf numFmtId="0" fontId="6" fillId="10" borderId="16" xfId="0" applyFont="1" applyFill="1" applyBorder="1" applyAlignment="1" applyProtection="1">
      <alignment horizontal="center" vertical="top"/>
    </xf>
    <xf numFmtId="4" fontId="6" fillId="10" borderId="16" xfId="0" applyNumberFormat="1" applyFont="1" applyFill="1" applyBorder="1" applyAlignment="1" applyProtection="1">
      <alignment horizontal="center" vertical="top"/>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87" fillId="20" borderId="86" xfId="0" applyFont="1" applyFill="1" applyBorder="1" applyAlignment="1" applyProtection="1">
      <alignment horizontal="left" vertical="center" wrapText="1"/>
    </xf>
    <xf numFmtId="0" fontId="103" fillId="20" borderId="80" xfId="0" applyFont="1" applyFill="1" applyBorder="1" applyAlignment="1" applyProtection="1">
      <alignment horizontal="center" vertical="center" wrapText="1"/>
    </xf>
    <xf numFmtId="0" fontId="103" fillId="20" borderId="85" xfId="0" applyFont="1" applyFill="1" applyBorder="1" applyAlignment="1" applyProtection="1">
      <alignment horizontal="center" vertical="center" wrapText="1"/>
    </xf>
    <xf numFmtId="0" fontId="103" fillId="20" borderId="81" xfId="0" applyFont="1" applyFill="1" applyBorder="1" applyAlignment="1" applyProtection="1">
      <alignment horizontal="center" vertical="center" wrapText="1"/>
    </xf>
    <xf numFmtId="0" fontId="103" fillId="20" borderId="7" xfId="0" applyFont="1" applyFill="1" applyBorder="1" applyAlignment="1" applyProtection="1">
      <alignment horizontal="center" vertical="center" wrapText="1"/>
    </xf>
    <xf numFmtId="0" fontId="103" fillId="20" borderId="0" xfId="0" applyFont="1" applyFill="1" applyBorder="1" applyAlignment="1" applyProtection="1">
      <alignment horizontal="center" vertical="center" wrapText="1"/>
    </xf>
    <xf numFmtId="0" fontId="103" fillId="20" borderId="8" xfId="0" applyFont="1" applyFill="1" applyBorder="1" applyAlignment="1" applyProtection="1">
      <alignment horizontal="center" vertical="center" wrapText="1"/>
    </xf>
    <xf numFmtId="0" fontId="103" fillId="20" borderId="9" xfId="0" applyFont="1" applyFill="1" applyBorder="1" applyAlignment="1" applyProtection="1">
      <alignment horizontal="center" vertical="center" wrapText="1"/>
    </xf>
    <xf numFmtId="0" fontId="103" fillId="20" borderId="13" xfId="0" applyFont="1" applyFill="1" applyBorder="1" applyAlignment="1" applyProtection="1">
      <alignment horizontal="center" vertical="center" wrapText="1"/>
    </xf>
    <xf numFmtId="0" fontId="103" fillId="20" borderId="14" xfId="0" applyFont="1" applyFill="1" applyBorder="1" applyAlignment="1" applyProtection="1">
      <alignment horizontal="center" vertical="center" wrapText="1"/>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5" fillId="0" borderId="90" xfId="0" applyFont="1" applyBorder="1" applyAlignment="1" applyProtection="1">
      <alignment horizontal="center" vertical="center" textRotation="90" wrapText="1"/>
    </xf>
    <xf numFmtId="0" fontId="15" fillId="0" borderId="123" xfId="0" applyFont="1" applyBorder="1" applyAlignment="1" applyProtection="1">
      <alignment horizontal="center" vertical="center" textRotation="90" wrapText="1"/>
    </xf>
    <xf numFmtId="0" fontId="15" fillId="0" borderId="91" xfId="0" applyFont="1" applyBorder="1" applyAlignment="1" applyProtection="1">
      <alignment horizontal="center" vertical="center" textRotation="90" wrapText="1"/>
    </xf>
    <xf numFmtId="0" fontId="6" fillId="0" borderId="30" xfId="0" applyFont="1" applyFill="1" applyBorder="1" applyAlignment="1" applyProtection="1">
      <alignment horizontal="left" vertical="center"/>
    </xf>
    <xf numFmtId="0" fontId="6" fillId="0" borderId="21" xfId="0" applyFont="1" applyFill="1" applyBorder="1" applyAlignment="1" applyProtection="1">
      <alignment horizontal="left" vertical="center"/>
    </xf>
    <xf numFmtId="0" fontId="6" fillId="0" borderId="31" xfId="0" applyFont="1" applyFill="1" applyBorder="1" applyAlignment="1" applyProtection="1">
      <alignment horizontal="left" vertical="center"/>
    </xf>
    <xf numFmtId="0" fontId="6" fillId="0" borderId="33" xfId="0" applyFont="1" applyFill="1" applyBorder="1" applyAlignment="1" applyProtection="1">
      <alignment horizontal="left" vertical="center"/>
    </xf>
    <xf numFmtId="0" fontId="6" fillId="0" borderId="58" xfId="0" applyFont="1" applyFill="1" applyBorder="1" applyAlignment="1" applyProtection="1">
      <alignment horizontal="left" vertical="center"/>
    </xf>
    <xf numFmtId="0" fontId="6" fillId="0" borderId="34" xfId="0" applyFont="1" applyFill="1" applyBorder="1" applyAlignment="1" applyProtection="1">
      <alignment horizontal="left" vertical="center"/>
    </xf>
    <xf numFmtId="0" fontId="6" fillId="0" borderId="28" xfId="0" applyFont="1" applyFill="1" applyBorder="1" applyAlignment="1" applyProtection="1">
      <alignment horizontal="left" vertical="center"/>
    </xf>
    <xf numFmtId="0" fontId="6" fillId="0" borderId="57" xfId="0" applyFont="1" applyFill="1" applyBorder="1" applyAlignment="1" applyProtection="1">
      <alignment horizontal="left" vertical="center"/>
    </xf>
    <xf numFmtId="0" fontId="6" fillId="0" borderId="29" xfId="0" applyFont="1" applyFill="1" applyBorder="1" applyAlignment="1" applyProtection="1">
      <alignment horizontal="left"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16" fillId="0" borderId="13" xfId="0" applyFont="1" applyFill="1" applyBorder="1" applyAlignment="1" applyProtection="1">
      <alignment horizontal="left"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6" fillId="10" borderId="133" xfId="0" applyFont="1" applyFill="1" applyBorder="1" applyAlignment="1" applyProtection="1">
      <alignment horizontal="left" vertical="center"/>
    </xf>
    <xf numFmtId="0" fontId="6" fillId="10" borderId="134" xfId="0" applyFont="1" applyFill="1" applyBorder="1" applyAlignment="1" applyProtection="1">
      <alignment horizontal="left" vertical="center"/>
    </xf>
    <xf numFmtId="0" fontId="6" fillId="10" borderId="135" xfId="0" applyFont="1" applyFill="1" applyBorder="1" applyAlignment="1" applyProtection="1">
      <alignment horizontal="left" vertical="center"/>
    </xf>
    <xf numFmtId="0" fontId="112" fillId="20" borderId="80" xfId="0" applyFont="1" applyFill="1" applyBorder="1" applyAlignment="1" applyProtection="1">
      <alignment horizontal="center" vertical="center" wrapText="1"/>
    </xf>
    <xf numFmtId="0" fontId="112" fillId="20" borderId="85" xfId="0" applyFont="1" applyFill="1" applyBorder="1" applyAlignment="1" applyProtection="1">
      <alignment horizontal="center" vertical="center" wrapText="1"/>
    </xf>
    <xf numFmtId="0" fontId="112" fillId="20" borderId="81" xfId="0" applyFont="1" applyFill="1" applyBorder="1" applyAlignment="1" applyProtection="1">
      <alignment horizontal="center" vertical="center" wrapText="1"/>
    </xf>
    <xf numFmtId="0" fontId="112" fillId="20" borderId="8" xfId="0" applyFont="1" applyFill="1" applyBorder="1" applyAlignment="1" applyProtection="1">
      <alignment horizontal="center" vertical="center" wrapText="1"/>
    </xf>
    <xf numFmtId="0" fontId="112" fillId="20" borderId="9" xfId="0" applyFont="1" applyFill="1" applyBorder="1" applyAlignment="1" applyProtection="1">
      <alignment horizontal="center" vertical="center" wrapText="1"/>
    </xf>
    <xf numFmtId="0" fontId="112" fillId="20" borderId="13" xfId="0" applyFont="1" applyFill="1" applyBorder="1" applyAlignment="1" applyProtection="1">
      <alignment horizontal="center" vertical="center" wrapText="1"/>
    </xf>
    <xf numFmtId="0" fontId="112" fillId="20" borderId="14" xfId="0" applyFont="1" applyFill="1" applyBorder="1" applyAlignment="1" applyProtection="1">
      <alignment horizontal="center" vertical="center" wrapText="1"/>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0" fontId="87"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8" fillId="0" borderId="0" xfId="0" applyFont="1" applyFill="1" applyBorder="1" applyAlignment="1" applyProtection="1">
      <alignment horizontal="center"/>
    </xf>
    <xf numFmtId="0" fontId="103" fillId="20" borderId="86" xfId="0" applyFont="1" applyFill="1" applyBorder="1" applyAlignment="1" applyProtection="1">
      <alignment horizontal="left" vertical="center" wrapText="1"/>
    </xf>
    <xf numFmtId="0" fontId="140" fillId="20" borderId="86" xfId="0" applyFont="1" applyFill="1" applyBorder="1" applyAlignment="1" applyProtection="1">
      <alignment horizontal="center" vertical="center" wrapText="1"/>
    </xf>
    <xf numFmtId="0" fontId="6" fillId="10" borderId="33" xfId="0" applyFont="1" applyFill="1" applyBorder="1" applyAlignment="1" applyProtection="1">
      <alignment horizontal="left" vertical="center"/>
    </xf>
    <xf numFmtId="0" fontId="6" fillId="10" borderId="58" xfId="0" applyFont="1" applyFill="1" applyBorder="1" applyAlignment="1" applyProtection="1">
      <alignment horizontal="left" vertical="center"/>
    </xf>
    <xf numFmtId="0" fontId="6" fillId="10" borderId="34" xfId="0" applyFont="1" applyFill="1" applyBorder="1" applyAlignment="1" applyProtection="1">
      <alignment horizontal="left" vertical="center"/>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3" fontId="6" fillId="0" borderId="78" xfId="0" applyNumberFormat="1" applyFont="1" applyFill="1" applyBorder="1" applyAlignment="1" applyProtection="1">
      <alignment horizontal="center" vertical="center"/>
    </xf>
    <xf numFmtId="3" fontId="6" fillId="0" borderId="79" xfId="0" applyNumberFormat="1" applyFont="1" applyFill="1" applyBorder="1" applyAlignment="1" applyProtection="1">
      <alignment horizontal="center" vertical="center"/>
    </xf>
    <xf numFmtId="0" fontId="100"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6" fillId="10" borderId="80" xfId="0" applyFont="1" applyFill="1" applyBorder="1" applyAlignment="1" applyProtection="1">
      <alignment horizontal="left" vertical="center"/>
    </xf>
    <xf numFmtId="0" fontId="6" fillId="10" borderId="85" xfId="0" applyFont="1" applyFill="1" applyBorder="1" applyAlignment="1" applyProtection="1">
      <alignment horizontal="left" vertical="center"/>
    </xf>
    <xf numFmtId="0" fontId="6" fillId="10" borderId="81" xfId="0" applyFont="1" applyFill="1" applyBorder="1" applyAlignment="1" applyProtection="1">
      <alignment horizontal="left" vertical="center"/>
    </xf>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11" fillId="0" borderId="0" xfId="13" applyFont="1" applyFill="1" applyAlignment="1" applyProtection="1">
      <alignment horizontal="justify" vertical="top" wrapText="1"/>
    </xf>
    <xf numFmtId="0" fontId="117" fillId="0" borderId="0" xfId="13" applyFont="1" applyFill="1" applyAlignment="1" applyProtection="1">
      <alignment horizontal="justify" vertical="top" wrapText="1"/>
    </xf>
    <xf numFmtId="0" fontId="11"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11"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9"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3" fillId="0" borderId="0" xfId="13" applyFont="1" applyAlignment="1">
      <alignment horizontal="center" vertical="center"/>
    </xf>
    <xf numFmtId="0" fontId="262"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136" fillId="0" borderId="0" xfId="13" applyFont="1" applyAlignment="1" applyProtection="1">
      <alignment horizontal="center"/>
    </xf>
    <xf numFmtId="0" fontId="7" fillId="0" borderId="77" xfId="13" applyFont="1" applyBorder="1" applyAlignment="1" applyProtection="1">
      <alignment horizontal="center" vertical="center" wrapText="1"/>
    </xf>
    <xf numFmtId="0" fontId="7" fillId="0" borderId="21" xfId="13" applyFont="1" applyBorder="1" applyAlignment="1" applyProtection="1">
      <alignment horizontal="center" vertical="center"/>
    </xf>
    <xf numFmtId="0" fontId="7" fillId="0" borderId="74"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0" fontId="25" fillId="0" borderId="86" xfId="13" applyFont="1" applyBorder="1" applyAlignment="1" applyProtection="1">
      <alignment horizontal="center" vertical="center" wrapText="1"/>
    </xf>
    <xf numFmtId="0" fontId="7" fillId="20" borderId="104" xfId="13" applyFont="1" applyFill="1" applyBorder="1" applyAlignment="1" applyProtection="1">
      <alignment horizontal="center" vertical="center"/>
    </xf>
    <xf numFmtId="0" fontId="7" fillId="20" borderId="105" xfId="13" applyFont="1" applyFill="1" applyBorder="1" applyAlignment="1" applyProtection="1">
      <alignment horizontal="center" vertical="center"/>
    </xf>
    <xf numFmtId="3" fontId="15" fillId="0" borderId="52" xfId="13" applyNumberFormat="1" applyFont="1" applyBorder="1" applyAlignment="1" applyProtection="1">
      <alignment horizontal="center" vertical="center"/>
    </xf>
    <xf numFmtId="37" fontId="15" fillId="0" borderId="52" xfId="13" applyNumberFormat="1" applyFont="1" applyBorder="1" applyAlignment="1" applyProtection="1">
      <alignment horizontal="center" vertical="center"/>
    </xf>
    <xf numFmtId="0" fontId="5" fillId="0" borderId="0" xfId="13" applyFont="1" applyAlignment="1" applyProtection="1">
      <alignment horizontal="center" wrapText="1"/>
    </xf>
    <xf numFmtId="0" fontId="5" fillId="0" borderId="20" xfId="13" applyFont="1" applyBorder="1" applyAlignment="1" applyProtection="1">
      <alignment horizontal="center" wrapText="1"/>
    </xf>
    <xf numFmtId="0" fontId="161" fillId="0" borderId="0" xfId="13" applyFont="1" applyAlignment="1" applyProtection="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1" xfId="13" applyFont="1" applyFill="1" applyBorder="1" applyAlignment="1" applyProtection="1">
      <alignment horizontal="left"/>
    </xf>
    <xf numFmtId="0" fontId="5" fillId="10" borderId="119"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0" fontId="10" fillId="10" borderId="13" xfId="13" applyFont="1" applyFill="1" applyBorder="1" applyAlignment="1" applyProtection="1">
      <alignment horizontal="left"/>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232" fillId="0" borderId="0" xfId="33" applyFont="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5" fillId="0" borderId="0" xfId="13" applyFont="1" applyBorder="1" applyAlignment="1" applyProtection="1">
      <alignment horizontal="justify" vertical="top" wrapText="1"/>
    </xf>
    <xf numFmtId="0" fontId="5" fillId="0" borderId="20" xfId="13" applyFont="1" applyBorder="1" applyAlignment="1" applyProtection="1">
      <alignment horizontal="justify" vertical="top" wrapText="1"/>
    </xf>
    <xf numFmtId="0" fontId="5"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5" fillId="0" borderId="0" xfId="13" applyFont="1" applyFill="1" applyAlignment="1" applyProtection="1">
      <alignment horizontal="justify" vertical="top" wrapText="1"/>
    </xf>
    <xf numFmtId="0" fontId="198" fillId="0" borderId="0" xfId="13" applyFont="1" applyAlignment="1" applyProtection="1">
      <alignment horizontal="left" vertic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3" fontId="167" fillId="0" borderId="0" xfId="13" applyNumberFormat="1" applyFont="1" applyAlignment="1" applyProtection="1">
      <alignment horizontal="center" vertical="center"/>
    </xf>
    <xf numFmtId="3" fontId="92" fillId="10" borderId="77" xfId="13" applyNumberFormat="1" applyFont="1" applyFill="1" applyBorder="1" applyAlignment="1" applyProtection="1">
      <alignment horizontal="center" vertical="center"/>
    </xf>
    <xf numFmtId="3" fontId="92" fillId="10" borderId="74" xfId="13" applyNumberFormat="1" applyFont="1" applyFill="1" applyBorder="1" applyAlignment="1" applyProtection="1">
      <alignment horizontal="center" vertical="center"/>
    </xf>
    <xf numFmtId="3" fontId="100" fillId="10" borderId="91" xfId="13" applyNumberFormat="1" applyFont="1" applyFill="1" applyBorder="1" applyAlignment="1" applyProtection="1">
      <alignment horizontal="center" vertical="center"/>
    </xf>
    <xf numFmtId="3" fontId="100" fillId="10" borderId="42" xfId="13" applyNumberFormat="1" applyFont="1" applyFill="1" applyBorder="1" applyAlignment="1" applyProtection="1">
      <alignment horizontal="center" vertical="center"/>
    </xf>
    <xf numFmtId="0" fontId="15" fillId="0" borderId="13" xfId="13" applyFont="1" applyBorder="1" applyAlignment="1" applyProtection="1">
      <alignment horizontal="center" wrapText="1"/>
    </xf>
    <xf numFmtId="0" fontId="15" fillId="0" borderId="0" xfId="13" applyFont="1" applyBorder="1" applyAlignment="1" applyProtection="1">
      <alignment horizontal="center" wrapText="1"/>
    </xf>
    <xf numFmtId="0" fontId="6" fillId="0" borderId="62" xfId="13" applyFont="1" applyBorder="1" applyAlignment="1" applyProtection="1">
      <alignment horizontal="center" wrapText="1"/>
    </xf>
    <xf numFmtId="0" fontId="6" fillId="0" borderId="67" xfId="13" applyFont="1" applyBorder="1" applyAlignment="1" applyProtection="1">
      <alignment horizontal="center" wrapText="1"/>
    </xf>
    <xf numFmtId="0" fontId="6" fillId="0" borderId="44" xfId="13" applyFont="1" applyBorder="1" applyAlignment="1" applyProtection="1">
      <alignment horizontal="center" wrapText="1"/>
    </xf>
    <xf numFmtId="0" fontId="6" fillId="0" borderId="8" xfId="13" applyFont="1" applyBorder="1" applyAlignment="1" applyProtection="1">
      <alignment horizontal="center" wrapText="1"/>
    </xf>
    <xf numFmtId="0" fontId="6" fillId="0" borderId="45" xfId="13" applyFont="1" applyBorder="1" applyAlignment="1" applyProtection="1">
      <alignment horizontal="center" wrapText="1"/>
    </xf>
    <xf numFmtId="0" fontId="6" fillId="0" borderId="188" xfId="13" applyFont="1" applyBorder="1" applyAlignment="1" applyProtection="1">
      <alignment horizontal="center" wrapText="1"/>
    </xf>
    <xf numFmtId="0" fontId="5" fillId="0" borderId="70" xfId="13" applyFont="1" applyBorder="1" applyAlignment="1" applyProtection="1">
      <alignment horizontal="center" vertical="center"/>
    </xf>
    <xf numFmtId="0" fontId="5" fillId="0" borderId="0" xfId="13" applyFont="1" applyBorder="1" applyAlignment="1" applyProtection="1">
      <alignment horizontal="center" vertical="center"/>
    </xf>
    <xf numFmtId="0" fontId="5" fillId="0" borderId="83" xfId="13" applyFont="1" applyBorder="1" applyAlignment="1" applyProtection="1">
      <alignment horizontal="center" vertical="center"/>
    </xf>
    <xf numFmtId="0" fontId="6" fillId="0" borderId="9" xfId="13" applyFont="1" applyBorder="1" applyAlignment="1" applyProtection="1">
      <alignment horizontal="center" wrapText="1"/>
    </xf>
    <xf numFmtId="0" fontId="6" fillId="0" borderId="13" xfId="13" applyFont="1" applyBorder="1" applyAlignment="1" applyProtection="1">
      <alignment horizontal="center" wrapText="1"/>
    </xf>
    <xf numFmtId="0" fontId="6" fillId="0" borderId="189" xfId="13" applyFont="1" applyBorder="1" applyAlignment="1" applyProtection="1">
      <alignment horizontal="center" wrapText="1"/>
    </xf>
    <xf numFmtId="0" fontId="6" fillId="0" borderId="83" xfId="13" applyFont="1" applyBorder="1" applyAlignment="1" applyProtection="1">
      <alignment horizontal="center" wrapText="1"/>
    </xf>
    <xf numFmtId="0" fontId="6" fillId="0" borderId="163" xfId="13" applyFont="1" applyBorder="1" applyAlignment="1" applyProtection="1">
      <alignment horizontal="center" wrapText="1"/>
    </xf>
    <xf numFmtId="0" fontId="6" fillId="0" borderId="64" xfId="13" applyFont="1" applyBorder="1" applyAlignment="1" applyProtection="1">
      <alignment horizontal="center" wrapText="1"/>
    </xf>
    <xf numFmtId="0" fontId="118" fillId="0" borderId="56" xfId="13" applyFont="1" applyBorder="1" applyAlignment="1" applyProtection="1">
      <alignment horizontal="center" vertical="center"/>
    </xf>
    <xf numFmtId="0" fontId="118" fillId="0" borderId="1" xfId="13" applyFont="1" applyBorder="1" applyAlignment="1" applyProtection="1">
      <alignment horizontal="center" vertical="center"/>
    </xf>
    <xf numFmtId="0" fontId="118" fillId="0" borderId="35" xfId="13" applyFont="1" applyBorder="1" applyAlignment="1" applyProtection="1">
      <alignment horizontal="center" vertical="center"/>
    </xf>
    <xf numFmtId="0" fontId="5" fillId="0" borderId="185" xfId="13" applyFont="1" applyBorder="1" applyAlignment="1" applyProtection="1">
      <alignment horizontal="center" vertical="center"/>
    </xf>
    <xf numFmtId="0" fontId="5" fillId="0" borderId="186" xfId="13" applyFont="1" applyBorder="1" applyAlignment="1" applyProtection="1">
      <alignment horizontal="center" vertical="center"/>
    </xf>
    <xf numFmtId="0" fontId="5" fillId="0" borderId="187" xfId="13" applyFont="1" applyBorder="1" applyAlignment="1" applyProtection="1">
      <alignment horizontal="center" vertical="center"/>
    </xf>
    <xf numFmtId="0" fontId="6" fillId="0" borderId="19" xfId="13" applyFont="1" applyBorder="1" applyAlignment="1" applyProtection="1">
      <alignment horizontal="center" vertical="center" wrapText="1"/>
    </xf>
    <xf numFmtId="0" fontId="6" fillId="0" borderId="0" xfId="13" applyFont="1" applyBorder="1" applyAlignment="1" applyProtection="1">
      <alignment horizontal="center" vertical="center" wrapText="1"/>
    </xf>
    <xf numFmtId="0" fontId="6" fillId="0" borderId="83" xfId="13" applyFont="1" applyBorder="1" applyAlignment="1" applyProtection="1">
      <alignment horizontal="center" vertical="center" wrapText="1"/>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5" fillId="0" borderId="0" xfId="13" applyFont="1" applyBorder="1" applyAlignment="1" applyProtection="1">
      <alignment horizontal="left"/>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xf numFmtId="3" fontId="44" fillId="0" borderId="3" xfId="10" applyNumberFormat="1"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6" xfId="0" applyNumberFormat="1" applyFont="1" applyBorder="1" applyAlignment="1">
      <alignment horizontal="center" vertical="center"/>
    </xf>
    <xf numFmtId="38" fontId="44" fillId="0" borderId="18" xfId="0" applyNumberFormat="1" applyFont="1" applyBorder="1" applyAlignment="1">
      <alignment horizontal="center" vertical="center"/>
    </xf>
    <xf numFmtId="38" fontId="44" fillId="0" borderId="86" xfId="0" applyNumberFormat="1" applyFont="1" applyBorder="1" applyAlignment="1">
      <alignment horizontal="center" vertical="center"/>
    </xf>
    <xf numFmtId="9" fontId="44" fillId="0" borderId="3" xfId="10"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55" fillId="0" borderId="0" xfId="0" quotePrefix="1" applyFont="1" applyAlignment="1" applyProtection="1">
      <alignment horizont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64" fontId="47" fillId="5" borderId="3" xfId="1" applyNumberFormat="1" applyFont="1" applyFill="1" applyBorder="1" applyAlignment="1" applyProtection="1">
      <alignmen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164" fontId="47" fillId="5" borderId="17" xfId="1"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7" fillId="5" borderId="133" xfId="36" applyFont="1" applyFill="1" applyBorder="1" applyAlignment="1" applyProtection="1">
      <alignment horizontal="left" vertical="center"/>
    </xf>
    <xf numFmtId="0" fontId="47" fillId="5" borderId="134" xfId="36" applyFont="1" applyFill="1" applyBorder="1" applyAlignment="1" applyProtection="1">
      <alignment horizontal="left" vertical="center"/>
    </xf>
    <xf numFmtId="0" fontId="47" fillId="5" borderId="135" xfId="36"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26" xfId="43" applyFont="1" applyFill="1" applyBorder="1" applyAlignment="1" applyProtection="1">
      <alignment horizontal="left" vertical="center"/>
    </xf>
    <xf numFmtId="0" fontId="47" fillId="5" borderId="19" xfId="43" applyFont="1" applyFill="1" applyBorder="1" applyAlignment="1" applyProtection="1">
      <alignment horizontal="left" vertical="center"/>
    </xf>
    <xf numFmtId="0" fontId="47" fillId="5" borderId="58" xfId="43" applyFont="1" applyFill="1" applyBorder="1" applyAlignment="1" applyProtection="1">
      <alignment horizontal="left" vertical="center"/>
    </xf>
    <xf numFmtId="0" fontId="47" fillId="5" borderId="34" xfId="43" applyFont="1" applyFill="1" applyBorder="1" applyAlignment="1" applyProtection="1">
      <alignment horizontal="left" vertical="center"/>
    </xf>
    <xf numFmtId="0" fontId="47" fillId="5" borderId="26"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17" xfId="0" applyFont="1" applyFill="1" applyBorder="1" applyAlignment="1" applyProtection="1">
      <alignment horizontal="left"/>
    </xf>
    <xf numFmtId="169" fontId="47" fillId="5" borderId="30" xfId="46" applyNumberFormat="1" applyFont="1" applyFill="1" applyBorder="1" applyAlignment="1" applyProtection="1">
      <alignment horizontal="left" vertical="center"/>
    </xf>
    <xf numFmtId="169" fontId="47" fillId="5" borderId="21" xfId="46" applyNumberFormat="1" applyFont="1" applyFill="1" applyBorder="1" applyAlignment="1" applyProtection="1">
      <alignment horizontal="left" vertical="center"/>
    </xf>
    <xf numFmtId="169" fontId="47" fillId="5" borderId="31" xfId="46" applyNumberFormat="1" applyFont="1" applyFill="1" applyBorder="1" applyAlignment="1" applyProtection="1">
      <alignment horizontal="left" vertical="center"/>
    </xf>
    <xf numFmtId="167" fontId="47" fillId="5" borderId="27" xfId="47" applyNumberFormat="1" applyFont="1" applyFill="1" applyBorder="1" applyAlignment="1" applyProtection="1">
      <alignment horizontal="left" vertical="center"/>
    </xf>
    <xf numFmtId="167" fontId="47" fillId="5" borderId="135" xfId="47" applyNumberFormat="1" applyFont="1" applyFill="1" applyBorder="1" applyAlignment="1" applyProtection="1">
      <alignment horizontal="left" vertical="center"/>
    </xf>
    <xf numFmtId="0" fontId="47" fillId="5" borderId="86" xfId="0" applyFont="1" applyFill="1" applyBorder="1" applyAlignment="1" applyProtection="1">
      <alignment horizontal="center" vertical="center"/>
    </xf>
    <xf numFmtId="167" fontId="47" fillId="5" borderId="190" xfId="50" applyNumberFormat="1" applyFont="1" applyFill="1" applyBorder="1" applyAlignment="1" applyProtection="1">
      <alignment horizontal="left" vertical="center"/>
    </xf>
    <xf numFmtId="167" fontId="47" fillId="5" borderId="191" xfId="50" applyNumberFormat="1" applyFont="1" applyFill="1" applyBorder="1" applyAlignment="1" applyProtection="1">
      <alignment horizontal="left" vertical="center"/>
    </xf>
    <xf numFmtId="0" fontId="47" fillId="5" borderId="9" xfId="41" applyFont="1" applyFill="1" applyBorder="1" applyAlignment="1" applyProtection="1">
      <alignment horizontal="left" vertical="center"/>
    </xf>
    <xf numFmtId="0" fontId="47" fillId="5" borderId="13" xfId="41" applyFont="1" applyFill="1" applyBorder="1" applyAlignment="1" applyProtection="1">
      <alignment horizontal="left" vertical="center"/>
    </xf>
    <xf numFmtId="0" fontId="47" fillId="5" borderId="82" xfId="41" applyFont="1" applyFill="1" applyBorder="1" applyAlignment="1" applyProtection="1">
      <alignment horizontal="left" vertical="center"/>
    </xf>
    <xf numFmtId="0" fontId="47" fillId="5" borderId="14" xfId="41" applyFont="1" applyFill="1" applyBorder="1" applyAlignment="1" applyProtection="1">
      <alignment horizontal="left" vertical="center"/>
    </xf>
    <xf numFmtId="167" fontId="47" fillId="5" borderId="33" xfId="48" applyNumberFormat="1" applyFont="1" applyFill="1" applyBorder="1" applyAlignment="1" applyProtection="1">
      <alignment horizontal="left" vertical="center"/>
    </xf>
    <xf numFmtId="167" fontId="47" fillId="5" borderId="34" xfId="48" applyNumberFormat="1"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167" fontId="47" fillId="5" borderId="28" xfId="0" applyNumberFormat="1"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17" xfId="0" applyFont="1" applyFill="1" applyBorder="1" applyAlignment="1" applyProtection="1">
      <alignment horizontal="center" vertical="center"/>
    </xf>
    <xf numFmtId="182" fontId="47" fillId="5" borderId="30" xfId="37" applyNumberFormat="1" applyFont="1" applyFill="1" applyBorder="1" applyAlignment="1" applyProtection="1">
      <alignment horizontal="left" vertical="center"/>
    </xf>
    <xf numFmtId="182" fontId="47" fillId="5" borderId="31" xfId="37" applyNumberFormat="1" applyFont="1" applyFill="1" applyBorder="1" applyAlignment="1" applyProtection="1">
      <alignment horizontal="left" vertical="center"/>
    </xf>
    <xf numFmtId="182" fontId="47" fillId="5" borderId="30" xfId="42" applyNumberFormat="1" applyFont="1" applyFill="1" applyBorder="1" applyAlignment="1" applyProtection="1">
      <alignment horizontal="left" vertical="center"/>
    </xf>
    <xf numFmtId="182" fontId="47" fillId="5" borderId="31" xfId="42" applyNumberFormat="1" applyFont="1" applyFill="1" applyBorder="1" applyAlignment="1" applyProtection="1">
      <alignment horizontal="left" vertical="center"/>
    </xf>
    <xf numFmtId="178" fontId="47" fillId="5" borderId="28" xfId="0" applyNumberFormat="1" applyFont="1" applyFill="1" applyBorder="1" applyAlignment="1" applyProtection="1">
      <alignment horizontal="left" vertical="center"/>
    </xf>
    <xf numFmtId="178" fontId="47" fillId="5" borderId="92" xfId="0" applyNumberFormat="1" applyFont="1" applyFill="1" applyBorder="1" applyAlignment="1" applyProtection="1">
      <alignment horizontal="left"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49" fontId="47" fillId="5" borderId="33" xfId="49" applyNumberFormat="1" applyFont="1" applyFill="1" applyBorder="1" applyAlignment="1" applyProtection="1">
      <alignment horizontal="left" vertical="center"/>
    </xf>
    <xf numFmtId="49" fontId="5" fillId="0" borderId="32" xfId="49" applyNumberFormat="1" applyBorder="1" applyProtection="1"/>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176"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0" fontId="87" fillId="5" borderId="36" xfId="0" applyFont="1" applyFill="1" applyBorder="1" applyAlignment="1" applyProtection="1">
      <alignment horizontal="left" vertical="center"/>
    </xf>
    <xf numFmtId="0" fontId="87" fillId="5" borderId="37" xfId="0" applyFont="1" applyFill="1" applyBorder="1" applyAlignment="1" applyProtection="1">
      <alignment horizontal="left" vertical="center"/>
    </xf>
    <xf numFmtId="3" fontId="47" fillId="5" borderId="136"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175" fontId="47" fillId="5" borderId="28" xfId="0" applyNumberFormat="1" applyFont="1" applyFill="1" applyBorder="1" applyAlignment="1" applyProtection="1">
      <alignment horizontal="left" vertical="center"/>
    </xf>
    <xf numFmtId="175" fontId="47" fillId="5" borderId="29" xfId="0" applyNumberFormat="1"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17" xfId="0"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3" fillId="5" borderId="23" xfId="0" applyFont="1" applyFill="1" applyBorder="1" applyAlignment="1" applyProtection="1">
      <alignment horizontal="center"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25" xfId="0" applyFont="1" applyFill="1" applyBorder="1" applyAlignment="1" applyProtection="1">
      <alignment horizontal="center"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24" xfId="0" applyFont="1" applyFill="1" applyBorder="1" applyAlignment="1" applyProtection="1">
      <alignment horizontal="center" vertical="center"/>
    </xf>
    <xf numFmtId="0" fontId="43" fillId="5" borderId="29" xfId="0"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175" fontId="47" fillId="5" borderId="9" xfId="0" applyNumberFormat="1" applyFont="1" applyFill="1" applyBorder="1" applyAlignment="1" applyProtection="1">
      <alignment horizontal="left" vertical="center"/>
    </xf>
    <xf numFmtId="175" fontId="47" fillId="5" borderId="37" xfId="0" applyNumberFormat="1" applyFont="1" applyFill="1" applyBorder="1" applyAlignment="1" applyProtection="1">
      <alignment horizontal="left" vertical="center"/>
    </xf>
    <xf numFmtId="0" fontId="47" fillId="5" borderId="136"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0" fontId="47" fillId="5" borderId="16"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167" fontId="47" fillId="5" borderId="57"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0" fontId="47" fillId="5" borderId="9" xfId="0" applyNumberFormat="1" applyFont="1" applyFill="1" applyBorder="1" applyAlignment="1" applyProtection="1">
      <alignment horizontal="left" vertical="center"/>
    </xf>
    <xf numFmtId="0" fontId="47" fillId="5" borderId="136" xfId="0" applyFont="1" applyFill="1" applyBorder="1" applyAlignment="1" applyProtection="1">
      <alignment horizontal="center" vertical="center"/>
    </xf>
    <xf numFmtId="3" fontId="47" fillId="5" borderId="136"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3"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175" fontId="47" fillId="5" borderId="30" xfId="0" applyNumberFormat="1" applyFont="1" applyFill="1" applyBorder="1" applyAlignment="1" applyProtection="1">
      <alignment horizontal="left" vertical="center"/>
    </xf>
    <xf numFmtId="175" fontId="47" fillId="5" borderId="31" xfId="0" applyNumberFormat="1" applyFont="1" applyFill="1" applyBorder="1" applyAlignment="1" applyProtection="1">
      <alignment horizontal="left" vertical="center"/>
    </xf>
    <xf numFmtId="175" fontId="47" fillId="5" borderId="33" xfId="0" applyNumberFormat="1" applyFont="1" applyFill="1" applyBorder="1" applyAlignment="1" applyProtection="1">
      <alignment horizontal="left" vertical="center"/>
    </xf>
    <xf numFmtId="175" fontId="47" fillId="5" borderId="34"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86" fillId="0" borderId="0" xfId="0" applyFont="1" applyProtection="1"/>
    <xf numFmtId="0" fontId="105" fillId="0" borderId="0" xfId="0" applyFont="1" applyProtection="1"/>
    <xf numFmtId="0" fontId="97" fillId="0" borderId="0" xfId="0" applyNumberFormat="1" applyFont="1" applyProtection="1"/>
    <xf numFmtId="0" fontId="47" fillId="5" borderId="133" xfId="0" applyFont="1" applyFill="1" applyBorder="1" applyAlignment="1" applyProtection="1">
      <alignment horizontal="left" vertical="center"/>
    </xf>
    <xf numFmtId="0" fontId="47" fillId="0" borderId="134" xfId="0" applyFont="1" applyBorder="1" applyProtection="1"/>
    <xf numFmtId="0" fontId="47" fillId="0" borderId="135" xfId="0" applyFont="1" applyBorder="1" applyProtection="1"/>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61" fillId="0" borderId="0" xfId="0" applyFont="1" applyFill="1" applyAlignment="1" applyProtection="1">
      <alignment horizontal="center" vertical="center"/>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79" xfId="0" applyFont="1" applyFill="1" applyBorder="1" applyAlignment="1" applyProtection="1">
      <alignment horizontal="center"/>
    </xf>
    <xf numFmtId="0" fontId="47" fillId="5" borderId="192" xfId="51" applyNumberFormat="1" applyFont="1" applyFill="1" applyBorder="1" applyAlignment="1" applyProtection="1">
      <alignment horizontal="left" vertical="center"/>
    </xf>
    <xf numFmtId="0" fontId="47" fillId="5" borderId="13" xfId="51" applyNumberFormat="1" applyFont="1" applyFill="1" applyBorder="1" applyAlignment="1" applyProtection="1">
      <alignment horizontal="left" vertical="center"/>
    </xf>
    <xf numFmtId="0" fontId="47" fillId="5" borderId="193" xfId="51" applyNumberFormat="1" applyFont="1" applyFill="1" applyBorder="1" applyAlignment="1" applyProtection="1">
      <alignment horizontal="left" vertical="center"/>
    </xf>
    <xf numFmtId="0" fontId="47" fillId="5" borderId="14" xfId="51" applyNumberFormat="1" applyFont="1" applyFill="1" applyBorder="1" applyAlignment="1" applyProtection="1">
      <alignment horizontal="left" vertic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0" borderId="31" xfId="0" applyFont="1" applyBorder="1" applyAlignment="1" applyProtection="1">
      <alignment horizontal="left"/>
    </xf>
    <xf numFmtId="167" fontId="47" fillId="5" borderId="37" xfId="0" applyNumberFormat="1" applyFont="1" applyFill="1" applyBorder="1" applyAlignment="1" applyProtection="1">
      <alignment horizontal="lef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0" fontId="47" fillId="5" borderId="195" xfId="40" applyFont="1" applyFill="1" applyBorder="1" applyAlignment="1" applyProtection="1">
      <alignment horizontal="left" vertical="center"/>
    </xf>
    <xf numFmtId="0" fontId="47" fillId="0" borderId="196" xfId="40" applyFont="1" applyBorder="1" applyProtection="1"/>
    <xf numFmtId="0" fontId="47" fillId="0" borderId="197" xfId="40" applyFont="1" applyBorder="1" applyProtection="1"/>
    <xf numFmtId="0" fontId="47" fillId="5" borderId="9" xfId="0" applyNumberFormat="1" applyFont="1" applyFill="1" applyBorder="1" applyAlignment="1" applyProtection="1">
      <alignment horizontal="left" vertical="center"/>
    </xf>
    <xf numFmtId="0" fontId="47" fillId="5" borderId="13"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0" fontId="47" fillId="5" borderId="195" xfId="54" applyFont="1" applyFill="1" applyBorder="1" applyAlignment="1" applyProtection="1">
      <alignment horizontal="left" vertical="center"/>
    </xf>
    <xf numFmtId="0" fontId="47" fillId="0" borderId="196" xfId="54" applyFont="1" applyBorder="1" applyProtection="1"/>
    <xf numFmtId="0" fontId="47" fillId="0" borderId="197" xfId="54" applyFont="1" applyBorder="1" applyProtection="1"/>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34" xfId="0" applyFont="1" applyFill="1" applyBorder="1" applyAlignment="1" applyProtection="1">
      <alignment horizontal="left" vertical="center"/>
    </xf>
    <xf numFmtId="0" fontId="47" fillId="5" borderId="135" xfId="0" applyFont="1" applyFill="1" applyBorder="1" applyAlignment="1" applyProtection="1">
      <alignment horizontal="left" vertical="center"/>
    </xf>
    <xf numFmtId="167" fontId="47" fillId="5" borderId="133" xfId="0" applyNumberFormat="1" applyFont="1" applyFill="1" applyBorder="1" applyAlignment="1" applyProtection="1">
      <alignment horizontal="left" vertical="center"/>
    </xf>
    <xf numFmtId="167" fontId="47" fillId="0" borderId="134" xfId="0" applyNumberFormat="1" applyFont="1" applyBorder="1" applyProtection="1"/>
    <xf numFmtId="167" fontId="47" fillId="0" borderId="135"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8"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5" borderId="15" xfId="0" applyFont="1" applyFill="1" applyBorder="1" applyAlignment="1" applyProtection="1">
      <alignment horizontal="center" vertical="top"/>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7" fillId="10" borderId="77" xfId="0" applyFont="1" applyFill="1" applyBorder="1" applyAlignment="1" applyProtection="1">
      <alignment horizontal="left" vertical="top" wrapText="1"/>
    </xf>
    <xf numFmtId="0" fontId="47" fillId="10" borderId="21"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4"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4" fillId="5" borderId="96" xfId="0" applyFont="1" applyFill="1" applyBorder="1" applyAlignment="1" applyProtection="1">
      <alignment horizontal="left" vertical="top" wrapText="1"/>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4"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4" fillId="5" borderId="77" xfId="0" applyFont="1" applyFill="1" applyBorder="1" applyAlignment="1" applyProtection="1">
      <alignment horizontal="left" vertical="top" wrapText="1"/>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4"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62" fillId="0" borderId="0" xfId="0" applyFont="1" applyAlignment="1" applyProtection="1">
      <alignment vertical="center"/>
    </xf>
    <xf numFmtId="0" fontId="60" fillId="0" borderId="0" xfId="0" applyFont="1" applyProtection="1"/>
    <xf numFmtId="37" fontId="47" fillId="5" borderId="78" xfId="0" applyNumberFormat="1" applyFont="1" applyFill="1" applyBorder="1" applyAlignment="1" applyProtection="1">
      <alignment horizontal="left" vertical="center"/>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37" fontId="47"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0" borderId="9" xfId="0" applyFont="1" applyFill="1" applyBorder="1" applyAlignment="1" applyProtection="1">
      <alignment horizontal="left" vertical="center"/>
    </xf>
    <xf numFmtId="0" fontId="43" fillId="10" borderId="13"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7" fillId="5" borderId="48" xfId="0" applyFont="1" applyFill="1" applyBorder="1" applyAlignment="1" applyProtection="1">
      <alignment horizontal="center" vertical="center"/>
    </xf>
    <xf numFmtId="0" fontId="43" fillId="5" borderId="134"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0" fontId="47" fillId="5" borderId="116" xfId="0" applyFont="1" applyFill="1" applyBorder="1" applyAlignment="1" applyProtection="1">
      <alignment horizontal="center" vertical="center"/>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0" fontId="47" fillId="0" borderId="13" xfId="0" applyFont="1" applyBorder="1" applyAlignment="1" applyProtection="1">
      <alignment horizontal="center" wrapText="1"/>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166" fontId="47" fillId="5" borderId="16" xfId="0"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166"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38" fontId="47" fillId="6" borderId="17" xfId="2" applyNumberFormat="1" applyFont="1" applyFill="1" applyBorder="1" applyAlignment="1" applyProtection="1">
      <alignment horizontal="center"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166" fontId="47" fillId="5" borderId="18" xfId="0"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6" borderId="18" xfId="2" applyNumberFormat="1"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166" fontId="47" fillId="5" borderId="86" xfId="0"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38" fontId="47" fillId="5" borderId="18" xfId="0" applyNumberFormat="1" applyFont="1" applyFill="1" applyBorder="1" applyAlignment="1" applyProtection="1">
      <alignment horizontal="right" vertical="center"/>
    </xf>
    <xf numFmtId="0" fontId="43" fillId="5" borderId="86" xfId="0" applyFont="1" applyFill="1" applyBorder="1" applyAlignment="1" applyProtection="1">
      <alignment horizontal="left" vertical="top" wrapText="1"/>
    </xf>
    <xf numFmtId="0" fontId="43" fillId="4" borderId="86" xfId="0" applyFont="1" applyFill="1" applyBorder="1" applyAlignment="1" applyProtection="1">
      <alignment horizontal="left" vertical="top" wrapText="1"/>
    </xf>
    <xf numFmtId="4" fontId="47" fillId="13" borderId="38" xfId="0" applyNumberFormat="1" applyFont="1" applyFill="1" applyBorder="1" applyAlignment="1" applyProtection="1">
      <alignment horizontal="right"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4" fontId="55" fillId="13" borderId="38" xfId="0"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xf>
    <xf numFmtId="164" fontId="47" fillId="5" borderId="114" xfId="1" applyNumberFormat="1" applyFont="1" applyFill="1" applyBorder="1" applyAlignment="1" applyProtection="1">
      <alignment horizontal="righ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4" fontId="47" fillId="13" borderId="52" xfId="0" applyNumberFormat="1" applyFont="1" applyFill="1" applyBorder="1" applyAlignment="1" applyProtection="1">
      <alignment horizontal="right" vertical="center"/>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4" fontId="47" fillId="13" borderId="77" xfId="0" applyNumberFormat="1" applyFont="1" applyFill="1" applyBorder="1" applyAlignment="1" applyProtection="1">
      <alignment horizontal="right" vertical="center"/>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5" fillId="13" borderId="140" xfId="0" applyFont="1" applyFill="1" applyBorder="1" applyAlignment="1" applyProtection="1">
      <alignment horizontal="left" vertical="top" wrapText="1"/>
    </xf>
    <xf numFmtId="0" fontId="5" fillId="13" borderId="139" xfId="0" applyFont="1" applyFill="1" applyBorder="1" applyAlignment="1" applyProtection="1">
      <alignment horizontal="left" vertical="top" wrapText="1"/>
    </xf>
    <xf numFmtId="0" fontId="225" fillId="0" borderId="0" xfId="0" applyFont="1" applyBorder="1" applyAlignment="1" applyProtection="1">
      <alignment horizontal="center" wrapText="1"/>
    </xf>
    <xf numFmtId="0" fontId="44" fillId="0" borderId="0" xfId="0" applyFont="1" applyAlignment="1" applyProtection="1">
      <alignment horizontal="center" wrapText="1"/>
    </xf>
    <xf numFmtId="0" fontId="225" fillId="0" borderId="0" xfId="0" applyFont="1" applyBorder="1" applyProtection="1"/>
    <xf numFmtId="0" fontId="225" fillId="0" borderId="13" xfId="0" applyFont="1" applyBorder="1" applyAlignment="1" applyProtection="1">
      <alignment horizontal="center" wrapText="1"/>
    </xf>
    <xf numFmtId="0" fontId="44" fillId="0" borderId="13" xfId="0" applyFont="1" applyBorder="1" applyAlignment="1" applyProtection="1">
      <alignment horizontal="center" wrapText="1"/>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9" fontId="225" fillId="0" borderId="0" xfId="0" applyNumberFormat="1" applyFont="1" applyBorder="1" applyAlignment="1" applyProtection="1">
      <alignment horizontal="center"/>
    </xf>
    <xf numFmtId="0" fontId="44" fillId="0" borderId="136" xfId="0" applyFont="1" applyBorder="1" applyAlignment="1" applyProtection="1">
      <alignment horizontal="center"/>
    </xf>
    <xf numFmtId="38" fontId="44" fillId="0" borderId="136" xfId="0" applyNumberFormat="1" applyFont="1" applyBorder="1" applyAlignment="1" applyProtection="1">
      <alignment horizontal="center" vertical="center"/>
    </xf>
    <xf numFmtId="38" fontId="44" fillId="0" borderId="8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44" fillId="0" borderId="22" xfId="0" applyFont="1" applyBorder="1" applyAlignment="1" applyProtection="1">
      <alignment horizontal="center"/>
    </xf>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0" fontId="15" fillId="13" borderId="28" xfId="0" applyFont="1" applyFill="1" applyBorder="1" applyAlignment="1" applyProtection="1">
      <alignment horizontal="left" vertical="top" wrapText="1"/>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0" fontId="55" fillId="0" borderId="0" xfId="0" applyFont="1" applyAlignment="1" applyProtection="1">
      <alignment vertical="center"/>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7" fillId="0" borderId="0" xfId="0" applyFont="1" applyAlignment="1" applyProtection="1">
      <alignment horizontal="lef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164" fontId="43" fillId="5" borderId="46" xfId="1"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47" fillId="0" borderId="0" xfId="0" applyFont="1" applyAlignment="1" applyProtection="1"/>
    <xf numFmtId="0" fontId="43" fillId="13" borderId="86" xfId="0" applyFont="1" applyFill="1" applyBorder="1" applyAlignment="1" applyProtection="1">
      <alignment horizontal="left" vertical="top" wrapText="1"/>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44" fillId="0" borderId="0" xfId="13" applyFont="1" applyProtection="1"/>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5" fontId="14" fillId="5" borderId="36"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5"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00" fillId="11" borderId="86" xfId="0" applyNumberFormat="1" applyFont="1" applyFill="1" applyBorder="1" applyAlignment="1" applyProtection="1">
      <alignment horizontal="center" vertical="center"/>
    </xf>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173"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6"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0" fontId="5" fillId="13" borderId="133" xfId="0" applyFont="1" applyFill="1" applyBorder="1" applyAlignment="1" applyProtection="1">
      <alignment horizontal="left" vertical="top" wrapText="1"/>
    </xf>
    <xf numFmtId="0" fontId="5" fillId="13" borderId="134" xfId="0" applyFont="1" applyFill="1" applyBorder="1" applyAlignment="1" applyProtection="1">
      <alignment horizontal="left" vertical="top" wrapText="1"/>
    </xf>
    <xf numFmtId="0" fontId="5" fillId="13" borderId="135" xfId="0" applyFont="1" applyFill="1" applyBorder="1" applyAlignment="1" applyProtection="1">
      <alignment horizontal="left" vertical="top" wrapText="1"/>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173"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5" fillId="5" borderId="128" xfId="10" applyNumberFormat="1" applyFont="1" applyFill="1" applyBorder="1" applyAlignment="1" applyProtection="1">
      <alignment horizontal="center" vertical="center"/>
    </xf>
    <xf numFmtId="1" fontId="15" fillId="5" borderId="128" xfId="1" applyNumberFormat="1" applyFont="1" applyFill="1" applyBorder="1" applyAlignment="1" applyProtection="1">
      <alignment horizontal="center" vertical="center"/>
    </xf>
    <xf numFmtId="173" fontId="15" fillId="5" borderId="128" xfId="1" applyNumberFormat="1" applyFont="1" applyFill="1" applyBorder="1" applyAlignment="1" applyProtection="1">
      <alignment horizontal="center" vertical="center"/>
    </xf>
    <xf numFmtId="3" fontId="15" fillId="5" borderId="128" xfId="1" applyNumberFormat="1" applyFont="1" applyFill="1" applyBorder="1" applyAlignment="1" applyProtection="1">
      <alignment horizontal="center" vertical="center"/>
    </xf>
    <xf numFmtId="3" fontId="15" fillId="10" borderId="128" xfId="1" applyNumberFormat="1" applyFont="1" applyFill="1" applyBorder="1" applyAlignment="1" applyProtection="1">
      <alignment horizontal="center" vertical="center"/>
    </xf>
    <xf numFmtId="3" fontId="43" fillId="5" borderId="128" xfId="1" applyNumberFormat="1" applyFont="1" applyFill="1" applyBorder="1" applyAlignment="1" applyProtection="1">
      <alignment horizontal="center" vertical="center"/>
    </xf>
    <xf numFmtId="0" fontId="43" fillId="5" borderId="128" xfId="0" applyFont="1" applyFill="1" applyBorder="1" applyAlignment="1" applyProtection="1">
      <alignment horizontal="center" vertical="center"/>
    </xf>
    <xf numFmtId="0" fontId="15" fillId="5" borderId="128"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173"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173"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207" fillId="0" borderId="28" xfId="0" applyFont="1" applyFill="1" applyBorder="1" applyAlignment="1" applyProtection="1">
      <alignment horizontal="center" vertical="center"/>
    </xf>
    <xf numFmtId="0" fontId="207"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0" fontId="44" fillId="0" borderId="0" xfId="0" applyFont="1" applyAlignment="1" applyProtection="1">
      <alignment horizontal="left" vertical="center" wrapText="1"/>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10" fontId="245" fillId="0" borderId="175" xfId="0" applyNumberFormat="1" applyFont="1" applyFill="1" applyBorder="1" applyAlignment="1" applyProtection="1">
      <alignment horizontal="center" vertical="center"/>
    </xf>
    <xf numFmtId="10" fontId="245" fillId="0" borderId="176" xfId="0" applyNumberFormat="1" applyFont="1" applyFill="1" applyBorder="1" applyAlignment="1" applyProtection="1">
      <alignment horizontal="center" vertical="center"/>
    </xf>
    <xf numFmtId="10" fontId="245" fillId="0" borderId="177" xfId="0" applyNumberFormat="1" applyFont="1" applyFill="1" applyBorder="1" applyAlignment="1" applyProtection="1">
      <alignment horizontal="center" vertical="center"/>
    </xf>
    <xf numFmtId="2" fontId="245" fillId="0" borderId="178" xfId="0" applyNumberFormat="1" applyFont="1" applyFill="1" applyBorder="1" applyAlignment="1" applyProtection="1">
      <alignment horizontal="center" vertical="center"/>
    </xf>
    <xf numFmtId="2" fontId="245" fillId="0" borderId="179" xfId="0" applyNumberFormat="1" applyFont="1" applyFill="1" applyBorder="1" applyAlignment="1" applyProtection="1">
      <alignment horizontal="center" vertical="center"/>
    </xf>
    <xf numFmtId="0" fontId="243" fillId="0" borderId="0" xfId="0" applyFont="1" applyFill="1" applyAlignment="1" applyProtection="1">
      <alignment vertical="center"/>
    </xf>
    <xf numFmtId="0" fontId="244" fillId="0" borderId="0" xfId="0" applyFont="1" applyFill="1" applyAlignment="1" applyProtection="1">
      <alignment vertical="center"/>
    </xf>
    <xf numFmtId="2" fontId="246" fillId="0" borderId="180" xfId="0" applyNumberFormat="1" applyFont="1" applyFill="1" applyBorder="1" applyAlignment="1" applyProtection="1">
      <alignment horizontal="center" vertical="center"/>
    </xf>
    <xf numFmtId="2" fontId="246" fillId="0" borderId="174" xfId="0" applyNumberFormat="1" applyFont="1" applyFill="1" applyBorder="1" applyAlignment="1" applyProtection="1">
      <alignment horizontal="center" vertical="center"/>
    </xf>
    <xf numFmtId="2" fontId="246" fillId="0" borderId="181"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0" fontId="245" fillId="0" borderId="182" xfId="0" applyNumberFormat="1" applyFont="1" applyFill="1" applyBorder="1" applyAlignment="1" applyProtection="1">
      <alignment horizontal="center" vertical="center"/>
    </xf>
    <xf numFmtId="10" fontId="245" fillId="0" borderId="173" xfId="0" applyNumberFormat="1" applyFont="1" applyFill="1" applyBorder="1" applyAlignment="1" applyProtection="1">
      <alignment horizontal="center" vertical="center"/>
    </xf>
    <xf numFmtId="10" fontId="245" fillId="0" borderId="183"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10" fontId="246" fillId="0" borderId="184"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3" fontId="15" fillId="5" borderId="16" xfId="0" applyNumberFormat="1" applyFont="1" applyFill="1" applyBorder="1" applyAlignment="1" applyProtection="1">
      <alignmen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3" xfId="1" applyNumberFormat="1" applyFont="1" applyFill="1" applyBorder="1" applyAlignment="1" applyProtection="1">
      <alignment horizontal="right" vertical="center"/>
    </xf>
    <xf numFmtId="38" fontId="14" fillId="5" borderId="114" xfId="1" applyNumberFormat="1" applyFont="1" applyFill="1" applyBorder="1" applyAlignment="1" applyProtection="1">
      <alignment horizontal="right"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 fontId="14" fillId="5" borderId="113" xfId="0" applyNumberFormat="1" applyFont="1" applyFill="1" applyBorder="1" applyAlignment="1" applyProtection="1">
      <alignment horizontal="right" vertical="center"/>
    </xf>
    <xf numFmtId="3" fontId="14" fillId="5" borderId="114" xfId="0" applyNumberFormat="1" applyFont="1" applyFill="1" applyBorder="1" applyAlignment="1" applyProtection="1">
      <alignment horizontal="right" vertical="center"/>
    </xf>
    <xf numFmtId="3" fontId="14" fillId="11" borderId="15" xfId="1" applyNumberFormat="1" applyFont="1" applyFill="1" applyBorder="1" applyAlignment="1" applyProtection="1">
      <alignment horizontal="right" vertic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 fontId="14" fillId="0" borderId="0" xfId="1" applyNumberFormat="1" applyFont="1" applyFill="1" applyBorder="1" applyAlignment="1" applyProtection="1">
      <alignment horizontal="righ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 fontId="14"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6" xfId="0" applyNumberFormat="1" applyFont="1" applyFill="1" applyBorder="1" applyAlignment="1" applyProtection="1">
      <alignment horizontal="right" vertical="center"/>
    </xf>
    <xf numFmtId="3" fontId="14" fillId="5" borderId="136"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80" xfId="0" applyFont="1" applyFill="1" applyBorder="1" applyAlignment="1" applyProtection="1">
      <alignment horizontal="left" vertical="center"/>
    </xf>
    <xf numFmtId="0" fontId="16" fillId="13" borderId="81" xfId="0" applyFont="1" applyFill="1" applyBorder="1" applyAlignment="1" applyProtection="1">
      <alignment horizontal="left" vertical="center"/>
    </xf>
    <xf numFmtId="175" fontId="16" fillId="13" borderId="28" xfId="0" applyNumberFormat="1" applyFont="1" applyFill="1" applyBorder="1" applyAlignment="1" applyProtection="1">
      <alignment horizontal="left" vertical="center"/>
    </xf>
    <xf numFmtId="175" fontId="16" fillId="13" borderId="29" xfId="0" applyNumberFormat="1" applyFont="1" applyFill="1" applyBorder="1" applyAlignment="1" applyProtection="1">
      <alignment horizontal="left" vertical="center"/>
    </xf>
    <xf numFmtId="0" fontId="16" fillId="13" borderId="30" xfId="0" applyFont="1" applyFill="1" applyBorder="1" applyAlignment="1" applyProtection="1">
      <alignment horizontal="left" vertical="center"/>
    </xf>
    <xf numFmtId="0" fontId="16" fillId="13" borderId="31" xfId="0" applyFont="1" applyFill="1" applyBorder="1" applyAlignment="1" applyProtection="1">
      <alignment horizontal="left" vertical="center"/>
    </xf>
    <xf numFmtId="175" fontId="16" fillId="13" borderId="33" xfId="0" applyNumberFormat="1" applyFont="1" applyFill="1" applyBorder="1" applyAlignment="1" applyProtection="1">
      <alignment horizontal="left" vertical="center"/>
    </xf>
    <xf numFmtId="175" fontId="16" fillId="13" borderId="34" xfId="0" applyNumberFormat="1" applyFont="1" applyFill="1" applyBorder="1" applyAlignment="1" applyProtection="1">
      <alignment horizontal="left" vertical="center"/>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6" fillId="13" borderId="3" xfId="0" applyFont="1" applyFill="1" applyBorder="1" applyAlignment="1" applyProtection="1">
      <alignment horizontal="center" vertical="top"/>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2" fillId="13" borderId="80" xfId="0" applyFont="1" applyFill="1" applyBorder="1" applyAlignment="1" applyProtection="1">
      <alignment horizontal="center" vertical="center"/>
    </xf>
    <xf numFmtId="0" fontId="16" fillId="13" borderId="100" xfId="0" applyFont="1" applyFill="1" applyBorder="1" applyAlignment="1" applyProtection="1">
      <alignment horizontal="center" vertical="top"/>
    </xf>
    <xf numFmtId="3" fontId="16" fillId="13" borderId="28" xfId="0" applyNumberFormat="1" applyFont="1" applyFill="1" applyBorder="1" applyAlignment="1" applyProtection="1">
      <alignment horizontal="center" vertical="center"/>
    </xf>
    <xf numFmtId="3" fontId="16" fillId="13" borderId="29" xfId="0" applyNumberFormat="1" applyFont="1" applyFill="1" applyBorder="1" applyAlignment="1" applyProtection="1">
      <alignment horizontal="center" vertical="center"/>
    </xf>
    <xf numFmtId="0" fontId="16" fillId="13" borderId="3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3" fontId="16" fillId="13" borderId="78" xfId="0" applyNumberFormat="1" applyFont="1" applyFill="1" applyBorder="1" applyAlignment="1" applyProtection="1">
      <alignment horizontal="center" vertical="center"/>
    </xf>
    <xf numFmtId="3" fontId="16" fillId="13" borderId="79" xfId="0" applyNumberFormat="1" applyFont="1" applyFill="1" applyBorder="1" applyAlignment="1" applyProtection="1">
      <alignment horizontal="center" vertical="center"/>
    </xf>
    <xf numFmtId="3" fontId="16" fillId="13" borderId="117" xfId="0" applyNumberFormat="1" applyFont="1" applyFill="1" applyBorder="1" applyAlignment="1" applyProtection="1">
      <alignment horizontal="center" vertical="center"/>
    </xf>
    <xf numFmtId="3" fontId="16" fillId="13" borderId="118" xfId="0" applyNumberFormat="1" applyFont="1" applyFill="1" applyBorder="1" applyAlignment="1" applyProtection="1">
      <alignment horizontal="center" vertical="center"/>
    </xf>
    <xf numFmtId="3" fontId="16" fillId="13" borderId="17" xfId="0" applyNumberFormat="1"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6" fillId="13" borderId="86" xfId="0" applyFont="1" applyFill="1" applyBorder="1" applyAlignment="1" applyProtection="1">
      <alignment vertical="top"/>
    </xf>
    <xf numFmtId="0" fontId="16" fillId="13" borderId="136"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10" fillId="13" borderId="23" xfId="0" applyFont="1" applyFill="1" applyBorder="1" applyAlignment="1" applyProtection="1">
      <alignment horizontal="center"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0" fillId="13" borderId="25" xfId="0" applyFont="1" applyFill="1" applyBorder="1" applyAlignment="1" applyProtection="1">
      <alignment horizontal="center" vertical="top"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24" xfId="0" applyFont="1" applyFill="1" applyBorder="1" applyAlignment="1" applyProtection="1">
      <alignment horizontal="center"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13" borderId="16" xfId="0" applyNumberFormat="1" applyFont="1" applyFill="1" applyBorder="1" applyAlignment="1" applyProtection="1">
      <alignment horizontal="center" vertical="center"/>
    </xf>
    <xf numFmtId="38" fontId="10" fillId="13" borderId="3" xfId="0" applyNumberFormat="1" applyFont="1" applyFill="1" applyBorder="1" applyAlignment="1" applyProtection="1">
      <alignment horizontal="center" vertical="center"/>
    </xf>
    <xf numFmtId="38" fontId="10" fillId="13" borderId="15" xfId="0" applyNumberFormat="1" applyFont="1" applyFill="1" applyBorder="1" applyAlignment="1" applyProtection="1">
      <alignment horizontal="center" vertical="center"/>
    </xf>
    <xf numFmtId="0" fontId="16" fillId="13" borderId="11" xfId="0" applyFont="1" applyFill="1" applyBorder="1" applyAlignment="1" applyProtection="1">
      <alignment horizontal="center" vertical="center"/>
    </xf>
    <xf numFmtId="0" fontId="5" fillId="13" borderId="3" xfId="0" applyFont="1" applyFill="1" applyBorder="1" applyAlignment="1" applyProtection="1">
      <alignment horizontal="center" vertical="center"/>
    </xf>
    <xf numFmtId="3" fontId="6" fillId="13" borderId="16"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0" fontId="16" fillId="13" borderId="118" xfId="0" applyFont="1" applyFill="1" applyBorder="1" applyAlignment="1" applyProtection="1">
      <alignment horizontal="center" vertical="center"/>
    </xf>
    <xf numFmtId="0" fontId="16" fillId="13" borderId="131" xfId="0" applyFont="1" applyFill="1" applyBorder="1" applyAlignment="1" applyProtection="1">
      <alignment horizontal="center" vertical="center"/>
    </xf>
    <xf numFmtId="176" fontId="86" fillId="13" borderId="118" xfId="0" applyNumberFormat="1" applyFont="1" applyFill="1" applyBorder="1" applyAlignment="1" applyProtection="1">
      <alignment horizontal="center" vertical="center"/>
    </xf>
    <xf numFmtId="38" fontId="12" fillId="13" borderId="12"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3" fontId="6" fillId="13" borderId="27" xfId="0" applyNumberFormat="1" applyFont="1" applyFill="1" applyBorder="1" applyAlignment="1" applyProtection="1">
      <alignment horizontal="center" vertical="center"/>
    </xf>
    <xf numFmtId="3" fontId="6" fillId="13" borderId="92" xfId="0" applyNumberFormat="1" applyFont="1" applyFill="1" applyBorder="1" applyAlignment="1" applyProtection="1">
      <alignment horizontal="center" vertical="center"/>
    </xf>
    <xf numFmtId="0" fontId="16" fillId="13" borderId="127" xfId="0"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10" fontId="6" fillId="13" borderId="17" xfId="0" applyNumberFormat="1" applyFont="1" applyFill="1" applyBorder="1" applyAlignment="1" applyProtection="1">
      <alignment horizontal="center" vertical="center"/>
    </xf>
    <xf numFmtId="0" fontId="6" fillId="13" borderId="17" xfId="0"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38" fontId="10" fillId="13" borderId="136"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0" fontId="16" fillId="13" borderId="22" xfId="0" applyFont="1" applyFill="1" applyBorder="1" applyAlignment="1" applyProtection="1">
      <alignment horizontal="center" vertical="top"/>
    </xf>
    <xf numFmtId="0" fontId="178" fillId="0" borderId="0" xfId="13" applyFont="1" applyProtection="1"/>
    <xf numFmtId="0" fontId="183" fillId="0" borderId="0" xfId="13" applyFont="1" applyAlignment="1" applyProtection="1"/>
    <xf numFmtId="0" fontId="77" fillId="0" borderId="0" xfId="13" applyFont="1" applyAlignment="1" applyProtection="1"/>
    <xf numFmtId="0" fontId="184"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vertical="top"/>
    </xf>
    <xf numFmtId="0" fontId="76" fillId="0" borderId="0" xfId="13" applyFont="1" applyAlignment="1" applyProtection="1">
      <alignment horizontal="justify" vertical="top" wrapText="1"/>
    </xf>
    <xf numFmtId="0" fontId="76" fillId="0" borderId="0" xfId="13" applyFont="1" applyAlignment="1" applyProtection="1">
      <alignment horizontal="left" vertical="top" wrapText="1"/>
    </xf>
    <xf numFmtId="0" fontId="76" fillId="0" borderId="0" xfId="13" applyFont="1" applyAlignment="1" applyProtection="1">
      <alignment horizontal="left"/>
    </xf>
    <xf numFmtId="0" fontId="76" fillId="0" borderId="13" xfId="13" applyFont="1" applyBorder="1" applyAlignment="1" applyProtection="1">
      <alignment horizontal="left"/>
    </xf>
    <xf numFmtId="0" fontId="76" fillId="0" borderId="0" xfId="13" applyFont="1" applyAlignment="1" applyProtection="1"/>
    <xf numFmtId="0" fontId="44" fillId="0" borderId="85" xfId="13" applyFont="1" applyBorder="1" applyAlignment="1" applyProtection="1">
      <alignment horizontal="center" vertical="top"/>
    </xf>
    <xf numFmtId="175" fontId="76" fillId="0" borderId="13" xfId="13" applyNumberFormat="1" applyFont="1" applyBorder="1" applyAlignment="1" applyProtection="1">
      <alignment horizontal="left"/>
    </xf>
    <xf numFmtId="0" fontId="44" fillId="0" borderId="0" xfId="13" applyFont="1" applyBorder="1" applyAlignment="1" applyProtection="1">
      <alignment horizontal="center" vertical="top"/>
    </xf>
    <xf numFmtId="0" fontId="44" fillId="0" borderId="0" xfId="13" applyFont="1" applyAlignment="1" applyProtection="1">
      <alignment horizontal="center"/>
    </xf>
  </cellXfs>
  <cellStyles count="65">
    <cellStyle name="Body" xfId="14" xr:uid="{00000000-0005-0000-0000-000000000000}"/>
    <cellStyle name="Comma" xfId="1" builtinId="3"/>
    <cellStyle name="Comma 2" xfId="15" xr:uid="{00000000-0005-0000-0000-000002000000}"/>
    <cellStyle name="Comma 3" xfId="28" xr:uid="{00000000-0005-0000-0000-000003000000}"/>
    <cellStyle name="Comma 3 2" xfId="44" xr:uid="{00000000-0005-0000-0000-000004000000}"/>
    <cellStyle name="Comma 3 3" xfId="61" xr:uid="{00000000-0005-0000-0000-000005000000}"/>
    <cellStyle name="Comma 4" xfId="34"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52" xr:uid="{00000000-0005-0000-0000-000010000000}"/>
    <cellStyle name="Header2 2 3" xfId="64" xr:uid="{00000000-0005-0000-0000-000011000000}"/>
    <cellStyle name="HIDE" xfId="20" xr:uid="{00000000-0005-0000-0000-000012000000}"/>
    <cellStyle name="Hyperlink" xfId="6" builtinId="8"/>
    <cellStyle name="Input [yellow]" xfId="7" xr:uid="{00000000-0005-0000-0000-000014000000}"/>
    <cellStyle name="Input [yellow] 2" xfId="32" xr:uid="{00000000-0005-0000-0000-000015000000}"/>
    <cellStyle name="Input [yellow] 2 2" xfId="53" xr:uid="{00000000-0005-0000-0000-000016000000}"/>
    <cellStyle name="LINK" xfId="21" xr:uid="{00000000-0005-0000-0000-000017000000}"/>
    <cellStyle name="no dec" xfId="22" xr:uid="{00000000-0005-0000-0000-000018000000}"/>
    <cellStyle name="Nor@„l_IRRSENS" xfId="23" xr:uid="{00000000-0005-0000-0000-000019000000}"/>
    <cellStyle name="Normal" xfId="0" builtinId="0"/>
    <cellStyle name="Normal - Style1" xfId="8" xr:uid="{00000000-0005-0000-0000-00001B000000}"/>
    <cellStyle name="Normal 10" xfId="41" xr:uid="{00000000-0005-0000-0000-00001C000000}"/>
    <cellStyle name="Normal 11" xfId="47" xr:uid="{00000000-0005-0000-0000-00001D000000}"/>
    <cellStyle name="Normal 12" xfId="50" xr:uid="{00000000-0005-0000-0000-00001E000000}"/>
    <cellStyle name="Normal 13" xfId="48" xr:uid="{00000000-0005-0000-0000-00001F000000}"/>
    <cellStyle name="Normal 14" xfId="37" xr:uid="{00000000-0005-0000-0000-000020000000}"/>
    <cellStyle name="Normal 15" xfId="42" xr:uid="{00000000-0005-0000-0000-000021000000}"/>
    <cellStyle name="Normal 16" xfId="49" xr:uid="{00000000-0005-0000-0000-000022000000}"/>
    <cellStyle name="Normal 17" xfId="38" xr:uid="{00000000-0005-0000-0000-000023000000}"/>
    <cellStyle name="Normal 18" xfId="51" xr:uid="{00000000-0005-0000-0000-000024000000}"/>
    <cellStyle name="Normal 19" xfId="40" xr:uid="{00000000-0005-0000-0000-000025000000}"/>
    <cellStyle name="Normal 2" xfId="12" xr:uid="{00000000-0005-0000-0000-000026000000}"/>
    <cellStyle name="Normal 2 2" xfId="39" xr:uid="{00000000-0005-0000-0000-000027000000}"/>
    <cellStyle name="Normal 2 3" xfId="58" xr:uid="{00000000-0005-0000-0000-000028000000}"/>
    <cellStyle name="Normal 20" xfId="54" xr:uid="{00000000-0005-0000-0000-000029000000}"/>
    <cellStyle name="Normal 21" xfId="55" xr:uid="{00000000-0005-0000-0000-00002A000000}"/>
    <cellStyle name="Normal 22" xfId="60" xr:uid="{00000000-0005-0000-0000-00002B000000}"/>
    <cellStyle name="Normal 23" xfId="63" xr:uid="{00000000-0005-0000-0000-00002C000000}"/>
    <cellStyle name="Normal 24" xfId="56" xr:uid="{00000000-0005-0000-0000-00002D000000}"/>
    <cellStyle name="Normal 25" xfId="57" xr:uid="{00000000-0005-0000-0000-00002E000000}"/>
    <cellStyle name="Normal 26" xfId="59" xr:uid="{00000000-0005-0000-0000-00002F000000}"/>
    <cellStyle name="Normal 3" xfId="13" xr:uid="{00000000-0005-0000-0000-000030000000}"/>
    <cellStyle name="Normal 4" xfId="24" xr:uid="{00000000-0005-0000-0000-000031000000}"/>
    <cellStyle name="Normal 5" xfId="30" xr:uid="{00000000-0005-0000-0000-000032000000}"/>
    <cellStyle name="Normal 6" xfId="33" xr:uid="{00000000-0005-0000-0000-000033000000}"/>
    <cellStyle name="Normal 7" xfId="36" xr:uid="{00000000-0005-0000-0000-000034000000}"/>
    <cellStyle name="Normal 8" xfId="43" xr:uid="{00000000-0005-0000-0000-000035000000}"/>
    <cellStyle name="Normal 9" xfId="46" xr:uid="{00000000-0005-0000-0000-000036000000}"/>
    <cellStyle name="Normal_'96-'97 Rent Tables" xfId="9" xr:uid="{00000000-0005-0000-0000-000037000000}"/>
    <cellStyle name="Notes" xfId="25" xr:uid="{00000000-0005-0000-0000-000038000000}"/>
    <cellStyle name="OVERWRITE" xfId="26" xr:uid="{00000000-0005-0000-0000-000039000000}"/>
    <cellStyle name="Percent" xfId="10" builtinId="5"/>
    <cellStyle name="Percent [2]" xfId="11" xr:uid="{00000000-0005-0000-0000-00003B000000}"/>
    <cellStyle name="Percent 2" xfId="27" xr:uid="{00000000-0005-0000-0000-00003C000000}"/>
    <cellStyle name="Percent 3" xfId="29" xr:uid="{00000000-0005-0000-0000-00003D000000}"/>
    <cellStyle name="Percent 3 2" xfId="45" xr:uid="{00000000-0005-0000-0000-00003E000000}"/>
    <cellStyle name="Percent 3 3" xfId="62" xr:uid="{00000000-0005-0000-0000-00003F000000}"/>
    <cellStyle name="Percent 4" xfId="35" xr:uid="{00000000-0005-0000-0000-000040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Dulles Park II</v>
      </c>
    </row>
    <row r="3" spans="1:6" ht="15" customHeight="1">
      <c r="A3" s="830" t="str">
        <f>CONCATENATE('Part I-Project Information'!F38,", ", 'Part I-Project Information'!J39," County")</f>
        <v>Gray, Jones County</v>
      </c>
    </row>
    <row r="4" spans="1:6" ht="12" customHeight="1">
      <c r="A4" s="1350"/>
    </row>
    <row r="5" spans="1:6" ht="72" customHeight="1">
      <c r="A5" s="2400" t="s">
        <v>7137</v>
      </c>
      <c r="B5" s="2401" t="s">
        <v>4459</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LA6myDF2SWCza6BuQaONXEoe9EUgs7Q3Y8b/cNHBQ3Fa0b8myCKDc5J31rhQzLSwayOJDG3PF7PIwKUIpUC2/w==" saltValue="009YlYJLRE6VaPWK5OcTU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2020-059 Dulles Park II, Gray, Jones County</v>
      </c>
      <c r="B1" s="1748"/>
      <c r="C1" s="1748"/>
      <c r="D1" s="1748"/>
      <c r="E1" s="1748"/>
      <c r="F1" s="1748"/>
      <c r="G1" s="1748"/>
      <c r="H1" s="1748"/>
      <c r="I1" s="1750"/>
      <c r="J1" s="1748"/>
      <c r="K1" s="1748"/>
      <c r="L1" s="1748"/>
      <c r="M1" s="1748"/>
      <c r="N1" s="1748"/>
      <c r="O1" s="1748"/>
      <c r="P1" s="1748"/>
      <c r="Q1" s="1749"/>
      <c r="T1" s="1746" t="str">
        <f>A1</f>
        <v>PART SIX - PROJECTED REVENUES &amp; EXPENSES  -  2020-059 Dulles Park II, Gray, Jones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2376</v>
      </c>
      <c r="IG3" s="447" t="s">
        <v>2377</v>
      </c>
      <c r="IH3" s="447" t="s">
        <v>2378</v>
      </c>
      <c r="II3" s="447" t="s">
        <v>2379</v>
      </c>
      <c r="IJ3" s="447" t="s">
        <v>476</v>
      </c>
      <c r="IK3" s="447" t="s">
        <v>2376</v>
      </c>
      <c r="IL3" s="447" t="s">
        <v>2377</v>
      </c>
      <c r="IM3" s="447" t="s">
        <v>2378</v>
      </c>
      <c r="IN3" s="447" t="s">
        <v>2379</v>
      </c>
      <c r="IO3" s="2243"/>
      <c r="IP3" s="2243"/>
      <c r="IQ3" s="2243"/>
      <c r="IR3" s="2243"/>
      <c r="IS3" s="2243"/>
      <c r="IT3" s="2243"/>
      <c r="IU3" s="2243"/>
      <c r="IV3" s="2243"/>
      <c r="IW3" s="2243"/>
      <c r="IX3" s="224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55" t="s">
        <v>3308</v>
      </c>
      <c r="MQ3" s="2655" t="s">
        <v>3309</v>
      </c>
      <c r="MR3" s="2655" t="s">
        <v>3310</v>
      </c>
      <c r="MS3" s="2655" t="s">
        <v>3311</v>
      </c>
      <c r="MT3" s="2655"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3520</v>
      </c>
      <c r="R4" s="2371"/>
      <c r="S4" s="413"/>
      <c r="T4" s="413"/>
      <c r="U4" s="413"/>
      <c r="W4" s="414"/>
      <c r="X4" s="2656" t="s">
        <v>4126</v>
      </c>
      <c r="Y4" s="2656" t="s">
        <v>4127</v>
      </c>
      <c r="Z4" s="2656" t="s">
        <v>4128</v>
      </c>
      <c r="AA4" s="2656" t="s">
        <v>4129</v>
      </c>
      <c r="AB4" s="2656" t="s">
        <v>4130</v>
      </c>
      <c r="AC4" s="2656" t="s">
        <v>4131</v>
      </c>
      <c r="AD4" s="2656" t="s">
        <v>4132</v>
      </c>
      <c r="AE4" s="2656" t="s">
        <v>4133</v>
      </c>
      <c r="AF4" s="2656" t="s">
        <v>4134</v>
      </c>
      <c r="AG4" s="2656" t="s">
        <v>4135</v>
      </c>
      <c r="AH4" s="2656" t="s">
        <v>898</v>
      </c>
      <c r="AI4" s="2656" t="s">
        <v>738</v>
      </c>
      <c r="AJ4" s="2656" t="s">
        <v>739</v>
      </c>
      <c r="AK4" s="2656" t="s">
        <v>740</v>
      </c>
      <c r="AL4" s="2656" t="s">
        <v>741</v>
      </c>
      <c r="AM4" s="2656" t="s">
        <v>899</v>
      </c>
      <c r="AN4" s="2656" t="s">
        <v>2250</v>
      </c>
      <c r="AO4" s="2656" t="s">
        <v>2251</v>
      </c>
      <c r="AP4" s="2656" t="s">
        <v>2252</v>
      </c>
      <c r="AQ4" s="2656" t="s">
        <v>2253</v>
      </c>
      <c r="AR4" s="2656" t="s">
        <v>4137</v>
      </c>
      <c r="AS4" s="2656" t="s">
        <v>4138</v>
      </c>
      <c r="AT4" s="2656" t="s">
        <v>4139</v>
      </c>
      <c r="AU4" s="2656" t="s">
        <v>4140</v>
      </c>
      <c r="AV4" s="2656" t="s">
        <v>4136</v>
      </c>
      <c r="AW4" s="2656" t="s">
        <v>900</v>
      </c>
      <c r="AX4" s="2656" t="s">
        <v>2254</v>
      </c>
      <c r="AY4" s="2656" t="s">
        <v>2255</v>
      </c>
      <c r="AZ4" s="2656" t="s">
        <v>2256</v>
      </c>
      <c r="BA4" s="2656" t="s">
        <v>2257</v>
      </c>
      <c r="BB4" s="2656" t="s">
        <v>4141</v>
      </c>
      <c r="BC4" s="2656" t="s">
        <v>4142</v>
      </c>
      <c r="BD4" s="2656" t="s">
        <v>4143</v>
      </c>
      <c r="BE4" s="2656" t="s">
        <v>4144</v>
      </c>
      <c r="BF4" s="2656" t="s">
        <v>4145</v>
      </c>
      <c r="BG4" s="2656" t="s">
        <v>126</v>
      </c>
      <c r="BH4" s="2656" t="s">
        <v>2258</v>
      </c>
      <c r="BI4" s="2656" t="s">
        <v>2259</v>
      </c>
      <c r="BJ4" s="2656" t="s">
        <v>2260</v>
      </c>
      <c r="BK4" s="2656" t="s">
        <v>1126</v>
      </c>
      <c r="BL4" s="2656" t="s">
        <v>4146</v>
      </c>
      <c r="BM4" s="2656" t="s">
        <v>4147</v>
      </c>
      <c r="BN4" s="2656" t="s">
        <v>4148</v>
      </c>
      <c r="BO4" s="2656" t="s">
        <v>4149</v>
      </c>
      <c r="BP4" s="2656" t="s">
        <v>4150</v>
      </c>
      <c r="BQ4" s="2656" t="s">
        <v>540</v>
      </c>
      <c r="BR4" s="2656" t="s">
        <v>541</v>
      </c>
      <c r="BS4" s="2656" t="s">
        <v>560</v>
      </c>
      <c r="BT4" s="2656" t="s">
        <v>561</v>
      </c>
      <c r="BU4" s="2656" t="s">
        <v>562</v>
      </c>
      <c r="BV4" s="2656" t="s">
        <v>4151</v>
      </c>
      <c r="BW4" s="2656" t="s">
        <v>4152</v>
      </c>
      <c r="BX4" s="2656" t="s">
        <v>4153</v>
      </c>
      <c r="BY4" s="2656" t="s">
        <v>4154</v>
      </c>
      <c r="BZ4" s="2656" t="s">
        <v>4155</v>
      </c>
      <c r="CA4" s="2656" t="s">
        <v>563</v>
      </c>
      <c r="CB4" s="2656" t="s">
        <v>564</v>
      </c>
      <c r="CC4" s="2656" t="s">
        <v>565</v>
      </c>
      <c r="CD4" s="2656" t="s">
        <v>566</v>
      </c>
      <c r="CE4" s="2656" t="s">
        <v>567</v>
      </c>
      <c r="CF4" s="2656" t="s">
        <v>568</v>
      </c>
      <c r="CG4" s="2656" t="s">
        <v>569</v>
      </c>
      <c r="CH4" s="2656" t="s">
        <v>909</v>
      </c>
      <c r="CI4" s="2656" t="s">
        <v>910</v>
      </c>
      <c r="CJ4" s="2656" t="s">
        <v>911</v>
      </c>
      <c r="CK4" s="2656" t="s">
        <v>4161</v>
      </c>
      <c r="CL4" s="2656" t="s">
        <v>4162</v>
      </c>
      <c r="CM4" s="2656" t="s">
        <v>4163</v>
      </c>
      <c r="CN4" s="2656" t="s">
        <v>4164</v>
      </c>
      <c r="CO4" s="2656" t="s">
        <v>4165</v>
      </c>
      <c r="CP4" s="2656" t="s">
        <v>4156</v>
      </c>
      <c r="CQ4" s="2656" t="s">
        <v>4157</v>
      </c>
      <c r="CR4" s="2656" t="s">
        <v>4158</v>
      </c>
      <c r="CS4" s="2656" t="s">
        <v>4159</v>
      </c>
      <c r="CT4" s="2656" t="s">
        <v>4160</v>
      </c>
      <c r="CU4" s="2656" t="s">
        <v>4166</v>
      </c>
      <c r="CV4" s="2656" t="s">
        <v>4167</v>
      </c>
      <c r="CW4" s="2656" t="s">
        <v>4168</v>
      </c>
      <c r="CX4" s="2656" t="s">
        <v>4169</v>
      </c>
      <c r="CY4" s="2656" t="s">
        <v>4170</v>
      </c>
      <c r="CZ4" s="2656" t="s">
        <v>485</v>
      </c>
      <c r="DA4" s="2656" t="s">
        <v>486</v>
      </c>
      <c r="DB4" s="2656" t="s">
        <v>487</v>
      </c>
      <c r="DC4" s="2656" t="s">
        <v>488</v>
      </c>
      <c r="DD4" s="2656" t="s">
        <v>489</v>
      </c>
      <c r="DE4" s="2656" t="s">
        <v>4171</v>
      </c>
      <c r="DF4" s="2656" t="s">
        <v>4172</v>
      </c>
      <c r="DG4" s="2656" t="s">
        <v>4173</v>
      </c>
      <c r="DH4" s="2656" t="s">
        <v>4174</v>
      </c>
      <c r="DI4" s="2656" t="s">
        <v>4175</v>
      </c>
      <c r="DJ4" s="2656" t="s">
        <v>859</v>
      </c>
      <c r="DK4" s="2656" t="s">
        <v>860</v>
      </c>
      <c r="DL4" s="2656" t="s">
        <v>861</v>
      </c>
      <c r="DM4" s="2656" t="s">
        <v>862</v>
      </c>
      <c r="DN4" s="2656" t="s">
        <v>863</v>
      </c>
      <c r="DO4" s="2656" t="s">
        <v>864</v>
      </c>
      <c r="DP4" s="2656" t="s">
        <v>865</v>
      </c>
      <c r="DQ4" s="2656" t="s">
        <v>866</v>
      </c>
      <c r="DR4" s="2656" t="s">
        <v>867</v>
      </c>
      <c r="DS4" s="2656" t="s">
        <v>868</v>
      </c>
      <c r="DT4" s="2656" t="s">
        <v>4176</v>
      </c>
      <c r="DU4" s="2656" t="s">
        <v>4177</v>
      </c>
      <c r="DV4" s="2656" t="s">
        <v>4178</v>
      </c>
      <c r="DW4" s="2656" t="s">
        <v>4179</v>
      </c>
      <c r="DX4" s="2656" t="s">
        <v>4180</v>
      </c>
      <c r="DY4" s="2656" t="s">
        <v>4181</v>
      </c>
      <c r="DZ4" s="2656" t="s">
        <v>4182</v>
      </c>
      <c r="EA4" s="2656" t="s">
        <v>4183</v>
      </c>
      <c r="EB4" s="2656" t="s">
        <v>4184</v>
      </c>
      <c r="EC4" s="2656" t="s">
        <v>4185</v>
      </c>
      <c r="ED4" s="2656" t="s">
        <v>2366</v>
      </c>
      <c r="EE4" s="2656" t="s">
        <v>2367</v>
      </c>
      <c r="EF4" s="2656" t="s">
        <v>2368</v>
      </c>
      <c r="EG4" s="2656" t="s">
        <v>2369</v>
      </c>
      <c r="EH4" s="2656" t="s">
        <v>2370</v>
      </c>
      <c r="EI4" s="2656" t="s">
        <v>4186</v>
      </c>
      <c r="EJ4" s="2656" t="s">
        <v>4187</v>
      </c>
      <c r="EK4" s="2656" t="s">
        <v>4188</v>
      </c>
      <c r="EL4" s="2656" t="s">
        <v>4189</v>
      </c>
      <c r="EM4" s="2656" t="s">
        <v>4190</v>
      </c>
      <c r="EN4" s="2656" t="s">
        <v>4191</v>
      </c>
      <c r="EO4" s="2656" t="s">
        <v>4192</v>
      </c>
      <c r="EP4" s="2656" t="s">
        <v>4193</v>
      </c>
      <c r="EQ4" s="2656" t="s">
        <v>4194</v>
      </c>
      <c r="ER4" s="2656" t="s">
        <v>4195</v>
      </c>
      <c r="ES4" s="2655" t="s">
        <v>114</v>
      </c>
      <c r="ET4" s="2655" t="s">
        <v>1129</v>
      </c>
      <c r="EU4" s="2655" t="s">
        <v>1130</v>
      </c>
      <c r="EV4" s="2655" t="s">
        <v>1187</v>
      </c>
      <c r="EW4" s="2655" t="s">
        <v>1188</v>
      </c>
      <c r="EX4" s="2655" t="s">
        <v>129</v>
      </c>
      <c r="EY4" s="2655" t="s">
        <v>1189</v>
      </c>
      <c r="EZ4" s="2655" t="s">
        <v>1190</v>
      </c>
      <c r="FA4" s="2655" t="s">
        <v>1191</v>
      </c>
      <c r="FB4" s="2655" t="s">
        <v>1192</v>
      </c>
      <c r="FC4" s="2656" t="s">
        <v>4196</v>
      </c>
      <c r="FD4" s="2656" t="s">
        <v>4197</v>
      </c>
      <c r="FE4" s="2656" t="s">
        <v>4198</v>
      </c>
      <c r="FF4" s="2656" t="s">
        <v>4199</v>
      </c>
      <c r="FG4" s="2656" t="s">
        <v>4200</v>
      </c>
      <c r="FH4" s="2655" t="s">
        <v>128</v>
      </c>
      <c r="FI4" s="2655" t="s">
        <v>890</v>
      </c>
      <c r="FJ4" s="2655" t="s">
        <v>891</v>
      </c>
      <c r="FK4" s="2655" t="s">
        <v>892</v>
      </c>
      <c r="FL4" s="2655" t="s">
        <v>893</v>
      </c>
      <c r="FM4" s="2656" t="s">
        <v>4201</v>
      </c>
      <c r="FN4" s="2656" t="s">
        <v>4202</v>
      </c>
      <c r="FO4" s="2656" t="s">
        <v>4203</v>
      </c>
      <c r="FP4" s="2656" t="s">
        <v>4204</v>
      </c>
      <c r="FQ4" s="2656" t="s">
        <v>4205</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2365</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2151</v>
      </c>
      <c r="HQ4" s="2655" t="s">
        <v>2152</v>
      </c>
      <c r="HR4" s="2655" t="s">
        <v>2153</v>
      </c>
      <c r="HS4" s="2655" t="s">
        <v>1448</v>
      </c>
      <c r="HT4" s="2655" t="s">
        <v>1449</v>
      </c>
      <c r="HU4" s="2655" t="s">
        <v>25</v>
      </c>
      <c r="HV4" s="2655" t="s">
        <v>26</v>
      </c>
      <c r="HW4" s="2655" t="s">
        <v>27</v>
      </c>
      <c r="HX4" s="2655" t="s">
        <v>28</v>
      </c>
      <c r="HY4" s="2655"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2456</v>
      </c>
      <c r="LS4" s="2655" t="s">
        <v>2457</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1799</v>
      </c>
      <c r="D5" s="1"/>
      <c r="E5" s="4"/>
      <c r="F5" s="1"/>
      <c r="G5" s="4019" t="s">
        <v>197</v>
      </c>
      <c r="I5" s="2662" t="s">
        <v>4793</v>
      </c>
      <c r="K5" s="2374" t="s">
        <v>3432</v>
      </c>
      <c r="L5" s="2669" t="str">
        <f>'Part I-Project Information'!$B$6</f>
        <v>May 26, 2020 Version</v>
      </c>
      <c r="M5" s="2670"/>
      <c r="N5" s="2372" t="s">
        <v>559</v>
      </c>
      <c r="P5" s="2373" t="s">
        <v>4221</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3303</v>
      </c>
      <c r="MV5" s="2665" t="s">
        <v>3304</v>
      </c>
      <c r="MW5" s="2665" t="s">
        <v>3305</v>
      </c>
      <c r="MX5" s="2665" t="s">
        <v>3306</v>
      </c>
      <c r="MY5" s="2665" t="s">
        <v>3307</v>
      </c>
      <c r="MZ5" s="2655" t="s">
        <v>3317</v>
      </c>
      <c r="NA5" s="2655" t="s">
        <v>3319</v>
      </c>
      <c r="NB5" s="2655" t="s">
        <v>3320</v>
      </c>
      <c r="NC5" s="2655" t="s">
        <v>3321</v>
      </c>
      <c r="ND5" s="2655"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4020" t="s">
        <v>2888</v>
      </c>
      <c r="G6" s="2374" t="s">
        <v>3489</v>
      </c>
      <c r="H6" s="2662" t="s">
        <v>3663</v>
      </c>
      <c r="I6" s="2662"/>
      <c r="J6" s="2374" t="s">
        <v>778</v>
      </c>
      <c r="K6" s="2374" t="s">
        <v>3492</v>
      </c>
      <c r="L6" s="2670"/>
      <c r="M6" s="2670"/>
      <c r="N6" s="2666" t="str">
        <f>'Part I-Project Information'!$O$40</f>
        <v>Macon</v>
      </c>
      <c r="O6" s="2666"/>
      <c r="P6" s="4021">
        <f>VLOOKUP('Part I-Project Information'!$O$40,'DCA Underwriting Assumptions'!$C$173:$D$283,2)</f>
        <v>40500</v>
      </c>
      <c r="Q6" s="2662"/>
      <c r="R6" s="2663" t="s">
        <v>2618</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4208</v>
      </c>
      <c r="C7" s="1"/>
      <c r="D7" s="4"/>
      <c r="E7" s="1"/>
      <c r="F7" s="1"/>
      <c r="G7" s="2374" t="s">
        <v>3490</v>
      </c>
      <c r="H7" s="2662"/>
      <c r="I7" s="2662"/>
      <c r="J7" s="2374" t="s">
        <v>779</v>
      </c>
      <c r="K7" s="2374" t="s">
        <v>3493</v>
      </c>
      <c r="L7" s="831"/>
      <c r="M7" s="831"/>
      <c r="N7" s="2666"/>
      <c r="O7" s="2666"/>
      <c r="Q7" s="2662"/>
      <c r="R7" s="832"/>
      <c r="S7" s="836" t="s">
        <v>2615</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2376</v>
      </c>
      <c r="JA7" s="2244" t="s">
        <v>2377</v>
      </c>
      <c r="JB7" s="2244" t="s">
        <v>2378</v>
      </c>
      <c r="JC7" s="2244" t="s">
        <v>2379</v>
      </c>
      <c r="JD7" s="2244" t="s">
        <v>551</v>
      </c>
      <c r="JE7" s="2244" t="s">
        <v>2376</v>
      </c>
      <c r="JF7" s="2244" t="s">
        <v>2377</v>
      </c>
      <c r="JG7" s="2244" t="s">
        <v>2378</v>
      </c>
      <c r="JH7" s="2244" t="s">
        <v>2379</v>
      </c>
      <c r="JI7" s="2244" t="s">
        <v>551</v>
      </c>
      <c r="JJ7" s="2244" t="s">
        <v>2376</v>
      </c>
      <c r="JK7" s="2244" t="s">
        <v>2377</v>
      </c>
      <c r="JL7" s="2244" t="s">
        <v>2378</v>
      </c>
      <c r="JM7" s="2244" t="s">
        <v>2379</v>
      </c>
      <c r="JN7" s="2244" t="s">
        <v>551</v>
      </c>
      <c r="JO7" s="2244" t="s">
        <v>2376</v>
      </c>
      <c r="JP7" s="2244" t="s">
        <v>2377</v>
      </c>
      <c r="JQ7" s="2244" t="s">
        <v>2378</v>
      </c>
      <c r="JR7" s="2244" t="s">
        <v>2379</v>
      </c>
      <c r="JS7" s="2244" t="s">
        <v>551</v>
      </c>
      <c r="JT7" s="2244" t="s">
        <v>2376</v>
      </c>
      <c r="JU7" s="2244" t="s">
        <v>2377</v>
      </c>
      <c r="JV7" s="2244" t="s">
        <v>2378</v>
      </c>
      <c r="JW7" s="2244" t="s">
        <v>2379</v>
      </c>
      <c r="JX7" s="2244" t="s">
        <v>551</v>
      </c>
      <c r="JY7" s="2244" t="s">
        <v>2376</v>
      </c>
      <c r="JZ7" s="2244" t="s">
        <v>2377</v>
      </c>
      <c r="KA7" s="2244" t="s">
        <v>2378</v>
      </c>
      <c r="KB7" s="2244" t="s">
        <v>2379</v>
      </c>
      <c r="KC7" s="2244" t="s">
        <v>551</v>
      </c>
      <c r="KD7" s="2244" t="s">
        <v>2376</v>
      </c>
      <c r="KE7" s="2244" t="s">
        <v>2377</v>
      </c>
      <c r="KF7" s="2244" t="s">
        <v>2378</v>
      </c>
      <c r="KG7" s="2244" t="s">
        <v>2379</v>
      </c>
      <c r="KH7" s="2244" t="s">
        <v>551</v>
      </c>
      <c r="KI7" s="2244" t="s">
        <v>2376</v>
      </c>
      <c r="KJ7" s="2244" t="s">
        <v>2377</v>
      </c>
      <c r="KK7" s="2244" t="s">
        <v>2378</v>
      </c>
      <c r="KL7" s="2244" t="s">
        <v>2379</v>
      </c>
      <c r="KM7" s="2244" t="s">
        <v>551</v>
      </c>
      <c r="KN7" s="2244" t="s">
        <v>2376</v>
      </c>
      <c r="KO7" s="2244" t="s">
        <v>2377</v>
      </c>
      <c r="KP7" s="2244" t="s">
        <v>2378</v>
      </c>
      <c r="KQ7" s="2244" t="s">
        <v>2379</v>
      </c>
      <c r="KR7" s="2244" t="s">
        <v>551</v>
      </c>
      <c r="KS7" s="2244" t="s">
        <v>2376</v>
      </c>
      <c r="KT7" s="2244" t="s">
        <v>2377</v>
      </c>
      <c r="KU7" s="2244" t="s">
        <v>2378</v>
      </c>
      <c r="KV7" s="2244" t="s">
        <v>2379</v>
      </c>
      <c r="KW7" s="2244" t="s">
        <v>551</v>
      </c>
      <c r="KX7" s="2244" t="s">
        <v>2376</v>
      </c>
      <c r="KY7" s="2244" t="s">
        <v>2377</v>
      </c>
      <c r="KZ7" s="2244" t="s">
        <v>2378</v>
      </c>
      <c r="LA7" s="2244" t="s">
        <v>2379</v>
      </c>
      <c r="LB7" s="2244" t="s">
        <v>551</v>
      </c>
      <c r="LC7" s="2244" t="s">
        <v>2376</v>
      </c>
      <c r="LD7" s="2244" t="s">
        <v>2377</v>
      </c>
      <c r="LE7" s="2244" t="s">
        <v>2378</v>
      </c>
      <c r="LF7" s="2244" t="s">
        <v>2379</v>
      </c>
      <c r="LG7" s="2244" t="s">
        <v>551</v>
      </c>
      <c r="LH7" s="2244" t="s">
        <v>2376</v>
      </c>
      <c r="LI7" s="2244" t="s">
        <v>2377</v>
      </c>
      <c r="LJ7" s="2244" t="s">
        <v>2378</v>
      </c>
      <c r="LK7" s="2244" t="s">
        <v>2379</v>
      </c>
      <c r="LL7" s="2244" t="s">
        <v>551</v>
      </c>
      <c r="LM7" s="2244" t="s">
        <v>2376</v>
      </c>
      <c r="LN7" s="2244" t="s">
        <v>2377</v>
      </c>
      <c r="LO7" s="2244" t="s">
        <v>2378</v>
      </c>
      <c r="LP7" s="2244" t="s">
        <v>2379</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4209</v>
      </c>
      <c r="C8" s="2374" t="s">
        <v>168</v>
      </c>
      <c r="D8" s="2374" t="s">
        <v>530</v>
      </c>
      <c r="E8" s="2374" t="s">
        <v>1445</v>
      </c>
      <c r="F8" s="2374" t="s">
        <v>1445</v>
      </c>
      <c r="G8" s="2374" t="s">
        <v>1447</v>
      </c>
      <c r="H8" s="2374" t="s">
        <v>3490</v>
      </c>
      <c r="I8" s="2662"/>
      <c r="J8" s="2671" t="s">
        <v>4475</v>
      </c>
      <c r="K8" s="2374" t="s">
        <v>2343</v>
      </c>
      <c r="L8" s="2664" t="s">
        <v>142</v>
      </c>
      <c r="M8" s="2664"/>
      <c r="N8" s="2374" t="s">
        <v>2306</v>
      </c>
      <c r="O8" s="2374" t="s">
        <v>4788</v>
      </c>
      <c r="P8" s="2374" t="s">
        <v>377</v>
      </c>
      <c r="Q8" s="2662"/>
      <c r="R8" s="2374" t="s">
        <v>2614</v>
      </c>
      <c r="S8" s="2374" t="s">
        <v>2616</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4" t="s">
        <v>2376</v>
      </c>
      <c r="IB8" s="2244" t="s">
        <v>2377</v>
      </c>
      <c r="IC8" s="2244" t="s">
        <v>2378</v>
      </c>
      <c r="ID8" s="2244" t="s">
        <v>2379</v>
      </c>
      <c r="IE8" s="2655" t="s">
        <v>2431</v>
      </c>
      <c r="IF8" s="2655" t="s">
        <v>2431</v>
      </c>
      <c r="IG8" s="2655" t="s">
        <v>2431</v>
      </c>
      <c r="IH8" s="2655" t="s">
        <v>2431</v>
      </c>
      <c r="II8" s="2655" t="s">
        <v>2431</v>
      </c>
      <c r="IJ8" s="2655" t="s">
        <v>3259</v>
      </c>
      <c r="IK8" s="2655" t="s">
        <v>3259</v>
      </c>
      <c r="IL8" s="2655" t="s">
        <v>3259</v>
      </c>
      <c r="IM8" s="2655" t="s">
        <v>3259</v>
      </c>
      <c r="IN8" s="2655" t="s">
        <v>3259</v>
      </c>
      <c r="IO8" s="2244" t="s">
        <v>551</v>
      </c>
      <c r="IP8" s="2244" t="s">
        <v>2376</v>
      </c>
      <c r="IQ8" s="2244" t="s">
        <v>2377</v>
      </c>
      <c r="IR8" s="2244" t="s">
        <v>2378</v>
      </c>
      <c r="IS8" s="2244" t="s">
        <v>2379</v>
      </c>
      <c r="IT8" s="2244" t="s">
        <v>551</v>
      </c>
      <c r="IU8" s="2244" t="s">
        <v>2376</v>
      </c>
      <c r="IV8" s="2244" t="s">
        <v>2377</v>
      </c>
      <c r="IW8" s="2244" t="s">
        <v>2378</v>
      </c>
      <c r="IX8" s="2244" t="s">
        <v>2379</v>
      </c>
      <c r="IY8" s="2655" t="s">
        <v>2433</v>
      </c>
      <c r="IZ8" s="2655" t="s">
        <v>2433</v>
      </c>
      <c r="JA8" s="2655" t="s">
        <v>2433</v>
      </c>
      <c r="JB8" s="2655" t="s">
        <v>2433</v>
      </c>
      <c r="JC8" s="2655" t="s">
        <v>2433</v>
      </c>
      <c r="JD8" s="2655" t="s">
        <v>3255</v>
      </c>
      <c r="JE8" s="2655" t="s">
        <v>3255</v>
      </c>
      <c r="JF8" s="2655" t="s">
        <v>3255</v>
      </c>
      <c r="JG8" s="2655" t="s">
        <v>3255</v>
      </c>
      <c r="JH8" s="2655" t="s">
        <v>3255</v>
      </c>
      <c r="JI8" s="2655" t="s">
        <v>352</v>
      </c>
      <c r="JJ8" s="2655" t="s">
        <v>352</v>
      </c>
      <c r="JK8" s="2655" t="s">
        <v>352</v>
      </c>
      <c r="JL8" s="2655" t="s">
        <v>352</v>
      </c>
      <c r="JM8" s="2655" t="s">
        <v>352</v>
      </c>
      <c r="JN8" s="2655" t="s">
        <v>3254</v>
      </c>
      <c r="JO8" s="2655" t="s">
        <v>3254</v>
      </c>
      <c r="JP8" s="2655" t="s">
        <v>3254</v>
      </c>
      <c r="JQ8" s="2655" t="s">
        <v>3254</v>
      </c>
      <c r="JR8" s="2655" t="s">
        <v>3254</v>
      </c>
      <c r="JS8" s="2655" t="s">
        <v>353</v>
      </c>
      <c r="JT8" s="2655" t="s">
        <v>353</v>
      </c>
      <c r="JU8" s="2655" t="s">
        <v>353</v>
      </c>
      <c r="JV8" s="2655" t="s">
        <v>353</v>
      </c>
      <c r="JW8" s="2655" t="s">
        <v>353</v>
      </c>
      <c r="JX8" s="2655" t="s">
        <v>3253</v>
      </c>
      <c r="JY8" s="2655" t="s">
        <v>3253</v>
      </c>
      <c r="JZ8" s="2655" t="s">
        <v>3253</v>
      </c>
      <c r="KA8" s="2655" t="s">
        <v>3253</v>
      </c>
      <c r="KB8" s="2655" t="s">
        <v>3253</v>
      </c>
      <c r="KC8" s="2655" t="s">
        <v>354</v>
      </c>
      <c r="KD8" s="2655" t="s">
        <v>354</v>
      </c>
      <c r="KE8" s="2655" t="s">
        <v>354</v>
      </c>
      <c r="KF8" s="2655" t="s">
        <v>354</v>
      </c>
      <c r="KG8" s="2655" t="s">
        <v>354</v>
      </c>
      <c r="KH8" s="2655" t="s">
        <v>3256</v>
      </c>
      <c r="KI8" s="2655" t="s">
        <v>3256</v>
      </c>
      <c r="KJ8" s="2655" t="s">
        <v>3256</v>
      </c>
      <c r="KK8" s="2655" t="s">
        <v>3256</v>
      </c>
      <c r="KL8" s="2655" t="s">
        <v>3256</v>
      </c>
      <c r="KM8" s="2655" t="s">
        <v>355</v>
      </c>
      <c r="KN8" s="2655" t="s">
        <v>355</v>
      </c>
      <c r="KO8" s="2655" t="s">
        <v>355</v>
      </c>
      <c r="KP8" s="2655" t="s">
        <v>355</v>
      </c>
      <c r="KQ8" s="2655" t="s">
        <v>355</v>
      </c>
      <c r="KR8" s="2655" t="s">
        <v>3257</v>
      </c>
      <c r="KS8" s="2655" t="s">
        <v>3257</v>
      </c>
      <c r="KT8" s="2655" t="s">
        <v>3257</v>
      </c>
      <c r="KU8" s="2655" t="s">
        <v>3257</v>
      </c>
      <c r="KV8" s="2655" t="s">
        <v>3257</v>
      </c>
      <c r="KW8" s="2655" t="s">
        <v>1432</v>
      </c>
      <c r="KX8" s="2655" t="s">
        <v>1432</v>
      </c>
      <c r="KY8" s="2655" t="s">
        <v>1432</v>
      </c>
      <c r="KZ8" s="2655" t="s">
        <v>1432</v>
      </c>
      <c r="LA8" s="2655" t="s">
        <v>1432</v>
      </c>
      <c r="LB8" s="2655" t="s">
        <v>3258</v>
      </c>
      <c r="LC8" s="2655" t="s">
        <v>3258</v>
      </c>
      <c r="LD8" s="2655" t="s">
        <v>3258</v>
      </c>
      <c r="LE8" s="2655" t="s">
        <v>3258</v>
      </c>
      <c r="LF8" s="2655" t="s">
        <v>3258</v>
      </c>
      <c r="LG8" s="2655" t="s">
        <v>4794</v>
      </c>
      <c r="LH8" s="2655" t="s">
        <v>4794</v>
      </c>
      <c r="LI8" s="2655" t="s">
        <v>4794</v>
      </c>
      <c r="LJ8" s="2655" t="s">
        <v>4794</v>
      </c>
      <c r="LK8" s="2655" t="s">
        <v>4794</v>
      </c>
      <c r="LL8" s="2655" t="s">
        <v>4795</v>
      </c>
      <c r="LM8" s="2655" t="s">
        <v>4795</v>
      </c>
      <c r="LN8" s="2655" t="s">
        <v>4795</v>
      </c>
      <c r="LO8" s="2655" t="s">
        <v>4795</v>
      </c>
      <c r="LP8" s="2655" t="s">
        <v>4795</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4521</v>
      </c>
      <c r="C9" s="2374" t="s">
        <v>167</v>
      </c>
      <c r="D9" s="2374" t="s">
        <v>169</v>
      </c>
      <c r="E9" s="2374" t="s">
        <v>1446</v>
      </c>
      <c r="F9" s="2374" t="s">
        <v>1253</v>
      </c>
      <c r="G9" s="2374" t="s">
        <v>3491</v>
      </c>
      <c r="H9" s="2374" t="s">
        <v>1447</v>
      </c>
      <c r="I9" s="2667"/>
      <c r="J9" s="2672"/>
      <c r="K9" s="444" t="s">
        <v>344</v>
      </c>
      <c r="L9" s="2374" t="s">
        <v>1498</v>
      </c>
      <c r="M9" s="2374" t="s">
        <v>524</v>
      </c>
      <c r="N9" s="2374" t="s">
        <v>1445</v>
      </c>
      <c r="O9" s="2374" t="s">
        <v>3209</v>
      </c>
      <c r="P9" s="2374" t="s">
        <v>378</v>
      </c>
      <c r="Q9" s="2667"/>
      <c r="R9" s="2374" t="s">
        <v>1447</v>
      </c>
      <c r="S9" s="2374" t="s">
        <v>2617</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4" t="s">
        <v>2430</v>
      </c>
      <c r="IB9" s="2244" t="s">
        <v>2430</v>
      </c>
      <c r="IC9" s="2244" t="s">
        <v>2430</v>
      </c>
      <c r="ID9" s="2244" t="s">
        <v>2430</v>
      </c>
      <c r="IE9" s="2655"/>
      <c r="IF9" s="2655"/>
      <c r="IG9" s="2655"/>
      <c r="IH9" s="2655"/>
      <c r="II9" s="2655"/>
      <c r="IJ9" s="2655"/>
      <c r="IK9" s="2655"/>
      <c r="IL9" s="2655"/>
      <c r="IM9" s="2655"/>
      <c r="IN9" s="2655"/>
      <c r="IO9" s="2244" t="s">
        <v>2432</v>
      </c>
      <c r="IP9" s="2244" t="s">
        <v>2432</v>
      </c>
      <c r="IQ9" s="2244" t="s">
        <v>2432</v>
      </c>
      <c r="IR9" s="2244" t="s">
        <v>2432</v>
      </c>
      <c r="IS9" s="2244" t="s">
        <v>2432</v>
      </c>
      <c r="IT9" s="2244" t="s">
        <v>3260</v>
      </c>
      <c r="IU9" s="2244" t="s">
        <v>3260</v>
      </c>
      <c r="IV9" s="2244" t="s">
        <v>3260</v>
      </c>
      <c r="IW9" s="2244" t="s">
        <v>3260</v>
      </c>
      <c r="IX9" s="2244" t="s">
        <v>3260</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4022" t="s">
        <v>4119</v>
      </c>
      <c r="C10" s="4023"/>
      <c r="D10" s="4024"/>
      <c r="E10" s="4025"/>
      <c r="F10" s="4025"/>
      <c r="G10" s="4025"/>
      <c r="H10" s="4025"/>
      <c r="I10" s="4026"/>
      <c r="J10" s="4027"/>
      <c r="K10" s="4028"/>
      <c r="L10" s="566">
        <f t="shared" ref="L10:L47" si="0">MAX(0,H10-I10-J10)</f>
        <v>0</v>
      </c>
      <c r="M10" s="566">
        <f t="shared" ref="M10:M47" si="1">MAX(0,E10*L10)</f>
        <v>0</v>
      </c>
      <c r="N10" s="4029"/>
      <c r="O10" s="4029"/>
      <c r="P10" s="4029"/>
      <c r="Q10" s="4030"/>
      <c r="R10" s="4031"/>
      <c r="S10" s="4032"/>
      <c r="T10" s="4033"/>
      <c r="U10" s="4034"/>
      <c r="V10" s="4034"/>
      <c r="W10" s="4035"/>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4036" t="s">
        <v>4119</v>
      </c>
      <c r="C11" s="4037"/>
      <c r="D11" s="4038"/>
      <c r="E11" s="4039"/>
      <c r="F11" s="4039"/>
      <c r="G11" s="4039"/>
      <c r="H11" s="4039"/>
      <c r="I11" s="4039"/>
      <c r="J11" s="4040"/>
      <c r="K11" s="4041"/>
      <c r="L11" s="567">
        <f t="shared" si="0"/>
        <v>0</v>
      </c>
      <c r="M11" s="567">
        <f t="shared" si="1"/>
        <v>0</v>
      </c>
      <c r="N11" s="4042"/>
      <c r="O11" s="4042"/>
      <c r="P11" s="4042"/>
      <c r="Q11" s="4043"/>
      <c r="R11" s="4044"/>
      <c r="S11" s="4045"/>
      <c r="T11" s="4046"/>
      <c r="U11" s="4047"/>
      <c r="V11" s="4047"/>
      <c r="W11" s="4048"/>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4036" t="s">
        <v>298</v>
      </c>
      <c r="C12" s="4037"/>
      <c r="D12" s="4038"/>
      <c r="E12" s="4039"/>
      <c r="F12" s="4039"/>
      <c r="G12" s="4039"/>
      <c r="H12" s="4039"/>
      <c r="I12" s="4039"/>
      <c r="J12" s="4040"/>
      <c r="K12" s="4041"/>
      <c r="L12" s="567">
        <f t="shared" si="0"/>
        <v>0</v>
      </c>
      <c r="M12" s="567">
        <f t="shared" si="1"/>
        <v>0</v>
      </c>
      <c r="N12" s="4042"/>
      <c r="O12" s="4042"/>
      <c r="P12" s="4042"/>
      <c r="Q12" s="4043"/>
      <c r="R12" s="4044"/>
      <c r="S12" s="4045"/>
      <c r="T12" s="4046"/>
      <c r="U12" s="4047"/>
      <c r="V12" s="4047"/>
      <c r="W12" s="4048"/>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4036" t="s">
        <v>298</v>
      </c>
      <c r="C13" s="4037"/>
      <c r="D13" s="4038"/>
      <c r="E13" s="4039"/>
      <c r="F13" s="4039"/>
      <c r="G13" s="4039"/>
      <c r="H13" s="4039"/>
      <c r="I13" s="4039"/>
      <c r="J13" s="4040"/>
      <c r="K13" s="4041"/>
      <c r="L13" s="567">
        <f t="shared" si="0"/>
        <v>0</v>
      </c>
      <c r="M13" s="567">
        <f t="shared" si="1"/>
        <v>0</v>
      </c>
      <c r="N13" s="4042"/>
      <c r="O13" s="4042"/>
      <c r="P13" s="4042"/>
      <c r="Q13" s="4043"/>
      <c r="R13" s="4044"/>
      <c r="S13" s="4045"/>
      <c r="T13" s="4046"/>
      <c r="U13" s="4047"/>
      <c r="V13" s="4047"/>
      <c r="W13" s="4048"/>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4036" t="s">
        <v>298</v>
      </c>
      <c r="C14" s="4037"/>
      <c r="D14" s="4038"/>
      <c r="E14" s="4039"/>
      <c r="F14" s="4039"/>
      <c r="G14" s="4039"/>
      <c r="H14" s="4039"/>
      <c r="I14" s="4039"/>
      <c r="J14" s="4040"/>
      <c r="K14" s="4041"/>
      <c r="L14" s="567">
        <f t="shared" si="0"/>
        <v>0</v>
      </c>
      <c r="M14" s="567">
        <f t="shared" si="1"/>
        <v>0</v>
      </c>
      <c r="N14" s="4042"/>
      <c r="O14" s="4042"/>
      <c r="P14" s="4042"/>
      <c r="Q14" s="4043"/>
      <c r="R14" s="4044"/>
      <c r="S14" s="4045"/>
      <c r="T14" s="4046"/>
      <c r="U14" s="4047"/>
      <c r="V14" s="4047"/>
      <c r="W14" s="4048"/>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4036" t="s">
        <v>298</v>
      </c>
      <c r="C15" s="4037"/>
      <c r="D15" s="4038"/>
      <c r="E15" s="4039"/>
      <c r="F15" s="4039"/>
      <c r="G15" s="4039"/>
      <c r="H15" s="4039"/>
      <c r="I15" s="4039"/>
      <c r="J15" s="4040"/>
      <c r="K15" s="4041"/>
      <c r="L15" s="567">
        <f t="shared" si="0"/>
        <v>0</v>
      </c>
      <c r="M15" s="567">
        <f t="shared" si="1"/>
        <v>0</v>
      </c>
      <c r="N15" s="4042"/>
      <c r="O15" s="4042"/>
      <c r="P15" s="4042"/>
      <c r="Q15" s="4043"/>
      <c r="R15" s="4044"/>
      <c r="S15" s="4045"/>
      <c r="T15" s="4046"/>
      <c r="U15" s="4047"/>
      <c r="V15" s="4047"/>
      <c r="W15" s="4048"/>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4049" t="s">
        <v>298</v>
      </c>
      <c r="C16" s="4050"/>
      <c r="D16" s="4051"/>
      <c r="E16" s="4052"/>
      <c r="F16" s="4052"/>
      <c r="G16" s="4052"/>
      <c r="H16" s="4052"/>
      <c r="I16" s="4052"/>
      <c r="J16" s="4053"/>
      <c r="K16" s="4054"/>
      <c r="L16" s="1338">
        <f t="shared" si="0"/>
        <v>0</v>
      </c>
      <c r="M16" s="1338">
        <f t="shared" si="1"/>
        <v>0</v>
      </c>
      <c r="N16" s="4055"/>
      <c r="O16" s="4055"/>
      <c r="P16" s="4055"/>
      <c r="Q16" s="4056"/>
      <c r="R16" s="4044"/>
      <c r="S16" s="4045"/>
      <c r="T16" s="4046"/>
      <c r="U16" s="4047"/>
      <c r="V16" s="4047"/>
      <c r="W16" s="4048"/>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4057">
        <v>50</v>
      </c>
      <c r="C17" s="4058">
        <v>1</v>
      </c>
      <c r="D17" s="4059">
        <v>1</v>
      </c>
      <c r="E17" s="4060">
        <v>3</v>
      </c>
      <c r="F17" s="4060">
        <v>850</v>
      </c>
      <c r="G17" s="4060">
        <v>568</v>
      </c>
      <c r="H17" s="4060">
        <v>492</v>
      </c>
      <c r="I17" s="4060">
        <v>0</v>
      </c>
      <c r="J17" s="4061">
        <f>IF(C17="",0,HLOOKUP(C17,'Part V-Utility Allowances'!$I$11:$M$22,12))</f>
        <v>97</v>
      </c>
      <c r="K17" s="4062"/>
      <c r="L17" s="1337">
        <f t="shared" si="0"/>
        <v>395</v>
      </c>
      <c r="M17" s="1337">
        <f t="shared" si="1"/>
        <v>1185</v>
      </c>
      <c r="N17" s="4063" t="s">
        <v>2888</v>
      </c>
      <c r="O17" s="4063" t="s">
        <v>2536</v>
      </c>
      <c r="P17" s="4063" t="s">
        <v>2236</v>
      </c>
      <c r="Q17" s="4064" t="s">
        <v>2888</v>
      </c>
      <c r="R17" s="4044"/>
      <c r="S17" s="4045"/>
      <c r="T17" s="4046"/>
      <c r="U17" s="4047"/>
      <c r="V17" s="4047"/>
      <c r="W17" s="4048"/>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2550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3</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f t="shared" si="258"/>
        <v>3</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3</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4065">
        <v>60</v>
      </c>
      <c r="C18" s="4037">
        <v>1</v>
      </c>
      <c r="D18" s="4038">
        <v>1</v>
      </c>
      <c r="E18" s="4039">
        <v>11</v>
      </c>
      <c r="F18" s="4039">
        <v>850</v>
      </c>
      <c r="G18" s="4039">
        <v>681</v>
      </c>
      <c r="H18" s="4039">
        <v>592</v>
      </c>
      <c r="I18" s="4039">
        <v>0</v>
      </c>
      <c r="J18" s="4066">
        <f>IF(C18="",0,HLOOKUP(C18,'Part V-Utility Allowances'!$I$11:$M$22,12))</f>
        <v>97</v>
      </c>
      <c r="K18" s="4041"/>
      <c r="L18" s="567">
        <f t="shared" si="0"/>
        <v>495</v>
      </c>
      <c r="M18" s="567">
        <f t="shared" si="1"/>
        <v>5445</v>
      </c>
      <c r="N18" s="4042" t="s">
        <v>2888</v>
      </c>
      <c r="O18" s="4042" t="s">
        <v>2536</v>
      </c>
      <c r="P18" s="4042" t="s">
        <v>2236</v>
      </c>
      <c r="Q18" s="4043" t="s">
        <v>2888</v>
      </c>
      <c r="R18" s="4044"/>
      <c r="S18" s="4045"/>
      <c r="T18" s="4046"/>
      <c r="U18" s="4047"/>
      <c r="V18" s="4047"/>
      <c r="W18" s="4048"/>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11</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9350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11</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f t="shared" si="213"/>
        <v>11</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f t="shared" si="258"/>
        <v>11</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11</v>
      </c>
      <c r="MW18" s="2244">
        <f t="shared" si="345"/>
        <v>0</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4065">
        <v>50</v>
      </c>
      <c r="C19" s="4037">
        <v>2</v>
      </c>
      <c r="D19" s="4038">
        <v>2</v>
      </c>
      <c r="E19" s="4039">
        <v>7</v>
      </c>
      <c r="F19" s="4039">
        <v>1100</v>
      </c>
      <c r="G19" s="4039">
        <v>681</v>
      </c>
      <c r="H19" s="4039">
        <v>593</v>
      </c>
      <c r="I19" s="4039">
        <v>0</v>
      </c>
      <c r="J19" s="4066">
        <f>IF(C19="",0,HLOOKUP(C19,'Part V-Utility Allowances'!$I$11:$M$22,12))</f>
        <v>123</v>
      </c>
      <c r="K19" s="4041"/>
      <c r="L19" s="567">
        <f t="shared" si="0"/>
        <v>470</v>
      </c>
      <c r="M19" s="567">
        <f t="shared" si="1"/>
        <v>3290</v>
      </c>
      <c r="N19" s="4042" t="s">
        <v>2888</v>
      </c>
      <c r="O19" s="4042" t="s">
        <v>2536</v>
      </c>
      <c r="P19" s="4042" t="s">
        <v>2236</v>
      </c>
      <c r="Q19" s="4043" t="s">
        <v>2888</v>
      </c>
      <c r="R19" s="4044"/>
      <c r="S19" s="4045"/>
      <c r="T19" s="4046"/>
      <c r="U19" s="4047"/>
      <c r="V19" s="4047"/>
      <c r="W19" s="4048"/>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7</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7700</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7</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f t="shared" si="214"/>
        <v>7</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f t="shared" si="259"/>
        <v>7</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7</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4065">
        <v>60</v>
      </c>
      <c r="C20" s="4037">
        <v>2</v>
      </c>
      <c r="D20" s="4038">
        <v>2</v>
      </c>
      <c r="E20" s="4039">
        <v>27</v>
      </c>
      <c r="F20" s="4039">
        <v>1100</v>
      </c>
      <c r="G20" s="4039">
        <v>817</v>
      </c>
      <c r="H20" s="4039">
        <v>718</v>
      </c>
      <c r="I20" s="4039">
        <v>0</v>
      </c>
      <c r="J20" s="4066">
        <f>IF(C20="",0,HLOOKUP(C20,'Part V-Utility Allowances'!$I$11:$M$22,12))</f>
        <v>123</v>
      </c>
      <c r="K20" s="4041"/>
      <c r="L20" s="567">
        <f t="shared" si="0"/>
        <v>595</v>
      </c>
      <c r="M20" s="567">
        <f t="shared" si="1"/>
        <v>16065</v>
      </c>
      <c r="N20" s="4042" t="s">
        <v>2888</v>
      </c>
      <c r="O20" s="4042" t="s">
        <v>2536</v>
      </c>
      <c r="P20" s="4042" t="s">
        <v>2236</v>
      </c>
      <c r="Q20" s="4043" t="s">
        <v>2888</v>
      </c>
      <c r="R20" s="4044"/>
      <c r="S20" s="4045"/>
      <c r="T20" s="4046"/>
      <c r="U20" s="4047"/>
      <c r="V20" s="4047"/>
      <c r="W20" s="4048"/>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27</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29700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27</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f t="shared" si="214"/>
        <v>27</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f t="shared" si="259"/>
        <v>27</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27</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4065"/>
      <c r="C21" s="4037"/>
      <c r="D21" s="4038"/>
      <c r="E21" s="4039"/>
      <c r="F21" s="4039"/>
      <c r="G21" s="4039"/>
      <c r="H21" s="4039"/>
      <c r="I21" s="4039"/>
      <c r="J21" s="4066">
        <f>IF(C21="",0,HLOOKUP(C21,'Part V-Utility Allowances'!$I$11:$M$22,12))</f>
        <v>0</v>
      </c>
      <c r="K21" s="4041"/>
      <c r="L21" s="567">
        <f t="shared" si="0"/>
        <v>0</v>
      </c>
      <c r="M21" s="567">
        <f t="shared" si="1"/>
        <v>0</v>
      </c>
      <c r="N21" s="4042"/>
      <c r="O21" s="4042"/>
      <c r="P21" s="4042"/>
      <c r="Q21" s="4043"/>
      <c r="R21" s="4044"/>
      <c r="S21" s="4045"/>
      <c r="T21" s="4046"/>
      <c r="U21" s="4047"/>
      <c r="V21" s="4047"/>
      <c r="W21" s="4048"/>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4065"/>
      <c r="C22" s="4037"/>
      <c r="D22" s="4038"/>
      <c r="E22" s="4039"/>
      <c r="F22" s="4039"/>
      <c r="G22" s="4039"/>
      <c r="H22" s="4039"/>
      <c r="I22" s="4039"/>
      <c r="J22" s="4066">
        <f>IF(C22="",0,HLOOKUP(C22,'Part V-Utility Allowances'!$I$11:$M$22,12))</f>
        <v>0</v>
      </c>
      <c r="K22" s="4041"/>
      <c r="L22" s="567">
        <f t="shared" si="0"/>
        <v>0</v>
      </c>
      <c r="M22" s="567">
        <f t="shared" si="1"/>
        <v>0</v>
      </c>
      <c r="N22" s="4042"/>
      <c r="O22" s="4042"/>
      <c r="P22" s="4042"/>
      <c r="Q22" s="4043"/>
      <c r="R22" s="4044"/>
      <c r="S22" s="4045"/>
      <c r="T22" s="4046"/>
      <c r="U22" s="4047"/>
      <c r="V22" s="4047"/>
      <c r="W22" s="4048"/>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4065"/>
      <c r="C23" s="4037"/>
      <c r="D23" s="4038"/>
      <c r="E23" s="4039"/>
      <c r="F23" s="4039"/>
      <c r="G23" s="4039"/>
      <c r="H23" s="4039"/>
      <c r="I23" s="4039"/>
      <c r="J23" s="4066">
        <f>IF(C23="",0,HLOOKUP(C23,'Part V-Utility Allowances'!$I$11:$M$22,12))</f>
        <v>0</v>
      </c>
      <c r="K23" s="4041"/>
      <c r="L23" s="567">
        <f t="shared" si="0"/>
        <v>0</v>
      </c>
      <c r="M23" s="567">
        <f t="shared" si="1"/>
        <v>0</v>
      </c>
      <c r="N23" s="4042"/>
      <c r="O23" s="4042"/>
      <c r="P23" s="4042"/>
      <c r="Q23" s="4043"/>
      <c r="R23" s="4044"/>
      <c r="S23" s="4045"/>
      <c r="T23" s="4046"/>
      <c r="U23" s="4047"/>
      <c r="V23" s="4047"/>
      <c r="W23" s="4048"/>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4065"/>
      <c r="C24" s="4037"/>
      <c r="D24" s="4038"/>
      <c r="E24" s="4039"/>
      <c r="F24" s="4039"/>
      <c r="G24" s="4039"/>
      <c r="H24" s="4039"/>
      <c r="I24" s="4039"/>
      <c r="J24" s="4066">
        <f>IF(C24="",0,HLOOKUP(C24,'Part V-Utility Allowances'!$I$11:$M$22,12))</f>
        <v>0</v>
      </c>
      <c r="K24" s="4041"/>
      <c r="L24" s="567">
        <f t="shared" si="0"/>
        <v>0</v>
      </c>
      <c r="M24" s="567">
        <f t="shared" si="1"/>
        <v>0</v>
      </c>
      <c r="N24" s="4042"/>
      <c r="O24" s="4042"/>
      <c r="P24" s="4042"/>
      <c r="Q24" s="4043"/>
      <c r="R24" s="4044"/>
      <c r="S24" s="4045"/>
      <c r="T24" s="4046"/>
      <c r="U24" s="4047"/>
      <c r="V24" s="4047"/>
      <c r="W24" s="4048"/>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4065"/>
      <c r="C25" s="4037"/>
      <c r="D25" s="4038"/>
      <c r="E25" s="4039"/>
      <c r="F25" s="4039"/>
      <c r="G25" s="4039"/>
      <c r="H25" s="4039"/>
      <c r="I25" s="4039"/>
      <c r="J25" s="4066">
        <f>IF(C25="",0,HLOOKUP(C25,'Part V-Utility Allowances'!$I$11:$M$22,12))</f>
        <v>0</v>
      </c>
      <c r="K25" s="4041"/>
      <c r="L25" s="567">
        <f t="shared" si="0"/>
        <v>0</v>
      </c>
      <c r="M25" s="567">
        <f t="shared" si="1"/>
        <v>0</v>
      </c>
      <c r="N25" s="4042"/>
      <c r="O25" s="4042"/>
      <c r="P25" s="4042"/>
      <c r="Q25" s="4043"/>
      <c r="R25" s="4044"/>
      <c r="S25" s="4045"/>
      <c r="T25" s="4046"/>
      <c r="U25" s="4047"/>
      <c r="V25" s="4047"/>
      <c r="W25" s="4048"/>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4065"/>
      <c r="C26" s="4037"/>
      <c r="D26" s="4038"/>
      <c r="E26" s="4039"/>
      <c r="F26" s="4039"/>
      <c r="G26" s="4039"/>
      <c r="H26" s="4039"/>
      <c r="I26" s="4039"/>
      <c r="J26" s="4066">
        <f>IF(C26="",0,HLOOKUP(C26,'Part V-Utility Allowances'!$I$11:$M$22,12))</f>
        <v>0</v>
      </c>
      <c r="K26" s="4041"/>
      <c r="L26" s="567">
        <f t="shared" si="0"/>
        <v>0</v>
      </c>
      <c r="M26" s="567">
        <f t="shared" si="1"/>
        <v>0</v>
      </c>
      <c r="N26" s="4042"/>
      <c r="O26" s="4042"/>
      <c r="P26" s="4042"/>
      <c r="Q26" s="4043"/>
      <c r="R26" s="4044"/>
      <c r="S26" s="4045"/>
      <c r="T26" s="4046"/>
      <c r="U26" s="4047"/>
      <c r="V26" s="4047"/>
      <c r="W26" s="4048"/>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4065"/>
      <c r="C27" s="4037"/>
      <c r="D27" s="4038"/>
      <c r="E27" s="4039"/>
      <c r="F27" s="4039"/>
      <c r="G27" s="4039"/>
      <c r="H27" s="4039"/>
      <c r="I27" s="4039"/>
      <c r="J27" s="4066">
        <f>IF(C27="",0,HLOOKUP(C27,'Part V-Utility Allowances'!$I$11:$M$22,12))</f>
        <v>0</v>
      </c>
      <c r="K27" s="4041"/>
      <c r="L27" s="567">
        <f t="shared" si="0"/>
        <v>0</v>
      </c>
      <c r="M27" s="567">
        <f t="shared" si="1"/>
        <v>0</v>
      </c>
      <c r="N27" s="4042"/>
      <c r="O27" s="4042"/>
      <c r="P27" s="4042"/>
      <c r="Q27" s="4043"/>
      <c r="R27" s="4044"/>
      <c r="S27" s="4045"/>
      <c r="T27" s="4046"/>
      <c r="U27" s="4047"/>
      <c r="V27" s="4047"/>
      <c r="W27" s="4048"/>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4065"/>
      <c r="C28" s="4037"/>
      <c r="D28" s="4038"/>
      <c r="E28" s="4039"/>
      <c r="F28" s="4039"/>
      <c r="G28" s="4039"/>
      <c r="H28" s="4039"/>
      <c r="I28" s="4039"/>
      <c r="J28" s="4066">
        <f>IF(C28="",0,HLOOKUP(C28,'Part V-Utility Allowances'!$I$11:$M$22,12))</f>
        <v>0</v>
      </c>
      <c r="K28" s="4041"/>
      <c r="L28" s="567">
        <f t="shared" si="0"/>
        <v>0</v>
      </c>
      <c r="M28" s="567">
        <f t="shared" si="1"/>
        <v>0</v>
      </c>
      <c r="N28" s="4042"/>
      <c r="O28" s="4042"/>
      <c r="P28" s="4042"/>
      <c r="Q28" s="4043"/>
      <c r="R28" s="4044"/>
      <c r="S28" s="4045"/>
      <c r="T28" s="4046"/>
      <c r="U28" s="4047"/>
      <c r="V28" s="4047"/>
      <c r="W28" s="4048"/>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4065"/>
      <c r="C29" s="4037"/>
      <c r="D29" s="4038"/>
      <c r="E29" s="4039"/>
      <c r="F29" s="4039"/>
      <c r="G29" s="4039"/>
      <c r="H29" s="4039"/>
      <c r="I29" s="4039"/>
      <c r="J29" s="4066">
        <f>IF(C29="",0,HLOOKUP(C29,'Part V-Utility Allowances'!$I$11:$M$22,12))</f>
        <v>0</v>
      </c>
      <c r="K29" s="4041"/>
      <c r="L29" s="567">
        <f t="shared" si="0"/>
        <v>0</v>
      </c>
      <c r="M29" s="567">
        <f t="shared" si="1"/>
        <v>0</v>
      </c>
      <c r="N29" s="4042"/>
      <c r="O29" s="4042"/>
      <c r="P29" s="4042"/>
      <c r="Q29" s="4043"/>
      <c r="R29" s="4044"/>
      <c r="S29" s="4045"/>
      <c r="T29" s="4046"/>
      <c r="U29" s="4047"/>
      <c r="V29" s="4047"/>
      <c r="W29" s="4048"/>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65"/>
      <c r="C30" s="4037"/>
      <c r="D30" s="4038"/>
      <c r="E30" s="4039"/>
      <c r="F30" s="4039"/>
      <c r="G30" s="4039"/>
      <c r="H30" s="4039"/>
      <c r="I30" s="4039"/>
      <c r="J30" s="4066">
        <f>IF(C30="",0,HLOOKUP(C30,'Part V-Utility Allowances'!$I$11:$M$22,12))</f>
        <v>0</v>
      </c>
      <c r="K30" s="4041"/>
      <c r="L30" s="567">
        <f t="shared" si="0"/>
        <v>0</v>
      </c>
      <c r="M30" s="567">
        <f t="shared" si="1"/>
        <v>0</v>
      </c>
      <c r="N30" s="4042"/>
      <c r="O30" s="4042"/>
      <c r="P30" s="4042"/>
      <c r="Q30" s="4043"/>
      <c r="R30" s="4044"/>
      <c r="S30" s="4045"/>
      <c r="T30" s="4046"/>
      <c r="U30" s="4047"/>
      <c r="V30" s="4047"/>
      <c r="W30" s="4048"/>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65"/>
      <c r="C31" s="4037"/>
      <c r="D31" s="4038"/>
      <c r="E31" s="4039"/>
      <c r="F31" s="4039"/>
      <c r="G31" s="4039"/>
      <c r="H31" s="4039"/>
      <c r="I31" s="4039"/>
      <c r="J31" s="4066">
        <f>IF(C31="",0,HLOOKUP(C31,'Part V-Utility Allowances'!$I$11:$M$22,12))</f>
        <v>0</v>
      </c>
      <c r="K31" s="4041"/>
      <c r="L31" s="567">
        <f t="shared" si="0"/>
        <v>0</v>
      </c>
      <c r="M31" s="567">
        <f t="shared" si="1"/>
        <v>0</v>
      </c>
      <c r="N31" s="4042"/>
      <c r="O31" s="4042"/>
      <c r="P31" s="4042"/>
      <c r="Q31" s="4043"/>
      <c r="R31" s="4044"/>
      <c r="S31" s="4045"/>
      <c r="T31" s="4046"/>
      <c r="U31" s="4047"/>
      <c r="V31" s="4047"/>
      <c r="W31" s="4048"/>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65"/>
      <c r="C32" s="4037"/>
      <c r="D32" s="4038"/>
      <c r="E32" s="4039"/>
      <c r="F32" s="4039"/>
      <c r="G32" s="4039"/>
      <c r="H32" s="4039"/>
      <c r="I32" s="4039"/>
      <c r="J32" s="4066">
        <f>IF(C32="",0,HLOOKUP(C32,'Part V-Utility Allowances'!$I$11:$M$22,12))</f>
        <v>0</v>
      </c>
      <c r="K32" s="4041"/>
      <c r="L32" s="567">
        <f t="shared" si="0"/>
        <v>0</v>
      </c>
      <c r="M32" s="567">
        <f t="shared" si="1"/>
        <v>0</v>
      </c>
      <c r="N32" s="4042"/>
      <c r="O32" s="4042"/>
      <c r="P32" s="4042"/>
      <c r="Q32" s="4043"/>
      <c r="R32" s="4044"/>
      <c r="S32" s="4045"/>
      <c r="T32" s="4046"/>
      <c r="U32" s="4047"/>
      <c r="V32" s="4047"/>
      <c r="W32" s="4048"/>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65"/>
      <c r="C33" s="4037"/>
      <c r="D33" s="4038"/>
      <c r="E33" s="4039"/>
      <c r="F33" s="4039"/>
      <c r="G33" s="4039"/>
      <c r="H33" s="4039"/>
      <c r="I33" s="4039"/>
      <c r="J33" s="4066">
        <f>IF(C33="",0,HLOOKUP(C33,'Part V-Utility Allowances'!$I$11:$M$22,12))</f>
        <v>0</v>
      </c>
      <c r="K33" s="4041"/>
      <c r="L33" s="567">
        <f t="shared" si="0"/>
        <v>0</v>
      </c>
      <c r="M33" s="567">
        <f t="shared" si="1"/>
        <v>0</v>
      </c>
      <c r="N33" s="4042"/>
      <c r="O33" s="4042"/>
      <c r="P33" s="4042"/>
      <c r="Q33" s="4043"/>
      <c r="R33" s="4044"/>
      <c r="S33" s="4045"/>
      <c r="T33" s="4046"/>
      <c r="U33" s="4047"/>
      <c r="V33" s="4047"/>
      <c r="W33" s="4048"/>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65"/>
      <c r="C34" s="4037"/>
      <c r="D34" s="4038"/>
      <c r="E34" s="4039"/>
      <c r="F34" s="4039"/>
      <c r="G34" s="4039"/>
      <c r="H34" s="4039"/>
      <c r="I34" s="4039"/>
      <c r="J34" s="4066">
        <f>IF(C34="",0,HLOOKUP(C34,'Part V-Utility Allowances'!$I$11:$M$22,12))</f>
        <v>0</v>
      </c>
      <c r="K34" s="4041"/>
      <c r="L34" s="567">
        <f t="shared" si="0"/>
        <v>0</v>
      </c>
      <c r="M34" s="567">
        <f t="shared" si="1"/>
        <v>0</v>
      </c>
      <c r="N34" s="4042"/>
      <c r="O34" s="4042"/>
      <c r="P34" s="4042"/>
      <c r="Q34" s="4043"/>
      <c r="R34" s="4044"/>
      <c r="S34" s="4045"/>
      <c r="T34" s="4046"/>
      <c r="U34" s="4047"/>
      <c r="V34" s="4047"/>
      <c r="W34" s="4048"/>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65"/>
      <c r="C35" s="4037"/>
      <c r="D35" s="4038"/>
      <c r="E35" s="4039"/>
      <c r="F35" s="4039"/>
      <c r="G35" s="4039"/>
      <c r="H35" s="4039"/>
      <c r="I35" s="4039"/>
      <c r="J35" s="4066">
        <f>IF(C35="",0,HLOOKUP(C35,'Part V-Utility Allowances'!$I$11:$M$22,12))</f>
        <v>0</v>
      </c>
      <c r="K35" s="4041"/>
      <c r="L35" s="567">
        <f t="shared" si="0"/>
        <v>0</v>
      </c>
      <c r="M35" s="567">
        <f t="shared" si="1"/>
        <v>0</v>
      </c>
      <c r="N35" s="4042"/>
      <c r="O35" s="4042"/>
      <c r="P35" s="4042"/>
      <c r="Q35" s="4043"/>
      <c r="R35" s="4044"/>
      <c r="S35" s="4045"/>
      <c r="T35" s="4046"/>
      <c r="U35" s="4047"/>
      <c r="V35" s="4047"/>
      <c r="W35" s="4048"/>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65"/>
      <c r="C36" s="4037"/>
      <c r="D36" s="4038"/>
      <c r="E36" s="4039"/>
      <c r="F36" s="4039"/>
      <c r="G36" s="4039"/>
      <c r="H36" s="4039"/>
      <c r="I36" s="4039"/>
      <c r="J36" s="4066">
        <f>IF(C36="",0,HLOOKUP(C36,'Part V-Utility Allowances'!$I$11:$M$22,12))</f>
        <v>0</v>
      </c>
      <c r="K36" s="4041"/>
      <c r="L36" s="567">
        <f t="shared" si="0"/>
        <v>0</v>
      </c>
      <c r="M36" s="567">
        <f t="shared" si="1"/>
        <v>0</v>
      </c>
      <c r="N36" s="4042"/>
      <c r="O36" s="4042"/>
      <c r="P36" s="4042"/>
      <c r="Q36" s="4043"/>
      <c r="R36" s="4044"/>
      <c r="S36" s="4045"/>
      <c r="T36" s="4046"/>
      <c r="U36" s="4047"/>
      <c r="V36" s="4047"/>
      <c r="W36" s="4048"/>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65"/>
      <c r="C37" s="4037"/>
      <c r="D37" s="4038"/>
      <c r="E37" s="4039"/>
      <c r="F37" s="4039"/>
      <c r="G37" s="4039"/>
      <c r="H37" s="4039"/>
      <c r="I37" s="4039"/>
      <c r="J37" s="4066">
        <f>IF(C37="",0,HLOOKUP(C37,'Part V-Utility Allowances'!$I$11:$M$22,12))</f>
        <v>0</v>
      </c>
      <c r="K37" s="4041"/>
      <c r="L37" s="567">
        <f t="shared" si="0"/>
        <v>0</v>
      </c>
      <c r="M37" s="567">
        <f t="shared" si="1"/>
        <v>0</v>
      </c>
      <c r="N37" s="4042"/>
      <c r="O37" s="4042"/>
      <c r="P37" s="4042"/>
      <c r="Q37" s="4043"/>
      <c r="R37" s="4044"/>
      <c r="S37" s="4045"/>
      <c r="T37" s="4046"/>
      <c r="U37" s="4047"/>
      <c r="V37" s="4047"/>
      <c r="W37" s="4048"/>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65"/>
      <c r="C38" s="4037"/>
      <c r="D38" s="4038"/>
      <c r="E38" s="4039"/>
      <c r="F38" s="4039"/>
      <c r="G38" s="4039"/>
      <c r="H38" s="4039"/>
      <c r="I38" s="4039"/>
      <c r="J38" s="4066">
        <f>IF(C38="",0,HLOOKUP(C38,'Part V-Utility Allowances'!$I$11:$M$22,12))</f>
        <v>0</v>
      </c>
      <c r="K38" s="4041"/>
      <c r="L38" s="567">
        <f t="shared" si="0"/>
        <v>0</v>
      </c>
      <c r="M38" s="567">
        <f t="shared" si="1"/>
        <v>0</v>
      </c>
      <c r="N38" s="4042"/>
      <c r="O38" s="4042"/>
      <c r="P38" s="4042"/>
      <c r="Q38" s="4043"/>
      <c r="R38" s="4044"/>
      <c r="S38" s="4045"/>
      <c r="T38" s="4046"/>
      <c r="U38" s="4047"/>
      <c r="V38" s="4047"/>
      <c r="W38" s="4048"/>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65"/>
      <c r="C39" s="4037"/>
      <c r="D39" s="4038"/>
      <c r="E39" s="4039"/>
      <c r="F39" s="4039"/>
      <c r="G39" s="4039"/>
      <c r="H39" s="4039"/>
      <c r="I39" s="4039"/>
      <c r="J39" s="4066">
        <f>IF(C39="",0,HLOOKUP(C39,'Part V-Utility Allowances'!$I$11:$M$22,12))</f>
        <v>0</v>
      </c>
      <c r="K39" s="4041"/>
      <c r="L39" s="567">
        <f t="shared" si="0"/>
        <v>0</v>
      </c>
      <c r="M39" s="567">
        <f t="shared" si="1"/>
        <v>0</v>
      </c>
      <c r="N39" s="4042"/>
      <c r="O39" s="4042"/>
      <c r="P39" s="4042"/>
      <c r="Q39" s="4043"/>
      <c r="R39" s="4044"/>
      <c r="S39" s="4045"/>
      <c r="T39" s="4046"/>
      <c r="U39" s="4047"/>
      <c r="V39" s="4047"/>
      <c r="W39" s="4048"/>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65"/>
      <c r="C40" s="4037"/>
      <c r="D40" s="4038"/>
      <c r="E40" s="4039"/>
      <c r="F40" s="4039"/>
      <c r="G40" s="4039"/>
      <c r="H40" s="4039"/>
      <c r="I40" s="4039"/>
      <c r="J40" s="4066">
        <f>IF(C40="",0,HLOOKUP(C40,'Part V-Utility Allowances'!$I$11:$M$22,12))</f>
        <v>0</v>
      </c>
      <c r="K40" s="4041"/>
      <c r="L40" s="567">
        <f t="shared" si="0"/>
        <v>0</v>
      </c>
      <c r="M40" s="567">
        <f t="shared" si="1"/>
        <v>0</v>
      </c>
      <c r="N40" s="4042"/>
      <c r="O40" s="4042"/>
      <c r="P40" s="4042"/>
      <c r="Q40" s="4043"/>
      <c r="R40" s="4044"/>
      <c r="S40" s="4045"/>
      <c r="T40" s="4046"/>
      <c r="U40" s="4047"/>
      <c r="V40" s="4047"/>
      <c r="W40" s="4048"/>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65"/>
      <c r="C41" s="4037"/>
      <c r="D41" s="4038"/>
      <c r="E41" s="4039"/>
      <c r="F41" s="4039"/>
      <c r="G41" s="4039"/>
      <c r="H41" s="4039"/>
      <c r="I41" s="4039"/>
      <c r="J41" s="4066">
        <f>IF(C41="",0,HLOOKUP(C41,'Part V-Utility Allowances'!$I$11:$M$22,12))</f>
        <v>0</v>
      </c>
      <c r="K41" s="4041"/>
      <c r="L41" s="567">
        <f t="shared" si="0"/>
        <v>0</v>
      </c>
      <c r="M41" s="567">
        <f t="shared" si="1"/>
        <v>0</v>
      </c>
      <c r="N41" s="4042"/>
      <c r="O41" s="4042"/>
      <c r="P41" s="4042"/>
      <c r="Q41" s="4043"/>
      <c r="R41" s="4044"/>
      <c r="S41" s="4045"/>
      <c r="T41" s="4046"/>
      <c r="U41" s="4047"/>
      <c r="V41" s="4047"/>
      <c r="W41" s="4048"/>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65"/>
      <c r="C42" s="4037"/>
      <c r="D42" s="4038"/>
      <c r="E42" s="4039"/>
      <c r="F42" s="4039"/>
      <c r="G42" s="4039"/>
      <c r="H42" s="4039"/>
      <c r="I42" s="4039"/>
      <c r="J42" s="4066">
        <f>IF(C42="",0,HLOOKUP(C42,'Part V-Utility Allowances'!$I$11:$M$22,12))</f>
        <v>0</v>
      </c>
      <c r="K42" s="4041"/>
      <c r="L42" s="567">
        <f t="shared" si="0"/>
        <v>0</v>
      </c>
      <c r="M42" s="567">
        <f t="shared" si="1"/>
        <v>0</v>
      </c>
      <c r="N42" s="4042"/>
      <c r="O42" s="4042"/>
      <c r="P42" s="4042"/>
      <c r="Q42" s="4043"/>
      <c r="R42" s="4044"/>
      <c r="S42" s="4045"/>
      <c r="T42" s="4046"/>
      <c r="U42" s="4047"/>
      <c r="V42" s="4047"/>
      <c r="W42" s="4048"/>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65"/>
      <c r="C43" s="4037"/>
      <c r="D43" s="4038"/>
      <c r="E43" s="4039"/>
      <c r="F43" s="4039"/>
      <c r="G43" s="4039"/>
      <c r="H43" s="4039"/>
      <c r="I43" s="4039"/>
      <c r="J43" s="4066">
        <f>IF(C43="",0,HLOOKUP(C43,'Part V-Utility Allowances'!$I$11:$M$22,12))</f>
        <v>0</v>
      </c>
      <c r="K43" s="4041"/>
      <c r="L43" s="567">
        <f t="shared" si="0"/>
        <v>0</v>
      </c>
      <c r="M43" s="567">
        <f t="shared" si="1"/>
        <v>0</v>
      </c>
      <c r="N43" s="4042"/>
      <c r="O43" s="4042"/>
      <c r="P43" s="4042"/>
      <c r="Q43" s="4043"/>
      <c r="R43" s="4044"/>
      <c r="S43" s="4045"/>
      <c r="T43" s="4046"/>
      <c r="U43" s="4047"/>
      <c r="V43" s="4047"/>
      <c r="W43" s="4048"/>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65"/>
      <c r="C44" s="4037"/>
      <c r="D44" s="4038"/>
      <c r="E44" s="4039"/>
      <c r="F44" s="4039"/>
      <c r="G44" s="4039"/>
      <c r="H44" s="4039"/>
      <c r="I44" s="4039"/>
      <c r="J44" s="4066">
        <f>IF(C44="",0,HLOOKUP(C44,'Part V-Utility Allowances'!$I$11:$M$22,12))</f>
        <v>0</v>
      </c>
      <c r="K44" s="4041"/>
      <c r="L44" s="567">
        <f t="shared" si="0"/>
        <v>0</v>
      </c>
      <c r="M44" s="567">
        <f t="shared" si="1"/>
        <v>0</v>
      </c>
      <c r="N44" s="4042"/>
      <c r="O44" s="4042"/>
      <c r="P44" s="4042"/>
      <c r="Q44" s="4043"/>
      <c r="R44" s="4044"/>
      <c r="S44" s="4045"/>
      <c r="T44" s="4046"/>
      <c r="U44" s="4047"/>
      <c r="V44" s="4047"/>
      <c r="W44" s="4048"/>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65"/>
      <c r="C45" s="4037"/>
      <c r="D45" s="4038"/>
      <c r="E45" s="4039"/>
      <c r="F45" s="4039"/>
      <c r="G45" s="4039"/>
      <c r="H45" s="4039"/>
      <c r="I45" s="4039"/>
      <c r="J45" s="4066">
        <f>IF(C45="",0,HLOOKUP(C45,'Part V-Utility Allowances'!$I$11:$M$22,12))</f>
        <v>0</v>
      </c>
      <c r="K45" s="4041"/>
      <c r="L45" s="567">
        <f t="shared" si="0"/>
        <v>0</v>
      </c>
      <c r="M45" s="567">
        <f t="shared" si="1"/>
        <v>0</v>
      </c>
      <c r="N45" s="4042"/>
      <c r="O45" s="4042"/>
      <c r="P45" s="4042"/>
      <c r="Q45" s="4043"/>
      <c r="R45" s="4044"/>
      <c r="S45" s="4045"/>
      <c r="T45" s="4046"/>
      <c r="U45" s="4047"/>
      <c r="V45" s="4047"/>
      <c r="W45" s="4048"/>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65"/>
      <c r="C46" s="4037"/>
      <c r="D46" s="4038"/>
      <c r="E46" s="4039"/>
      <c r="F46" s="4039"/>
      <c r="G46" s="4039"/>
      <c r="H46" s="4039"/>
      <c r="I46" s="4039"/>
      <c r="J46" s="4066">
        <f>IF(C46="",0,HLOOKUP(C46,'Part V-Utility Allowances'!$I$11:$M$22,12))</f>
        <v>0</v>
      </c>
      <c r="K46" s="4041"/>
      <c r="L46" s="567">
        <f t="shared" si="0"/>
        <v>0</v>
      </c>
      <c r="M46" s="567">
        <f t="shared" si="1"/>
        <v>0</v>
      </c>
      <c r="N46" s="4042"/>
      <c r="O46" s="4042"/>
      <c r="P46" s="4042"/>
      <c r="Q46" s="4043"/>
      <c r="R46" s="4044"/>
      <c r="S46" s="4045"/>
      <c r="T46" s="4046"/>
      <c r="U46" s="4047"/>
      <c r="V46" s="4047"/>
      <c r="W46" s="4048"/>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67"/>
      <c r="C47" s="4068"/>
      <c r="D47" s="4069"/>
      <c r="E47" s="4070"/>
      <c r="F47" s="4070"/>
      <c r="G47" s="4070"/>
      <c r="H47" s="4070"/>
      <c r="I47" s="4070"/>
      <c r="J47" s="4071">
        <f>IF(C47="",0,HLOOKUP(C47,'Part V-Utility Allowances'!$I$11:$M$22,12))</f>
        <v>0</v>
      </c>
      <c r="K47" s="4072"/>
      <c r="L47" s="568">
        <f t="shared" si="0"/>
        <v>0</v>
      </c>
      <c r="M47" s="568">
        <f t="shared" si="1"/>
        <v>0</v>
      </c>
      <c r="N47" s="4073"/>
      <c r="O47" s="4073"/>
      <c r="P47" s="4073"/>
      <c r="Q47" s="4074"/>
      <c r="R47" s="4075"/>
      <c r="S47" s="4076"/>
      <c r="T47" s="4077"/>
      <c r="U47" s="4078"/>
      <c r="V47" s="4078"/>
      <c r="W47" s="4079"/>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2682" t="s">
        <v>4213</v>
      </c>
      <c r="C48" s="2683"/>
      <c r="D48" s="138" t="s">
        <v>996</v>
      </c>
      <c r="E48" s="1343">
        <f>SUM(E10:E47)</f>
        <v>48</v>
      </c>
      <c r="F48" s="1341">
        <f>(E10*F10+E11*F11+E12*F12+E13*F13+E14*F14+E15*F15+E16*F16+E17*F17+E18*F18+E19*F19+E20*F20+E21*F21+E22*F22+E23*F23+E24*F24+E25*F25+E26*F26+E27*F27+E28*F28+E29*F29+E30*F30+E31*F31+E32*F32+E33*F33+E34*F34+E35*F35+E36*F36+E37*F37+E38*F38+E39*F39+E40*F40+E41*F41+E42*F42+E43*F43+E44*F44+E45*F45+E46*F46+E47*F47)</f>
        <v>49300</v>
      </c>
      <c r="H48" s="2686" t="s">
        <v>4210</v>
      </c>
      <c r="I48" s="4080" t="s">
        <v>4211</v>
      </c>
      <c r="J48" s="1344" t="str">
        <f>IF(P67=0,"",IF(SUM(P58:P62)/P67&gt;=0.4,"Pass","Fail"))</f>
        <v>Pass</v>
      </c>
      <c r="K48" s="547"/>
      <c r="L48" s="872" t="s">
        <v>1276</v>
      </c>
      <c r="M48" s="123">
        <f>SUM(M10:M47)</f>
        <v>25985</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11</v>
      </c>
      <c r="AJ48" s="2247">
        <f t="shared" si="349"/>
        <v>27</v>
      </c>
      <c r="AK48" s="2247">
        <f t="shared" si="349"/>
        <v>0</v>
      </c>
      <c r="AL48" s="2247">
        <f t="shared" si="349"/>
        <v>0</v>
      </c>
      <c r="AM48" s="2247">
        <f>SUM(AM10:AM47)</f>
        <v>0</v>
      </c>
      <c r="AN48" s="2247">
        <f>SUM(AN10:AN47)</f>
        <v>3</v>
      </c>
      <c r="AO48" s="2247">
        <f>SUM(AO10:AO47)</f>
        <v>7</v>
      </c>
      <c r="AP48" s="2247">
        <f>SUM(AP10:AP47)</f>
        <v>0</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9350</v>
      </c>
      <c r="EU48" s="2247">
        <f t="shared" si="352"/>
        <v>29700</v>
      </c>
      <c r="EV48" s="2247">
        <f t="shared" si="352"/>
        <v>0</v>
      </c>
      <c r="EW48" s="2247">
        <f t="shared" si="352"/>
        <v>0</v>
      </c>
      <c r="EX48" s="2247">
        <f t="shared" si="348"/>
        <v>0</v>
      </c>
      <c r="EY48" s="2247">
        <f t="shared" si="348"/>
        <v>2550</v>
      </c>
      <c r="EZ48" s="2247">
        <f t="shared" si="348"/>
        <v>7700</v>
      </c>
      <c r="FA48" s="2247">
        <f t="shared" si="348"/>
        <v>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14</v>
      </c>
      <c r="GI48" s="2247">
        <f t="shared" si="353"/>
        <v>34</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14</v>
      </c>
      <c r="IB48" s="2247">
        <f t="shared" si="354"/>
        <v>34</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14</v>
      </c>
      <c r="JU48" s="2247">
        <f t="shared" si="354"/>
        <v>34</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14</v>
      </c>
      <c r="MW48" s="2247">
        <f t="shared" si="355"/>
        <v>34</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57.916666666666664</v>
      </c>
      <c r="C49" s="2685"/>
      <c r="D49" s="2373" t="s">
        <v>4120</v>
      </c>
      <c r="E49" s="1340">
        <f>SUM(E17:E47)</f>
        <v>48</v>
      </c>
      <c r="F49" s="1342">
        <f>(E17*F17+E18*F18+E19*F19+E20*F20+E21*F21+E22*F22+E23*F23+E24*F24+E25*F25+E26*F26+E27*F27+E28*F28+E29*F29+E30*F30+E31*F31+E32*F32+E33*F33+E34*F34+E35*F35+E36*F36+E37*F37+E38*F38+E39*F39+E40*F40+E41*F41+E42*F42+E43*F43+E44*F44+E45*F45+E46*F46+E47*F47)</f>
        <v>49300</v>
      </c>
      <c r="H49" s="2687"/>
      <c r="I49" s="4081" t="s">
        <v>4212</v>
      </c>
      <c r="J49" s="1345" t="str">
        <f>IF(P67=0,"",IF(SUM(P59:P62)/P67&gt;=0.2,"Pass","Fail"))</f>
        <v>Pass</v>
      </c>
      <c r="K49" s="547"/>
      <c r="L49" s="138" t="s">
        <v>794</v>
      </c>
      <c r="M49" s="123">
        <f>M48*12</f>
        <v>311820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81" t="s">
        <v>2552</v>
      </c>
      <c r="B51" s="4082"/>
      <c r="C51" s="4082"/>
      <c r="D51" s="4082"/>
      <c r="E51" s="4082"/>
      <c r="F51" s="4082"/>
      <c r="G51" s="4082"/>
      <c r="H51" s="4082"/>
      <c r="I51" s="4082"/>
      <c r="J51" s="4082"/>
      <c r="K51" s="4082"/>
      <c r="L51" s="4082"/>
      <c r="M51" s="4082"/>
      <c r="N51" s="4082"/>
      <c r="O51" s="4082"/>
      <c r="P51" s="4082"/>
      <c r="Q51" s="4082"/>
      <c r="R51" s="4083"/>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82"/>
      <c r="B52" s="4082"/>
      <c r="C52" s="4082"/>
      <c r="D52" s="4082"/>
      <c r="E52" s="4082"/>
      <c r="F52" s="4082"/>
      <c r="G52" s="4082"/>
      <c r="H52" s="4082"/>
      <c r="I52" s="4082"/>
      <c r="J52" s="4082"/>
      <c r="K52" s="4082"/>
      <c r="L52" s="4082"/>
      <c r="M52" s="4082"/>
      <c r="N52" s="4082"/>
      <c r="O52" s="4082"/>
      <c r="P52" s="4082"/>
      <c r="Q52" s="4082"/>
      <c r="R52" s="4083"/>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77" t="s">
        <v>4806</v>
      </c>
      <c r="B56" s="2677"/>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2678" t="s">
        <v>3494</v>
      </c>
      <c r="R56" s="2392"/>
      <c r="S56" s="4084"/>
      <c r="T56" s="4085"/>
      <c r="U56" s="4085"/>
      <c r="V56" s="4085"/>
      <c r="W56" s="4086"/>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4122</v>
      </c>
      <c r="I57" s="36"/>
      <c r="J57" s="82"/>
      <c r="K57" s="1356">
        <f>AC48</f>
        <v>0</v>
      </c>
      <c r="L57" s="1357">
        <f>AD48</f>
        <v>0</v>
      </c>
      <c r="M57" s="1357">
        <f>AE48</f>
        <v>0</v>
      </c>
      <c r="N57" s="1357">
        <f>AF48</f>
        <v>0</v>
      </c>
      <c r="O57" s="1358">
        <f>AG48</f>
        <v>0</v>
      </c>
      <c r="P57" s="914">
        <f t="shared" si="357"/>
        <v>0</v>
      </c>
      <c r="Q57" s="2678"/>
      <c r="R57" s="2392"/>
      <c r="S57" s="4046"/>
      <c r="T57" s="4047"/>
      <c r="U57" s="4047"/>
      <c r="V57" s="4047"/>
      <c r="W57" s="4048"/>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11</v>
      </c>
      <c r="M58" s="1357">
        <f>AJ48</f>
        <v>27</v>
      </c>
      <c r="N58" s="1357">
        <f>AK48</f>
        <v>0</v>
      </c>
      <c r="O58" s="1358">
        <f>AL48</f>
        <v>0</v>
      </c>
      <c r="P58" s="914">
        <f t="shared" si="357"/>
        <v>38</v>
      </c>
      <c r="Q58" s="2678"/>
      <c r="R58" s="2392"/>
      <c r="S58" s="4046"/>
      <c r="T58" s="4047"/>
      <c r="U58" s="4047"/>
      <c r="V58" s="4047"/>
      <c r="W58" s="4048"/>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3</v>
      </c>
      <c r="M59" s="1378">
        <f>AO48</f>
        <v>7</v>
      </c>
      <c r="N59" s="1378">
        <f>AP48</f>
        <v>0</v>
      </c>
      <c r="O59" s="1379">
        <f>AQ48</f>
        <v>0</v>
      </c>
      <c r="P59" s="572">
        <f t="shared" si="357"/>
        <v>10</v>
      </c>
      <c r="Q59" s="2678"/>
      <c r="R59" s="2392"/>
      <c r="S59" s="4046"/>
      <c r="T59" s="4047"/>
      <c r="U59" s="4047"/>
      <c r="V59" s="4047"/>
      <c r="W59" s="4048"/>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4123</v>
      </c>
      <c r="I60" s="52"/>
      <c r="J60" s="1094"/>
      <c r="K60" s="1356">
        <f>AR48</f>
        <v>0</v>
      </c>
      <c r="L60" s="1357">
        <f>AS48</f>
        <v>0</v>
      </c>
      <c r="M60" s="1357">
        <f>AT48</f>
        <v>0</v>
      </c>
      <c r="N60" s="1357">
        <f>AU48</f>
        <v>0</v>
      </c>
      <c r="O60" s="1358">
        <f>AV48</f>
        <v>0</v>
      </c>
      <c r="P60" s="914">
        <f t="shared" si="357"/>
        <v>0</v>
      </c>
      <c r="Q60" s="2678"/>
      <c r="R60" s="2392"/>
      <c r="S60" s="4046"/>
      <c r="T60" s="4047"/>
      <c r="U60" s="4047"/>
      <c r="V60" s="4047"/>
      <c r="W60" s="4048"/>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4124</v>
      </c>
      <c r="I61" s="36"/>
      <c r="J61" s="82"/>
      <c r="K61" s="1356">
        <f>AW48</f>
        <v>0</v>
      </c>
      <c r="L61" s="1357">
        <f>AX48</f>
        <v>0</v>
      </c>
      <c r="M61" s="1357">
        <f>AY48</f>
        <v>0</v>
      </c>
      <c r="N61" s="1357">
        <f>AZ48</f>
        <v>0</v>
      </c>
      <c r="O61" s="1358">
        <f>BA48</f>
        <v>0</v>
      </c>
      <c r="P61" s="914">
        <f t="shared" si="357"/>
        <v>0</v>
      </c>
      <c r="Q61" s="2678"/>
      <c r="R61" s="2392"/>
      <c r="S61" s="4046"/>
      <c r="T61" s="4047"/>
      <c r="U61" s="4047"/>
      <c r="V61" s="4047"/>
      <c r="W61" s="4048"/>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4125</v>
      </c>
      <c r="I62" s="36"/>
      <c r="J62" s="82"/>
      <c r="K62" s="1359">
        <f>BB48</f>
        <v>0</v>
      </c>
      <c r="L62" s="1360">
        <f>BC48</f>
        <v>0</v>
      </c>
      <c r="M62" s="1360">
        <f>BD48</f>
        <v>0</v>
      </c>
      <c r="N62" s="1360">
        <f>BE48</f>
        <v>0</v>
      </c>
      <c r="O62" s="1361">
        <f>BF48</f>
        <v>0</v>
      </c>
      <c r="P62" s="572">
        <f t="shared" si="357"/>
        <v>0</v>
      </c>
      <c r="Q62" s="2678"/>
      <c r="R62" s="2392"/>
      <c r="S62" s="4046"/>
      <c r="T62" s="4047"/>
      <c r="U62" s="4047"/>
      <c r="V62" s="4047"/>
      <c r="W62" s="4048"/>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4207</v>
      </c>
      <c r="D63" s="1"/>
      <c r="E63" s="1"/>
      <c r="F63" s="1"/>
      <c r="G63" s="82"/>
      <c r="H63" s="89"/>
      <c r="I63" s="55"/>
      <c r="J63" s="82"/>
      <c r="K63" s="1327">
        <f>SUM(K56:K62)</f>
        <v>0</v>
      </c>
      <c r="L63" s="1327">
        <f>SUM(L56:L62)</f>
        <v>14</v>
      </c>
      <c r="M63" s="1327">
        <f>SUM(M56:M62)</f>
        <v>34</v>
      </c>
      <c r="N63" s="1327">
        <f>SUM(N56:N62)</f>
        <v>0</v>
      </c>
      <c r="O63" s="1327">
        <f>SUM(O56:O62)</f>
        <v>0</v>
      </c>
      <c r="P63" s="1327">
        <f t="shared" si="357"/>
        <v>48</v>
      </c>
      <c r="Q63" s="2679"/>
      <c r="S63" s="4046"/>
      <c r="T63" s="4047"/>
      <c r="U63" s="4047"/>
      <c r="V63" s="4047"/>
      <c r="W63" s="4048"/>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4046"/>
      <c r="T64" s="4047"/>
      <c r="U64" s="4047"/>
      <c r="V64" s="4047"/>
      <c r="W64" s="4048"/>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14</v>
      </c>
      <c r="M65" s="1336">
        <f>SUM(M63:M64)</f>
        <v>34</v>
      </c>
      <c r="N65" s="1336">
        <f>SUM(N63:N64)</f>
        <v>0</v>
      </c>
      <c r="O65" s="1336">
        <f>SUM(O63:O64)</f>
        <v>0</v>
      </c>
      <c r="P65" s="1336">
        <f t="shared" si="357"/>
        <v>48</v>
      </c>
      <c r="S65" s="4046"/>
      <c r="T65" s="4047"/>
      <c r="U65" s="4047"/>
      <c r="V65" s="4047"/>
      <c r="W65" s="4048"/>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2444</v>
      </c>
      <c r="I66" s="36"/>
      <c r="J66" s="82"/>
      <c r="K66" s="915">
        <f>ED48</f>
        <v>0</v>
      </c>
      <c r="L66" s="915">
        <f>EE48</f>
        <v>0</v>
      </c>
      <c r="M66" s="915">
        <f>EF48</f>
        <v>0</v>
      </c>
      <c r="N66" s="915">
        <f>EG48</f>
        <v>0</v>
      </c>
      <c r="O66" s="915">
        <f>EH48</f>
        <v>0</v>
      </c>
      <c r="P66" s="915">
        <f t="shared" si="357"/>
        <v>0</v>
      </c>
      <c r="Q66" s="483" t="s">
        <v>3495</v>
      </c>
      <c r="S66" s="4046"/>
      <c r="T66" s="4047"/>
      <c r="U66" s="4047"/>
      <c r="V66" s="4047"/>
      <c r="W66" s="4048"/>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14</v>
      </c>
      <c r="M67" s="1326">
        <f>SUM(M65:M66)</f>
        <v>34</v>
      </c>
      <c r="N67" s="1326">
        <f>SUM(N65:N66)</f>
        <v>0</v>
      </c>
      <c r="O67" s="1326">
        <f>SUM(O65:O66)</f>
        <v>0</v>
      </c>
      <c r="P67" s="1326">
        <f t="shared" si="357"/>
        <v>48</v>
      </c>
      <c r="S67" s="4077"/>
      <c r="T67" s="4078"/>
      <c r="U67" s="4078"/>
      <c r="V67" s="4078"/>
      <c r="W67" s="4079"/>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350000000000001"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4226</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35" customHeight="1">
      <c r="A70" s="2677"/>
      <c r="B70" s="2677"/>
      <c r="C70" s="2659"/>
      <c r="D70" s="2659"/>
      <c r="E70" s="2659"/>
      <c r="F70" s="2659"/>
      <c r="G70" s="8"/>
      <c r="H70" s="110" t="s">
        <v>4121</v>
      </c>
      <c r="I70" s="36"/>
      <c r="J70" s="1741"/>
      <c r="K70" s="4087" t="str">
        <f t="shared" ref="K70:P70" si="358">IF(OR(K56=0,K$67=0),"",K56/K$67)</f>
        <v/>
      </c>
      <c r="L70" s="4088" t="str">
        <f t="shared" si="358"/>
        <v/>
      </c>
      <c r="M70" s="4088" t="str">
        <f t="shared" si="358"/>
        <v/>
      </c>
      <c r="N70" s="4088" t="str">
        <f t="shared" si="358"/>
        <v/>
      </c>
      <c r="O70" s="4088" t="str">
        <f t="shared" si="358"/>
        <v/>
      </c>
      <c r="P70" s="4089" t="str">
        <f t="shared" si="358"/>
        <v/>
      </c>
      <c r="Q70" s="40" t="s">
        <v>4779</v>
      </c>
      <c r="S70" s="4084"/>
      <c r="T70" s="4085"/>
      <c r="U70" s="4085"/>
      <c r="V70" s="4085"/>
      <c r="W70" s="4086"/>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4801</v>
      </c>
      <c r="I71" s="36"/>
      <c r="J71" s="1"/>
      <c r="K71" s="4090" t="str">
        <f>IF(OR(K56=0,$P70="",K$67=0),"",$P70*K$67)</f>
        <v/>
      </c>
      <c r="L71" s="4090" t="str">
        <f>IF(OR(L56=0,$P70="",L$67=0),"",$P70*L$67)</f>
        <v/>
      </c>
      <c r="M71" s="4090" t="str">
        <f>IF(OR(M56=0,$P70="",M$67=0),"",$P70*M$67)</f>
        <v/>
      </c>
      <c r="N71" s="4090" t="str">
        <f>IF(OR(N56=0,$P70="",N$67=0),"",$P70*N$67)</f>
        <v/>
      </c>
      <c r="O71" s="4090" t="str">
        <f>IF(OR(O56=0,$P70="",O$67=0),"",$P70*O$67)</f>
        <v/>
      </c>
      <c r="P71" s="4091" t="str">
        <f t="shared" ref="P71" si="359">IF(OR($P70="",P$67=0),"",$P70*P$67)</f>
        <v/>
      </c>
      <c r="S71" s="4046"/>
      <c r="T71" s="4047"/>
      <c r="U71" s="4047"/>
      <c r="V71" s="4047"/>
      <c r="W71" s="4048"/>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92" t="s">
        <v>4802</v>
      </c>
      <c r="I72" s="4093"/>
      <c r="J72" s="1"/>
      <c r="K72" s="4094" t="str">
        <f t="shared" ref="K72:P72" si="360">IF(OR(K71="",K56=0),"", K56-K71)</f>
        <v/>
      </c>
      <c r="L72" s="4095" t="str">
        <f t="shared" si="360"/>
        <v/>
      </c>
      <c r="M72" s="4095" t="str">
        <f t="shared" si="360"/>
        <v/>
      </c>
      <c r="N72" s="4095" t="str">
        <f t="shared" si="360"/>
        <v/>
      </c>
      <c r="O72" s="4095" t="str">
        <f t="shared" si="360"/>
        <v/>
      </c>
      <c r="P72" s="4096" t="str">
        <f t="shared" si="360"/>
        <v/>
      </c>
      <c r="S72" s="4046"/>
      <c r="T72" s="4047"/>
      <c r="U72" s="4047"/>
      <c r="V72" s="4047"/>
      <c r="W72" s="4048"/>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97" t="s">
        <v>4778</v>
      </c>
      <c r="E73" s="4097"/>
      <c r="F73" s="4097"/>
      <c r="G73" s="8"/>
      <c r="H73" s="110" t="s">
        <v>4122</v>
      </c>
      <c r="I73" s="36"/>
      <c r="J73" s="1"/>
      <c r="K73" s="4098" t="str">
        <f t="shared" ref="K73:P73" si="361">IF(OR(K57=0,K$67=0),"",K57/K$67)</f>
        <v/>
      </c>
      <c r="L73" s="4099" t="str">
        <f t="shared" si="361"/>
        <v/>
      </c>
      <c r="M73" s="4099" t="str">
        <f t="shared" si="361"/>
        <v/>
      </c>
      <c r="N73" s="4099" t="str">
        <f t="shared" si="361"/>
        <v/>
      </c>
      <c r="O73" s="4099" t="str">
        <f t="shared" si="361"/>
        <v/>
      </c>
      <c r="P73" s="4100" t="str">
        <f t="shared" si="361"/>
        <v/>
      </c>
      <c r="S73" s="4046"/>
      <c r="T73" s="4047"/>
      <c r="U73" s="4047"/>
      <c r="V73" s="4047"/>
      <c r="W73" s="4048"/>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97"/>
      <c r="E74" s="4097"/>
      <c r="F74" s="4097"/>
      <c r="G74" s="8"/>
      <c r="H74" s="110" t="s">
        <v>4801</v>
      </c>
      <c r="I74" s="36"/>
      <c r="J74" s="1"/>
      <c r="K74" s="4090" t="str">
        <f>IF(OR(K57=0,$P73="",K$67=0),"",$P73*K$67)</f>
        <v/>
      </c>
      <c r="L74" s="4090" t="str">
        <f>IF(OR(L57=0,$P73="",L$67=0),"",$P73*L$67)</f>
        <v/>
      </c>
      <c r="M74" s="4090" t="str">
        <f>IF(OR(M57=0,$P73="",M$67=0),"",$P73*M$67)</f>
        <v/>
      </c>
      <c r="N74" s="4090" t="str">
        <f>IF(OR(N57=0,$P73="",N$67=0),"",$P73*N$67)</f>
        <v/>
      </c>
      <c r="O74" s="4090" t="str">
        <f>IF(OR(O57=0,$P73="",O$67=0),"",$P73*O$67)</f>
        <v/>
      </c>
      <c r="P74" s="4091" t="str">
        <f t="shared" ref="P74" si="362">IF(OR($P73="",P$67=0),"",$P73*P$67)</f>
        <v/>
      </c>
      <c r="S74" s="4046"/>
      <c r="T74" s="4047"/>
      <c r="U74" s="4047"/>
      <c r="V74" s="4047"/>
      <c r="W74" s="4048"/>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97"/>
      <c r="E75" s="4097"/>
      <c r="F75" s="4097"/>
      <c r="G75" s="8"/>
      <c r="H75" s="4092" t="s">
        <v>4802</v>
      </c>
      <c r="I75" s="4093"/>
      <c r="J75" s="1"/>
      <c r="K75" s="4094" t="str">
        <f t="shared" ref="K75:P75" si="363">IF(OR(K74="",K57=0),"", K57-K74)</f>
        <v/>
      </c>
      <c r="L75" s="4094" t="str">
        <f t="shared" si="363"/>
        <v/>
      </c>
      <c r="M75" s="4094" t="str">
        <f t="shared" si="363"/>
        <v/>
      </c>
      <c r="N75" s="4094" t="str">
        <f t="shared" si="363"/>
        <v/>
      </c>
      <c r="O75" s="4094" t="str">
        <f t="shared" si="363"/>
        <v/>
      </c>
      <c r="P75" s="4094" t="str">
        <f t="shared" si="363"/>
        <v/>
      </c>
      <c r="S75" s="4046"/>
      <c r="T75" s="4047"/>
      <c r="U75" s="4047"/>
      <c r="V75" s="4047"/>
      <c r="W75" s="4048"/>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97"/>
      <c r="E76" s="4097"/>
      <c r="F76" s="4097"/>
      <c r="G76" s="8"/>
      <c r="H76" s="110" t="s">
        <v>1127</v>
      </c>
      <c r="I76" s="36"/>
      <c r="J76" s="1"/>
      <c r="K76" s="4098" t="str">
        <f t="shared" ref="K76:P76" si="364">IF(OR(K58=0,K$67=0),"",K58/K$67)</f>
        <v/>
      </c>
      <c r="L76" s="4099">
        <f t="shared" si="364"/>
        <v>0.7857142857142857</v>
      </c>
      <c r="M76" s="4099">
        <f t="shared" si="364"/>
        <v>0.79411764705882348</v>
      </c>
      <c r="N76" s="4099" t="str">
        <f t="shared" si="364"/>
        <v/>
      </c>
      <c r="O76" s="4099" t="str">
        <f t="shared" si="364"/>
        <v/>
      </c>
      <c r="P76" s="4100">
        <f t="shared" si="364"/>
        <v>0.79166666666666663</v>
      </c>
      <c r="S76" s="4046"/>
      <c r="T76" s="4047"/>
      <c r="U76" s="4047"/>
      <c r="V76" s="4047"/>
      <c r="W76" s="4048"/>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97"/>
      <c r="E77" s="4097"/>
      <c r="F77" s="4097"/>
      <c r="G77" s="8"/>
      <c r="H77" s="110" t="s">
        <v>4801</v>
      </c>
      <c r="I77" s="36"/>
      <c r="J77" s="1"/>
      <c r="K77" s="4090" t="str">
        <f>IF(OR(K58=0,$P76="",K$67=0),"",$P76*K$67)</f>
        <v/>
      </c>
      <c r="L77" s="4090">
        <f>IF(OR(L58=0,$P76="",L$67=0),"",$P76*L$67)</f>
        <v>11.083333333333332</v>
      </c>
      <c r="M77" s="4090">
        <f>IF(OR(M58=0,$P76="",M$67=0),"",$P76*M$67)</f>
        <v>26.916666666666664</v>
      </c>
      <c r="N77" s="4090" t="str">
        <f>IF(OR(N58=0,$P76="",N$67=0),"",$P76*N$67)</f>
        <v/>
      </c>
      <c r="O77" s="4090" t="str">
        <f>IF(OR(O58=0,$P76="",O$67=0),"",$P76*O$67)</f>
        <v/>
      </c>
      <c r="P77" s="4091">
        <f t="shared" ref="P77" si="365">IF(OR($P76="",P$67=0),"",$P76*P$67)</f>
        <v>38</v>
      </c>
      <c r="S77" s="4077"/>
      <c r="T77" s="4078"/>
      <c r="U77" s="4078"/>
      <c r="V77" s="4078"/>
      <c r="W77" s="4079"/>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92" t="s">
        <v>4802</v>
      </c>
      <c r="I78" s="4093"/>
      <c r="J78" s="1"/>
      <c r="K78" s="4094" t="str">
        <f t="shared" ref="K78:P78" si="366">IF(OR(K77="",K58=0),"", K58-K77)</f>
        <v/>
      </c>
      <c r="L78" s="4094">
        <f t="shared" si="366"/>
        <v>-8.3333333333332149E-2</v>
      </c>
      <c r="M78" s="4094">
        <f t="shared" si="366"/>
        <v>8.3333333333335702E-2</v>
      </c>
      <c r="N78" s="4094" t="str">
        <f t="shared" si="366"/>
        <v/>
      </c>
      <c r="O78" s="4094" t="str">
        <f t="shared" si="366"/>
        <v/>
      </c>
      <c r="P78" s="4094">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101"/>
      <c r="E79" s="4101"/>
      <c r="F79" s="8"/>
      <c r="G79" s="8"/>
      <c r="H79" s="110" t="s">
        <v>115</v>
      </c>
      <c r="I79" s="36"/>
      <c r="J79" s="1"/>
      <c r="K79" s="4098" t="str">
        <f t="shared" ref="K79:P79" si="367">IF(OR(K59=0,K$67=0),"",K59/K$67)</f>
        <v/>
      </c>
      <c r="L79" s="4099">
        <f t="shared" si="367"/>
        <v>0.21428571428571427</v>
      </c>
      <c r="M79" s="4099">
        <f t="shared" si="367"/>
        <v>0.20588235294117646</v>
      </c>
      <c r="N79" s="4099" t="str">
        <f t="shared" si="367"/>
        <v/>
      </c>
      <c r="O79" s="4099" t="str">
        <f t="shared" si="367"/>
        <v/>
      </c>
      <c r="P79" s="4100">
        <f t="shared" si="367"/>
        <v>0.20833333333333334</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101"/>
      <c r="E80" s="4101"/>
      <c r="F80" s="8"/>
      <c r="G80" s="8"/>
      <c r="H80" s="110" t="s">
        <v>4801</v>
      </c>
      <c r="I80" s="36"/>
      <c r="J80" s="1"/>
      <c r="K80" s="4090" t="str">
        <f>IF(OR(K59=0,$P79="",K$67=0),"",$P79*K$67)</f>
        <v/>
      </c>
      <c r="L80" s="4090">
        <f>IF(OR(L59=0,$P79="",L$67=0),"",$P79*L$67)</f>
        <v>2.916666666666667</v>
      </c>
      <c r="M80" s="4090">
        <f>IF(OR(M59=0,$P79="",M$67=0),"",$P79*M$67)</f>
        <v>7.0833333333333339</v>
      </c>
      <c r="N80" s="4090" t="str">
        <f>IF(OR(N59=0,$P79="",N$67=0),"",$P79*N$67)</f>
        <v/>
      </c>
      <c r="O80" s="4090" t="str">
        <f>IF(OR(O59=0,$P79="",O$67=0),"",$P79*O$67)</f>
        <v/>
      </c>
      <c r="P80" s="4091">
        <f t="shared" ref="P80" si="368">IF(OR($P79="",P$67=0),"",$P79*P$67)</f>
        <v>10</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101"/>
      <c r="E81" s="4101"/>
      <c r="F81" s="8"/>
      <c r="G81" s="8"/>
      <c r="H81" s="4092" t="s">
        <v>4802</v>
      </c>
      <c r="I81" s="4093"/>
      <c r="J81" s="1"/>
      <c r="K81" s="4094" t="str">
        <f t="shared" ref="K81:P81" si="369">IF(OR(K80="",K59=0),"", K59-K80)</f>
        <v/>
      </c>
      <c r="L81" s="4094">
        <f t="shared" si="369"/>
        <v>8.3333333333333037E-2</v>
      </c>
      <c r="M81" s="4094">
        <f t="shared" si="369"/>
        <v>-8.3333333333333925E-2</v>
      </c>
      <c r="N81" s="4094" t="str">
        <f t="shared" si="369"/>
        <v/>
      </c>
      <c r="O81" s="4094" t="str">
        <f t="shared" si="369"/>
        <v/>
      </c>
      <c r="P81" s="4094">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101"/>
      <c r="E82" s="4101"/>
      <c r="F82" s="8"/>
      <c r="G82" s="8"/>
      <c r="H82" s="110" t="s">
        <v>4123</v>
      </c>
      <c r="I82" s="36"/>
      <c r="J82" s="1"/>
      <c r="K82" s="4098" t="str">
        <f t="shared" ref="K82:P82" si="370">IF(OR(K60=0,K$67=0),"",K60/K$67)</f>
        <v/>
      </c>
      <c r="L82" s="4099" t="str">
        <f t="shared" si="370"/>
        <v/>
      </c>
      <c r="M82" s="4099" t="str">
        <f t="shared" si="370"/>
        <v/>
      </c>
      <c r="N82" s="4099" t="str">
        <f t="shared" si="370"/>
        <v/>
      </c>
      <c r="O82" s="4099" t="str">
        <f t="shared" si="370"/>
        <v/>
      </c>
      <c r="P82" s="4100"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90" t="str">
        <f>IF(OR(K60=0,$P82="",K$67=0),"",$P82*K$67)</f>
        <v/>
      </c>
      <c r="L83" s="4090" t="str">
        <f>IF(OR(L60=0,$P82="",L$67=0),"",$P82*L$67)</f>
        <v/>
      </c>
      <c r="M83" s="4090" t="str">
        <f>IF(OR(M60=0,$P82="",M$67=0),"",$P82*M$67)</f>
        <v/>
      </c>
      <c r="N83" s="4090" t="str">
        <f>IF(OR(N60=0,$P82="",N$67=0),"",$P82*N$67)</f>
        <v/>
      </c>
      <c r="O83" s="4090" t="str">
        <f>IF(OR(O60=0,$P82="",O$67=0),"",$P82*O$67)</f>
        <v/>
      </c>
      <c r="P83" s="4091"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92" t="s">
        <v>4802</v>
      </c>
      <c r="I84" s="4093"/>
      <c r="J84" s="1"/>
      <c r="K84" s="4094" t="str">
        <f t="shared" ref="K84:P84" si="372">IF(OR(K83="",K60=0),"", K60-K83)</f>
        <v/>
      </c>
      <c r="L84" s="4094" t="str">
        <f t="shared" si="372"/>
        <v/>
      </c>
      <c r="M84" s="4094" t="str">
        <f t="shared" si="372"/>
        <v/>
      </c>
      <c r="N84" s="4094" t="str">
        <f t="shared" si="372"/>
        <v/>
      </c>
      <c r="O84" s="4094" t="str">
        <f t="shared" si="372"/>
        <v/>
      </c>
      <c r="P84" s="4094"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4098" t="str">
        <f t="shared" ref="K85:P85" si="373">IF(OR(K61=0,K$67=0),"",K61/K$67)</f>
        <v/>
      </c>
      <c r="L85" s="4099" t="str">
        <f t="shared" si="373"/>
        <v/>
      </c>
      <c r="M85" s="4099" t="str">
        <f t="shared" si="373"/>
        <v/>
      </c>
      <c r="N85" s="4099" t="str">
        <f t="shared" si="373"/>
        <v/>
      </c>
      <c r="O85" s="4099" t="str">
        <f t="shared" si="373"/>
        <v/>
      </c>
      <c r="P85" s="4100"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90" t="str">
        <f>IF(OR(K61=0,$P85="",K$67=0),"",$P85*K$67)</f>
        <v/>
      </c>
      <c r="L86" s="4090" t="str">
        <f>IF(OR(L61=0,$P85="",L$67=0),"",$P85*L$67)</f>
        <v/>
      </c>
      <c r="M86" s="4090" t="str">
        <f>IF(OR(M61=0,$P85="",M$67=0),"",$P85*M$67)</f>
        <v/>
      </c>
      <c r="N86" s="4090" t="str">
        <f>IF(OR(N61=0,$P85="",N$67=0),"",$P85*N$67)</f>
        <v/>
      </c>
      <c r="O86" s="4090" t="str">
        <f>IF(OR(O61=0,$P85="",O$67=0),"",$P85*O$67)</f>
        <v/>
      </c>
      <c r="P86" s="4091"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92" t="s">
        <v>4802</v>
      </c>
      <c r="I87" s="4093"/>
      <c r="J87" s="1"/>
      <c r="K87" s="4094" t="str">
        <f t="shared" ref="K87:P87" si="375">IF(OR(K86="",K61=0),"", K61-K86)</f>
        <v/>
      </c>
      <c r="L87" s="4094" t="str">
        <f t="shared" si="375"/>
        <v/>
      </c>
      <c r="M87" s="4094" t="str">
        <f t="shared" si="375"/>
        <v/>
      </c>
      <c r="N87" s="4094" t="str">
        <f t="shared" si="375"/>
        <v/>
      </c>
      <c r="O87" s="4094" t="str">
        <f t="shared" si="375"/>
        <v/>
      </c>
      <c r="P87" s="4094"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4098" t="str">
        <f t="shared" ref="K88:P88" si="376">IF(OR(K62=0,K$67=0),"",K62/K$67)</f>
        <v/>
      </c>
      <c r="L88" s="4099" t="str">
        <f t="shared" si="376"/>
        <v/>
      </c>
      <c r="M88" s="4099" t="str">
        <f t="shared" si="376"/>
        <v/>
      </c>
      <c r="N88" s="4099" t="str">
        <f t="shared" si="376"/>
        <v/>
      </c>
      <c r="O88" s="4099" t="str">
        <f t="shared" si="376"/>
        <v/>
      </c>
      <c r="P88" s="4100"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102"/>
      <c r="E89" s="4102"/>
      <c r="F89" s="8"/>
      <c r="G89" s="8"/>
      <c r="H89" s="110" t="s">
        <v>4801</v>
      </c>
      <c r="I89" s="36"/>
      <c r="J89" s="1"/>
      <c r="K89" s="4090" t="str">
        <f>IF(OR(K62=0,$P88="",K$67=0),"",$P88*K$67)</f>
        <v/>
      </c>
      <c r="L89" s="4090" t="str">
        <f>IF(OR(L62=0,$P88="",L$67=0),"",$P88*L$67)</f>
        <v/>
      </c>
      <c r="M89" s="4090" t="str">
        <f>IF(OR(M62=0,$P88="",M$67=0),"",$P88*M$67)</f>
        <v/>
      </c>
      <c r="N89" s="4090" t="str">
        <f>IF(OR(N62=0,$P88="",N$67=0),"",$P88*N$67)</f>
        <v/>
      </c>
      <c r="O89" s="4090" t="str">
        <f>IF(OR(O62=0,$P88="",O$67=0),"",$P88*O$67)</f>
        <v/>
      </c>
      <c r="P89" s="4091"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101"/>
      <c r="E90" s="4101"/>
      <c r="F90" s="8"/>
      <c r="G90" s="8"/>
      <c r="H90" s="4092" t="s">
        <v>4802</v>
      </c>
      <c r="I90" s="4093"/>
      <c r="J90" s="1"/>
      <c r="K90" s="4103" t="str">
        <f t="shared" ref="K90:P90" si="378">IF(OR(K89="",K62=0),"", K62-K89)</f>
        <v/>
      </c>
      <c r="L90" s="4103" t="str">
        <f t="shared" si="378"/>
        <v/>
      </c>
      <c r="M90" s="4103" t="str">
        <f t="shared" si="378"/>
        <v/>
      </c>
      <c r="N90" s="4103" t="str">
        <f t="shared" si="378"/>
        <v/>
      </c>
      <c r="O90" s="4103" t="str">
        <f t="shared" si="378"/>
        <v/>
      </c>
      <c r="P90" s="4103"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4084"/>
      <c r="T93" s="4085"/>
      <c r="U93" s="4085"/>
      <c r="V93" s="4085"/>
      <c r="W93" s="4086"/>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4122</v>
      </c>
      <c r="I94" s="36"/>
      <c r="J94" s="82"/>
      <c r="K94" s="1365">
        <f>CK48</f>
        <v>0</v>
      </c>
      <c r="L94" s="1366">
        <f>CL48</f>
        <v>0</v>
      </c>
      <c r="M94" s="1366">
        <f>CM48</f>
        <v>0</v>
      </c>
      <c r="N94" s="1366">
        <f>CN48</f>
        <v>0</v>
      </c>
      <c r="O94" s="1367">
        <f>CO48</f>
        <v>0</v>
      </c>
      <c r="P94" s="1325">
        <f t="shared" si="379"/>
        <v>0</v>
      </c>
      <c r="S94" s="4046"/>
      <c r="T94" s="4047"/>
      <c r="U94" s="4047"/>
      <c r="V94" s="4047"/>
      <c r="W94" s="4048"/>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4046"/>
      <c r="T95" s="4047"/>
      <c r="U95" s="4047"/>
      <c r="V95" s="4047"/>
      <c r="W95" s="4048"/>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4046"/>
      <c r="T96" s="4047"/>
      <c r="U96" s="4047"/>
      <c r="V96" s="4047"/>
      <c r="W96" s="4048"/>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4046"/>
      <c r="T97" s="4047"/>
      <c r="U97" s="4047"/>
      <c r="V97" s="4047"/>
      <c r="W97" s="4048"/>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4046"/>
      <c r="T98" s="4047"/>
      <c r="U98" s="4047"/>
      <c r="V98" s="4047"/>
      <c r="W98" s="4048"/>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4046"/>
      <c r="T99" s="4047"/>
      <c r="U99" s="4047"/>
      <c r="V99" s="4047"/>
      <c r="W99" s="4048"/>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77"/>
      <c r="T100" s="4078"/>
      <c r="U100" s="4078"/>
      <c r="V100" s="4078"/>
      <c r="W100" s="4079"/>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4084"/>
      <c r="T104" s="4085"/>
      <c r="U104" s="4085"/>
      <c r="V104" s="4085"/>
      <c r="W104" s="4086"/>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4046"/>
      <c r="T105" s="4047"/>
      <c r="U105" s="4047"/>
      <c r="V105" s="4047"/>
      <c r="W105" s="4048"/>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46"/>
      <c r="T106" s="4047"/>
      <c r="U106" s="4047"/>
      <c r="V106" s="4047"/>
      <c r="W106" s="4048"/>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46"/>
      <c r="T107" s="4047"/>
      <c r="U107" s="4047"/>
      <c r="V107" s="4047"/>
      <c r="W107" s="4048"/>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4046"/>
      <c r="T108" s="4047"/>
      <c r="U108" s="4047"/>
      <c r="V108" s="4047"/>
      <c r="W108" s="4048"/>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4046"/>
      <c r="T109" s="4047"/>
      <c r="U109" s="4047"/>
      <c r="V109" s="4047"/>
      <c r="W109" s="4048"/>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4046"/>
      <c r="T110" s="4047"/>
      <c r="U110" s="4047"/>
      <c r="V110" s="4047"/>
      <c r="W110" s="4048"/>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77"/>
      <c r="T111" s="4078"/>
      <c r="U111" s="4078"/>
      <c r="V111" s="4078"/>
      <c r="W111" s="4079"/>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2236</v>
      </c>
      <c r="F113" s="1"/>
      <c r="G113" s="82"/>
      <c r="H113" s="110" t="s">
        <v>1404</v>
      </c>
      <c r="I113" s="36"/>
      <c r="J113" s="82"/>
      <c r="K113" s="1353">
        <f>GG48</f>
        <v>0</v>
      </c>
      <c r="L113" s="1354">
        <f>GH48</f>
        <v>14</v>
      </c>
      <c r="M113" s="1354">
        <f>GI48</f>
        <v>34</v>
      </c>
      <c r="N113" s="1354">
        <f>GJ48</f>
        <v>0</v>
      </c>
      <c r="O113" s="1355">
        <f>GK48</f>
        <v>0</v>
      </c>
      <c r="P113" s="919">
        <f t="shared" ref="P113:P123" si="381">SUM(K113:O113)</f>
        <v>48</v>
      </c>
      <c r="S113" s="4084"/>
      <c r="T113" s="4085"/>
      <c r="U113" s="4085"/>
      <c r="V113" s="4085"/>
      <c r="W113" s="4086"/>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4046"/>
      <c r="T114" s="4047"/>
      <c r="U114" s="4047"/>
      <c r="V114" s="4047"/>
      <c r="W114" s="4048"/>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14</v>
      </c>
      <c r="M115" s="1328">
        <f>SUM(M113:M114)+GS48</f>
        <v>34</v>
      </c>
      <c r="N115" s="1328">
        <f>SUM(N113:N114)+GT48</f>
        <v>0</v>
      </c>
      <c r="O115" s="1328">
        <f>SUM(O113:O114)+GU48</f>
        <v>0</v>
      </c>
      <c r="P115" s="1328">
        <f t="shared" si="381"/>
        <v>48</v>
      </c>
      <c r="S115" s="4046"/>
      <c r="T115" s="4047"/>
      <c r="U115" s="4047"/>
      <c r="V115" s="4047"/>
      <c r="W115" s="4048"/>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2086</v>
      </c>
      <c r="F116" s="1"/>
      <c r="G116" s="82"/>
      <c r="H116" s="110" t="s">
        <v>1404</v>
      </c>
      <c r="I116" s="36"/>
      <c r="J116" s="82"/>
      <c r="K116" s="1353">
        <f>GV48</f>
        <v>0</v>
      </c>
      <c r="L116" s="1354">
        <f>GW48</f>
        <v>0</v>
      </c>
      <c r="M116" s="1354">
        <f>GX48</f>
        <v>0</v>
      </c>
      <c r="N116" s="1354">
        <f>GY48</f>
        <v>0</v>
      </c>
      <c r="O116" s="1355">
        <f>GZ48</f>
        <v>0</v>
      </c>
      <c r="P116" s="919">
        <f t="shared" si="381"/>
        <v>0</v>
      </c>
      <c r="S116" s="4046"/>
      <c r="T116" s="4047"/>
      <c r="U116" s="4047"/>
      <c r="V116" s="4047"/>
      <c r="W116" s="4048"/>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4046"/>
      <c r="T117" s="4047"/>
      <c r="U117" s="4047"/>
      <c r="V117" s="4047"/>
      <c r="W117" s="4048"/>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46"/>
      <c r="T118" s="4047"/>
      <c r="U118" s="4047"/>
      <c r="V118" s="4047"/>
      <c r="W118" s="4048"/>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4046"/>
      <c r="T119" s="4047"/>
      <c r="U119" s="4047"/>
      <c r="V119" s="4047"/>
      <c r="W119" s="4048"/>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4046"/>
      <c r="T120" s="4047"/>
      <c r="U120" s="4047"/>
      <c r="V120" s="4047"/>
      <c r="W120" s="4048"/>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46"/>
      <c r="T121" s="4047"/>
      <c r="U121" s="4047"/>
      <c r="V121" s="4047"/>
      <c r="W121" s="4048"/>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104"/>
      <c r="L122" s="4104"/>
      <c r="M122" s="4104"/>
      <c r="N122" s="4104"/>
      <c r="O122" s="4104"/>
      <c r="P122" s="569">
        <f t="shared" si="381"/>
        <v>0</v>
      </c>
      <c r="S122" s="4046"/>
      <c r="T122" s="4047"/>
      <c r="U122" s="4047"/>
      <c r="V122" s="4047"/>
      <c r="W122" s="4048"/>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3282</v>
      </c>
      <c r="F123" s="1"/>
      <c r="G123" s="172"/>
      <c r="H123" s="111"/>
      <c r="I123" s="82"/>
      <c r="J123" s="82"/>
      <c r="K123" s="4105"/>
      <c r="L123" s="4105"/>
      <c r="M123" s="4105"/>
      <c r="N123" s="4105"/>
      <c r="O123" s="4105"/>
      <c r="P123" s="570">
        <f t="shared" si="381"/>
        <v>0</v>
      </c>
      <c r="S123" s="4046"/>
      <c r="T123" s="4047"/>
      <c r="U123" s="4047"/>
      <c r="V123" s="4047"/>
      <c r="W123" s="4048"/>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46"/>
      <c r="T124" s="4047"/>
      <c r="U124" s="4047"/>
      <c r="V124" s="4047"/>
      <c r="W124" s="4048"/>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77"/>
      <c r="T125" s="4078"/>
      <c r="U125" s="4078"/>
      <c r="V125" s="4078"/>
      <c r="W125" s="4079"/>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3773</v>
      </c>
      <c r="D127" s="2657"/>
      <c r="E127" s="1090" t="s">
        <v>37</v>
      </c>
      <c r="F127" s="948"/>
      <c r="G127" s="1091"/>
      <c r="H127" s="1755"/>
      <c r="I127" s="1092"/>
      <c r="J127" s="1093"/>
      <c r="K127" s="1374">
        <f>SUM(K128:K137)</f>
        <v>0</v>
      </c>
      <c r="L127" s="1375">
        <f>SUM(L128:L137)</f>
        <v>14</v>
      </c>
      <c r="M127" s="1375">
        <f t="shared" ref="M127:N127" si="382">SUM(M128:M137)</f>
        <v>34</v>
      </c>
      <c r="N127" s="1375">
        <f t="shared" si="382"/>
        <v>0</v>
      </c>
      <c r="O127" s="1376">
        <f>SUM(O128:O137)</f>
        <v>0</v>
      </c>
      <c r="P127" s="1333">
        <f>SUM(P128:P137)</f>
        <v>48</v>
      </c>
      <c r="S127" s="4084"/>
      <c r="T127" s="4085"/>
      <c r="U127" s="4085"/>
      <c r="V127" s="4085"/>
      <c r="W127" s="4086"/>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2536</v>
      </c>
      <c r="I128" s="856"/>
      <c r="J128" s="1094"/>
      <c r="K128" s="1356">
        <f>JS48</f>
        <v>0</v>
      </c>
      <c r="L128" s="1357">
        <f>JT48</f>
        <v>14</v>
      </c>
      <c r="M128" s="1357">
        <f>JU48</f>
        <v>34</v>
      </c>
      <c r="N128" s="1357">
        <f>JV48</f>
        <v>0</v>
      </c>
      <c r="O128" s="1358">
        <f>JW48</f>
        <v>0</v>
      </c>
      <c r="P128" s="914">
        <f t="shared" ref="P128:P145" si="383">SUM(K128:O128)</f>
        <v>48</v>
      </c>
      <c r="S128" s="4046"/>
      <c r="T128" s="4047"/>
      <c r="U128" s="4047"/>
      <c r="V128" s="4047"/>
      <c r="W128" s="4048"/>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3250</v>
      </c>
      <c r="I129" s="95"/>
      <c r="J129" s="1094"/>
      <c r="K129" s="1377">
        <f>JX48</f>
        <v>0</v>
      </c>
      <c r="L129" s="1378">
        <f>JY48</f>
        <v>0</v>
      </c>
      <c r="M129" s="1378">
        <f>JZ48</f>
        <v>0</v>
      </c>
      <c r="N129" s="1378">
        <f>KA48</f>
        <v>0</v>
      </c>
      <c r="O129" s="1379">
        <f>KB48</f>
        <v>0</v>
      </c>
      <c r="P129" s="572">
        <f t="shared" si="383"/>
        <v>0</v>
      </c>
      <c r="S129" s="4046"/>
      <c r="T129" s="4047"/>
      <c r="U129" s="4047"/>
      <c r="V129" s="4047"/>
      <c r="W129" s="4048"/>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2537</v>
      </c>
      <c r="I130" s="856"/>
      <c r="J130" s="1094"/>
      <c r="K130" s="1356">
        <f>KC48</f>
        <v>0</v>
      </c>
      <c r="L130" s="1357">
        <f>KD48</f>
        <v>0</v>
      </c>
      <c r="M130" s="1357">
        <f>KE48</f>
        <v>0</v>
      </c>
      <c r="N130" s="1357">
        <f>KF48</f>
        <v>0</v>
      </c>
      <c r="O130" s="1358">
        <f>KG48</f>
        <v>0</v>
      </c>
      <c r="P130" s="573">
        <f t="shared" si="383"/>
        <v>0</v>
      </c>
      <c r="S130" s="4046"/>
      <c r="T130" s="4047"/>
      <c r="U130" s="4047"/>
      <c r="V130" s="4047"/>
      <c r="W130" s="4048"/>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3250</v>
      </c>
      <c r="I131" s="95"/>
      <c r="J131" s="1094"/>
      <c r="K131" s="1377">
        <f>KH48</f>
        <v>0</v>
      </c>
      <c r="L131" s="1378">
        <f>KI48</f>
        <v>0</v>
      </c>
      <c r="M131" s="1378">
        <f>KJ48</f>
        <v>0</v>
      </c>
      <c r="N131" s="1378">
        <f>KK48</f>
        <v>0</v>
      </c>
      <c r="O131" s="1379">
        <f>KL48</f>
        <v>0</v>
      </c>
      <c r="P131" s="572">
        <f t="shared" si="383"/>
        <v>0</v>
      </c>
      <c r="S131" s="4046"/>
      <c r="T131" s="4047"/>
      <c r="U131" s="4047"/>
      <c r="V131" s="4047"/>
      <c r="W131" s="4048"/>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2539</v>
      </c>
      <c r="I132" s="856"/>
      <c r="J132" s="1094"/>
      <c r="K132" s="1356">
        <f>KM48</f>
        <v>0</v>
      </c>
      <c r="L132" s="1357">
        <f>KN48</f>
        <v>0</v>
      </c>
      <c r="M132" s="1357">
        <f>KO48</f>
        <v>0</v>
      </c>
      <c r="N132" s="1357">
        <f>KP48</f>
        <v>0</v>
      </c>
      <c r="O132" s="1358">
        <f>KQ48</f>
        <v>0</v>
      </c>
      <c r="P132" s="573">
        <f t="shared" si="383"/>
        <v>0</v>
      </c>
      <c r="S132" s="4046"/>
      <c r="T132" s="4047"/>
      <c r="U132" s="4047"/>
      <c r="V132" s="4047"/>
      <c r="W132" s="4048"/>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3250</v>
      </c>
      <c r="I133" s="95"/>
      <c r="J133" s="1094"/>
      <c r="K133" s="1377">
        <f>KR48</f>
        <v>0</v>
      </c>
      <c r="L133" s="1378">
        <f>KS48</f>
        <v>0</v>
      </c>
      <c r="M133" s="1378">
        <f>KT48</f>
        <v>0</v>
      </c>
      <c r="N133" s="1378">
        <f>KU48</f>
        <v>0</v>
      </c>
      <c r="O133" s="1379">
        <f>KV48</f>
        <v>0</v>
      </c>
      <c r="P133" s="572">
        <f t="shared" si="383"/>
        <v>0</v>
      </c>
      <c r="S133" s="4046"/>
      <c r="T133" s="4047"/>
      <c r="U133" s="4047"/>
      <c r="V133" s="4047"/>
      <c r="W133" s="4048"/>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2538</v>
      </c>
      <c r="I134" s="40"/>
      <c r="J134" s="82"/>
      <c r="K134" s="1356">
        <f>KW48</f>
        <v>0</v>
      </c>
      <c r="L134" s="1357">
        <f>KX48</f>
        <v>0</v>
      </c>
      <c r="M134" s="1357">
        <f>KY48</f>
        <v>0</v>
      </c>
      <c r="N134" s="1357">
        <f>KZ48</f>
        <v>0</v>
      </c>
      <c r="O134" s="1358">
        <f>LA48</f>
        <v>0</v>
      </c>
      <c r="P134" s="573">
        <f t="shared" si="383"/>
        <v>0</v>
      </c>
      <c r="S134" s="4046"/>
      <c r="T134" s="4047"/>
      <c r="U134" s="4047"/>
      <c r="V134" s="4047"/>
      <c r="W134" s="4048"/>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3250</v>
      </c>
      <c r="I135" s="852"/>
      <c r="J135" s="82"/>
      <c r="K135" s="1377">
        <f>LB48</f>
        <v>0</v>
      </c>
      <c r="L135" s="1378">
        <f>LC48</f>
        <v>0</v>
      </c>
      <c r="M135" s="1378">
        <f>LD48</f>
        <v>0</v>
      </c>
      <c r="N135" s="1378">
        <f>LE48</f>
        <v>0</v>
      </c>
      <c r="O135" s="1379">
        <f>LF48</f>
        <v>0</v>
      </c>
      <c r="P135" s="914">
        <f t="shared" si="383"/>
        <v>0</v>
      </c>
      <c r="S135" s="4046"/>
      <c r="T135" s="4047"/>
      <c r="U135" s="4047"/>
      <c r="V135" s="4047"/>
      <c r="W135" s="4048"/>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4046"/>
      <c r="T136" s="4047"/>
      <c r="U136" s="4047"/>
      <c r="V136" s="4047"/>
      <c r="W136" s="4048"/>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3250</v>
      </c>
      <c r="I137" s="852"/>
      <c r="J137" s="82"/>
      <c r="K137" s="1356">
        <f>LL48</f>
        <v>0</v>
      </c>
      <c r="L137" s="1357">
        <f>LM48</f>
        <v>0</v>
      </c>
      <c r="M137" s="1357">
        <f>LN48</f>
        <v>0</v>
      </c>
      <c r="N137" s="1357">
        <f>LO48</f>
        <v>0</v>
      </c>
      <c r="O137" s="1358">
        <f>LP48</f>
        <v>0</v>
      </c>
      <c r="P137" s="914">
        <f t="shared" si="384"/>
        <v>0</v>
      </c>
      <c r="S137" s="4046"/>
      <c r="T137" s="4047"/>
      <c r="U137" s="4047"/>
      <c r="V137" s="4047"/>
      <c r="W137" s="4048"/>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46"/>
      <c r="T138" s="4047"/>
      <c r="U138" s="4047"/>
      <c r="V138" s="4047"/>
      <c r="W138" s="4048"/>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4046"/>
      <c r="T139" s="4047"/>
      <c r="U139" s="4047"/>
      <c r="V139" s="4047"/>
      <c r="W139" s="4048"/>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4046"/>
      <c r="T140" s="4047"/>
      <c r="U140" s="4047"/>
      <c r="V140" s="4047"/>
      <c r="W140" s="4048"/>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4046"/>
      <c r="T141" s="4047"/>
      <c r="U141" s="4047"/>
      <c r="V141" s="4047"/>
      <c r="W141" s="4048"/>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46"/>
      <c r="T142" s="4047"/>
      <c r="U142" s="4047"/>
      <c r="V142" s="4047"/>
      <c r="W142" s="4048"/>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4046"/>
      <c r="T143" s="4047"/>
      <c r="U143" s="4047"/>
      <c r="V143" s="4047"/>
      <c r="W143" s="4048"/>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46"/>
      <c r="T144" s="4047"/>
      <c r="U144" s="4047"/>
      <c r="V144" s="4047"/>
      <c r="W144" s="4048"/>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77"/>
      <c r="T145" s="4078"/>
      <c r="U145" s="4078"/>
      <c r="V145" s="4078"/>
      <c r="W145" s="4079"/>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4116</v>
      </c>
      <c r="D149" s="2657"/>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84"/>
      <c r="T149" s="4085"/>
      <c r="U149" s="4085"/>
      <c r="V149" s="4085"/>
      <c r="W149" s="4086"/>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4046"/>
      <c r="T150" s="4047"/>
      <c r="U150" s="4047"/>
      <c r="V150" s="4047"/>
      <c r="W150" s="4048"/>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3246</v>
      </c>
      <c r="F151" s="483"/>
      <c r="G151" s="151"/>
      <c r="H151" s="1020"/>
      <c r="I151" s="483"/>
      <c r="J151" s="1094"/>
      <c r="K151" s="1389">
        <f t="shared" ref="K151:O152" si="387">K128+K140</f>
        <v>0</v>
      </c>
      <c r="L151" s="1390">
        <f t="shared" si="387"/>
        <v>14</v>
      </c>
      <c r="M151" s="1390">
        <f t="shared" si="387"/>
        <v>34</v>
      </c>
      <c r="N151" s="1390">
        <f t="shared" si="387"/>
        <v>0</v>
      </c>
      <c r="O151" s="1391">
        <f t="shared" si="387"/>
        <v>0</v>
      </c>
      <c r="P151" s="917">
        <f t="shared" si="386"/>
        <v>48</v>
      </c>
      <c r="S151" s="4046"/>
      <c r="T151" s="4047"/>
      <c r="U151" s="4047"/>
      <c r="V151" s="4047"/>
      <c r="W151" s="4048"/>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4046"/>
      <c r="T152" s="4047"/>
      <c r="U152" s="4047"/>
      <c r="V152" s="4047"/>
      <c r="W152" s="4048"/>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46"/>
      <c r="T153" s="4047"/>
      <c r="U153" s="4047"/>
      <c r="V153" s="4047"/>
      <c r="W153" s="4048"/>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4046"/>
      <c r="T154" s="4047"/>
      <c r="U154" s="4047"/>
      <c r="V154" s="4047"/>
      <c r="W154" s="4048"/>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4046"/>
      <c r="T155" s="4047"/>
      <c r="U155" s="4047"/>
      <c r="V155" s="4047"/>
      <c r="W155" s="4048"/>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80" t="s">
        <v>4450</v>
      </c>
      <c r="S156" s="4077"/>
      <c r="T156" s="4078"/>
      <c r="U156" s="4078"/>
      <c r="V156" s="4078"/>
      <c r="W156" s="4079"/>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84"/>
      <c r="T159" s="4085"/>
      <c r="U159" s="4085"/>
      <c r="V159" s="4085"/>
      <c r="W159" s="4086"/>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4046"/>
      <c r="T160" s="4047"/>
      <c r="U160" s="4047"/>
      <c r="V160" s="4047"/>
      <c r="W160" s="4048"/>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9350</v>
      </c>
      <c r="M161" s="1396">
        <f>EU48</f>
        <v>29700</v>
      </c>
      <c r="N161" s="1396">
        <f>EV48</f>
        <v>0</v>
      </c>
      <c r="O161" s="1397">
        <f>EW48</f>
        <v>0</v>
      </c>
      <c r="P161" s="1323">
        <f t="shared" si="390"/>
        <v>39050</v>
      </c>
      <c r="Q161" s="1555">
        <f t="shared" si="391"/>
        <v>1027.6315789473683</v>
      </c>
      <c r="S161" s="4046"/>
      <c r="T161" s="4047"/>
      <c r="U161" s="4047"/>
      <c r="V161" s="4047"/>
      <c r="W161" s="4048"/>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2550</v>
      </c>
      <c r="M162" s="1491">
        <f>EZ48</f>
        <v>7700</v>
      </c>
      <c r="N162" s="1491">
        <f>FA48</f>
        <v>0</v>
      </c>
      <c r="O162" s="1492">
        <f>FB48</f>
        <v>0</v>
      </c>
      <c r="P162" s="1493">
        <f t="shared" si="390"/>
        <v>10250</v>
      </c>
      <c r="Q162" s="1555">
        <f t="shared" si="391"/>
        <v>1025</v>
      </c>
      <c r="S162" s="4046"/>
      <c r="T162" s="4047"/>
      <c r="U162" s="4047"/>
      <c r="V162" s="4047"/>
      <c r="W162" s="4048"/>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4046"/>
      <c r="T163" s="4047"/>
      <c r="U163" s="4047"/>
      <c r="V163" s="4047"/>
      <c r="W163" s="4048"/>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4046"/>
      <c r="T164" s="4047"/>
      <c r="U164" s="4047"/>
      <c r="V164" s="4047"/>
      <c r="W164" s="4048"/>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4046"/>
      <c r="T165" s="4047"/>
      <c r="U165" s="4047"/>
      <c r="V165" s="4047"/>
      <c r="W165" s="4048"/>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11900</v>
      </c>
      <c r="M166" s="1332">
        <f>SUM(M159:M165)</f>
        <v>37400</v>
      </c>
      <c r="N166" s="1332">
        <f>SUM(N159:N165)</f>
        <v>0</v>
      </c>
      <c r="O166" s="1332">
        <f>SUM(O159:O165)</f>
        <v>0</v>
      </c>
      <c r="P166" s="1332">
        <f>SUM(K166:O166)</f>
        <v>49300</v>
      </c>
      <c r="S166" s="4046"/>
      <c r="T166" s="4047"/>
      <c r="U166" s="4047"/>
      <c r="V166" s="4047"/>
      <c r="W166" s="4048"/>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4046"/>
      <c r="T167" s="4047"/>
      <c r="U167" s="4047"/>
      <c r="V167" s="4047"/>
      <c r="W167" s="4048"/>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11900</v>
      </c>
      <c r="M168" s="1331">
        <f>SUM(M166:M167)</f>
        <v>37400</v>
      </c>
      <c r="N168" s="1331">
        <f>SUM(N166:N167)</f>
        <v>0</v>
      </c>
      <c r="O168" s="1331">
        <f>SUM(O166:O167)</f>
        <v>0</v>
      </c>
      <c r="P168" s="1331">
        <f>SUM(K168:O168)</f>
        <v>49300</v>
      </c>
      <c r="S168" s="4046"/>
      <c r="T168" s="4047"/>
      <c r="U168" s="4047"/>
      <c r="V168" s="4047"/>
      <c r="W168" s="4048"/>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46"/>
      <c r="T169" s="4047"/>
      <c r="U169" s="4047"/>
      <c r="V169" s="4047"/>
      <c r="W169" s="4048"/>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11900</v>
      </c>
      <c r="M170" s="1329">
        <f>SUM(M168:M169)</f>
        <v>37400</v>
      </c>
      <c r="N170" s="1329">
        <f>SUM(N168:N169)</f>
        <v>0</v>
      </c>
      <c r="O170" s="1329">
        <f>SUM(O168:O169)</f>
        <v>0</v>
      </c>
      <c r="P170" s="1329">
        <f>SUM(K170:O170)</f>
        <v>49300</v>
      </c>
      <c r="S170" s="4077"/>
      <c r="T170" s="4078"/>
      <c r="U170" s="4078"/>
      <c r="V170" s="4078"/>
      <c r="W170" s="4079"/>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4" t="str">
        <f>IF(OR(K67="",K67=0),"",K170/K67)</f>
        <v/>
      </c>
      <c r="L173" s="1554">
        <f>IF(OR(L67="",L67=0),"",L170/L67)</f>
        <v>850</v>
      </c>
      <c r="M173" s="1554">
        <f>IF(OR(M67="",M67=0),"",M170/M67)</f>
        <v>1100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106">
        <f>'Part VII-Pro Forma'!B9*M49</f>
        <v>6236.4000000000005</v>
      </c>
      <c r="I178" s="4107"/>
      <c r="J178" s="4108"/>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109"/>
      <c r="I182" s="4109"/>
      <c r="J182" s="4109"/>
      <c r="K182" s="4109"/>
      <c r="L182" s="4109"/>
      <c r="M182" s="4109"/>
      <c r="N182" s="4109"/>
      <c r="O182" s="4109"/>
      <c r="P182" s="4109"/>
      <c r="Q182" s="4109"/>
      <c r="R182" s="837"/>
      <c r="S182" s="4084"/>
      <c r="T182" s="4085"/>
      <c r="U182" s="4085"/>
      <c r="V182" s="4085"/>
      <c r="W182" s="4086"/>
    </row>
    <row r="183" spans="1:503" ht="15.6" customHeight="1">
      <c r="B183" s="110" t="s">
        <v>723</v>
      </c>
      <c r="C183" s="4110"/>
      <c r="D183" s="4111"/>
      <c r="E183" s="4111"/>
      <c r="F183" s="4112"/>
      <c r="H183" s="4113"/>
      <c r="I183" s="4113"/>
      <c r="J183" s="4113"/>
      <c r="K183" s="4113"/>
      <c r="L183" s="4114"/>
      <c r="M183" s="4113"/>
      <c r="N183" s="4113"/>
      <c r="O183" s="4113"/>
      <c r="P183" s="4113"/>
      <c r="Q183" s="4113"/>
      <c r="R183" s="837"/>
      <c r="S183" s="4046"/>
      <c r="T183" s="4047"/>
      <c r="U183" s="4047"/>
      <c r="V183" s="4047"/>
      <c r="W183" s="4048"/>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77"/>
      <c r="T184" s="4078"/>
      <c r="U184" s="4078"/>
      <c r="V184" s="4078"/>
      <c r="W184" s="4079"/>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109"/>
      <c r="I186" s="4109"/>
      <c r="J186" s="4109"/>
      <c r="K186" s="4109"/>
      <c r="L186" s="4109"/>
      <c r="M186" s="4109"/>
      <c r="N186" s="4109"/>
      <c r="O186" s="4109"/>
      <c r="P186" s="4109"/>
      <c r="Q186" s="4109"/>
      <c r="R186" s="837"/>
      <c r="S186" s="4084"/>
      <c r="T186" s="4085"/>
      <c r="U186" s="4085"/>
      <c r="V186" s="4085"/>
      <c r="W186" s="4086"/>
    </row>
    <row r="187" spans="1:503" ht="15.6" customHeight="1">
      <c r="B187" s="110" t="s">
        <v>723</v>
      </c>
      <c r="C187" s="4110"/>
      <c r="D187" s="4111"/>
      <c r="E187" s="4111"/>
      <c r="F187" s="4112"/>
      <c r="H187" s="4113"/>
      <c r="I187" s="4113"/>
      <c r="J187" s="4113"/>
      <c r="K187" s="4113"/>
      <c r="L187" s="4114"/>
      <c r="M187" s="4113"/>
      <c r="N187" s="4113"/>
      <c r="O187" s="4113"/>
      <c r="P187" s="4113"/>
      <c r="Q187" s="4113"/>
      <c r="R187" s="837"/>
      <c r="S187" s="4046"/>
      <c r="T187" s="4047"/>
      <c r="U187" s="4047"/>
      <c r="V187" s="4047"/>
      <c r="W187" s="4048"/>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77"/>
      <c r="T188" s="4078"/>
      <c r="U188" s="4078"/>
      <c r="V188" s="4078"/>
      <c r="W188" s="4079"/>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109"/>
      <c r="I191" s="4109"/>
      <c r="J191" s="4109"/>
      <c r="K191" s="4109"/>
      <c r="L191" s="4115"/>
      <c r="M191" s="4109"/>
      <c r="N191" s="4109"/>
      <c r="O191" s="4109"/>
      <c r="P191" s="4109"/>
      <c r="Q191" s="4109"/>
      <c r="R191" s="837"/>
      <c r="S191" s="4084"/>
      <c r="T191" s="4085"/>
      <c r="U191" s="4085"/>
      <c r="V191" s="4085"/>
      <c r="W191" s="408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110"/>
      <c r="D192" s="4111"/>
      <c r="E192" s="4111"/>
      <c r="F192" s="4112"/>
      <c r="H192" s="4113"/>
      <c r="I192" s="4113"/>
      <c r="J192" s="4113"/>
      <c r="K192" s="4113"/>
      <c r="L192" s="4114"/>
      <c r="M192" s="4113"/>
      <c r="N192" s="4113"/>
      <c r="O192" s="4113"/>
      <c r="P192" s="4113"/>
      <c r="Q192" s="4113"/>
      <c r="R192" s="837"/>
      <c r="S192" s="4046"/>
      <c r="T192" s="4047"/>
      <c r="U192" s="4047"/>
      <c r="V192" s="4047"/>
      <c r="W192" s="4048"/>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77"/>
      <c r="T193" s="4078"/>
      <c r="U193" s="4078"/>
      <c r="V193" s="4078"/>
      <c r="W193" s="4079"/>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109"/>
      <c r="I195" s="4109"/>
      <c r="J195" s="4109"/>
      <c r="K195" s="4109"/>
      <c r="L195" s="4115"/>
      <c r="M195" s="4109"/>
      <c r="N195" s="4109"/>
      <c r="O195" s="4109"/>
      <c r="P195" s="4109"/>
      <c r="Q195" s="4109"/>
      <c r="R195" s="837"/>
      <c r="S195" s="4084"/>
      <c r="T195" s="4085"/>
      <c r="U195" s="4085"/>
      <c r="V195" s="4085"/>
      <c r="W195" s="408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110"/>
      <c r="D196" s="4111"/>
      <c r="E196" s="4111"/>
      <c r="F196" s="4112"/>
      <c r="H196" s="4113"/>
      <c r="I196" s="4113"/>
      <c r="J196" s="4113"/>
      <c r="K196" s="4113"/>
      <c r="L196" s="4114"/>
      <c r="M196" s="4113"/>
      <c r="N196" s="4113"/>
      <c r="O196" s="4113"/>
      <c r="P196" s="4113"/>
      <c r="Q196" s="4113"/>
      <c r="R196" s="837"/>
      <c r="S196" s="4046"/>
      <c r="T196" s="4047"/>
      <c r="U196" s="4047"/>
      <c r="V196" s="4047"/>
      <c r="W196" s="4048"/>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77"/>
      <c r="T197" s="4078"/>
      <c r="U197" s="4078"/>
      <c r="V197" s="4078"/>
      <c r="W197" s="4079"/>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109"/>
      <c r="I200" s="4109"/>
      <c r="J200" s="4109"/>
      <c r="K200" s="4109"/>
      <c r="L200" s="4115"/>
      <c r="M200" s="4109"/>
      <c r="N200" s="4109"/>
      <c r="O200" s="4109"/>
      <c r="P200" s="4109"/>
      <c r="Q200" s="4109"/>
      <c r="R200" s="837"/>
      <c r="S200" s="4084"/>
      <c r="T200" s="4085"/>
      <c r="U200" s="4085"/>
      <c r="V200" s="4085"/>
      <c r="W200" s="408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110"/>
      <c r="D201" s="4111"/>
      <c r="E201" s="4111"/>
      <c r="F201" s="4112"/>
      <c r="H201" s="4113"/>
      <c r="I201" s="4113"/>
      <c r="J201" s="4113"/>
      <c r="K201" s="4113"/>
      <c r="L201" s="4114"/>
      <c r="M201" s="4113"/>
      <c r="N201" s="4113"/>
      <c r="O201" s="4113"/>
      <c r="P201" s="4113"/>
      <c r="Q201" s="4113"/>
      <c r="R201" s="837"/>
      <c r="S201" s="4046"/>
      <c r="T201" s="4047"/>
      <c r="U201" s="4047"/>
      <c r="V201" s="4047"/>
      <c r="W201" s="4048"/>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77"/>
      <c r="T202" s="4078"/>
      <c r="U202" s="4078"/>
      <c r="V202" s="4078"/>
      <c r="W202" s="4079"/>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109"/>
      <c r="I204" s="4109"/>
      <c r="J204" s="4109"/>
      <c r="K204" s="4109"/>
      <c r="L204" s="4115"/>
      <c r="M204" s="4109"/>
      <c r="N204" s="4109"/>
      <c r="O204" s="4109"/>
      <c r="P204" s="4109"/>
      <c r="Q204" s="4109"/>
      <c r="R204" s="837"/>
      <c r="S204" s="4084"/>
      <c r="T204" s="4085"/>
      <c r="U204" s="4085"/>
      <c r="V204" s="4085"/>
      <c r="W204" s="408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110"/>
      <c r="D205" s="4111"/>
      <c r="E205" s="4111"/>
      <c r="F205" s="4112"/>
      <c r="H205" s="4113"/>
      <c r="I205" s="4113"/>
      <c r="J205" s="4113"/>
      <c r="K205" s="4113"/>
      <c r="L205" s="4114"/>
      <c r="M205" s="4113"/>
      <c r="N205" s="4113"/>
      <c r="O205" s="4113"/>
      <c r="P205" s="4113"/>
      <c r="Q205" s="4113"/>
      <c r="R205" s="837"/>
      <c r="S205" s="4046"/>
      <c r="T205" s="4047"/>
      <c r="U205" s="4047"/>
      <c r="V205" s="4047"/>
      <c r="W205" s="4048"/>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77"/>
      <c r="T206" s="4078"/>
      <c r="U206" s="4078"/>
      <c r="V206" s="4078"/>
      <c r="W206" s="4079"/>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109"/>
      <c r="I209" s="4109"/>
      <c r="J209" s="4109"/>
      <c r="K209" s="4109"/>
      <c r="L209" s="4115"/>
      <c r="M209" s="89"/>
      <c r="N209" s="89"/>
      <c r="O209" s="89"/>
      <c r="P209" s="89"/>
      <c r="Q209" s="89"/>
      <c r="R209" s="8"/>
      <c r="S209" s="4084"/>
      <c r="T209" s="4085"/>
      <c r="U209" s="4085"/>
      <c r="V209" s="4085"/>
      <c r="W209" s="4086"/>
    </row>
    <row r="210" spans="1:503" ht="15.6" customHeight="1">
      <c r="B210" s="110" t="s">
        <v>723</v>
      </c>
      <c r="C210" s="4110"/>
      <c r="D210" s="4111"/>
      <c r="E210" s="4111"/>
      <c r="F210" s="4112"/>
      <c r="H210" s="4113"/>
      <c r="I210" s="4113"/>
      <c r="J210" s="4113"/>
      <c r="K210" s="4113"/>
      <c r="L210" s="4114"/>
      <c r="M210" s="89"/>
      <c r="N210" s="89"/>
      <c r="O210" s="89"/>
      <c r="P210" s="89"/>
      <c r="Q210" s="89"/>
      <c r="R210" s="8"/>
      <c r="S210" s="4046"/>
      <c r="T210" s="4047"/>
      <c r="U210" s="4047"/>
      <c r="V210" s="4047"/>
      <c r="W210" s="4048"/>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77"/>
      <c r="T211" s="4078"/>
      <c r="U211" s="4078"/>
      <c r="V211" s="4078"/>
      <c r="W211" s="4079"/>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109"/>
      <c r="I213" s="4109"/>
      <c r="J213" s="4109"/>
      <c r="K213" s="4109"/>
      <c r="L213" s="4115"/>
      <c r="M213" s="89"/>
      <c r="N213" s="89"/>
      <c r="O213" s="89"/>
      <c r="P213" s="89"/>
      <c r="Q213" s="89"/>
      <c r="R213" s="8"/>
      <c r="S213" s="4084"/>
      <c r="T213" s="4085"/>
      <c r="U213" s="4085"/>
      <c r="V213" s="4085"/>
      <c r="W213" s="4086"/>
    </row>
    <row r="214" spans="1:503" ht="15.6" customHeight="1">
      <c r="B214" s="110" t="s">
        <v>723</v>
      </c>
      <c r="C214" s="4110"/>
      <c r="D214" s="4111"/>
      <c r="E214" s="4111"/>
      <c r="F214" s="4112"/>
      <c r="H214" s="4113"/>
      <c r="I214" s="4113"/>
      <c r="J214" s="4113"/>
      <c r="K214" s="4113"/>
      <c r="L214" s="4114"/>
      <c r="M214" s="89"/>
      <c r="N214" s="89"/>
      <c r="O214" s="89"/>
      <c r="P214" s="89"/>
      <c r="Q214" s="89"/>
      <c r="R214" s="8"/>
      <c r="S214" s="4046"/>
      <c r="T214" s="4047"/>
      <c r="U214" s="4047"/>
      <c r="V214" s="4047"/>
      <c r="W214" s="4048"/>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77"/>
      <c r="T215" s="4078"/>
      <c r="U215" s="4078"/>
      <c r="V215" s="4078"/>
      <c r="W215" s="407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23040</v>
      </c>
      <c r="R219" s="1"/>
      <c r="S219" s="4084"/>
      <c r="T219" s="4085"/>
      <c r="U219" s="4085"/>
      <c r="V219" s="4085"/>
      <c r="W219" s="408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116">
        <v>24710</v>
      </c>
      <c r="G220" s="4117"/>
      <c r="H220" s="1"/>
      <c r="I220" s="1" t="s">
        <v>1351</v>
      </c>
      <c r="K220" s="1"/>
      <c r="L220" s="4116"/>
      <c r="M220" s="4117"/>
      <c r="N220" s="1"/>
      <c r="O220" s="391">
        <f>+Q219/(P67*0.93)</f>
        <v>516.12903225806451</v>
      </c>
      <c r="P220" s="66" t="s">
        <v>2666</v>
      </c>
      <c r="Q220" s="1"/>
      <c r="R220" s="837"/>
      <c r="S220" s="4046"/>
      <c r="T220" s="4047"/>
      <c r="U220" s="4047"/>
      <c r="V220" s="4047"/>
      <c r="W220" s="4048"/>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118">
        <v>20592</v>
      </c>
      <c r="G221" s="4119"/>
      <c r="H221" s="1"/>
      <c r="I221" s="1" t="s">
        <v>1352</v>
      </c>
      <c r="K221" s="1"/>
      <c r="L221" s="4120">
        <v>600</v>
      </c>
      <c r="M221" s="4121"/>
      <c r="N221" s="1"/>
      <c r="O221" s="391">
        <f>+Q219/(P67*0.93)/12</f>
        <v>43.01075268817204</v>
      </c>
      <c r="P221" s="66" t="s">
        <v>2667</v>
      </c>
      <c r="Q221" s="1"/>
      <c r="R221" s="837"/>
      <c r="S221" s="4046"/>
      <c r="T221" s="4047"/>
      <c r="U221" s="4047"/>
      <c r="V221" s="4047"/>
      <c r="W221" s="4048"/>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118"/>
      <c r="G222" s="4119"/>
      <c r="H222" s="1"/>
      <c r="I222" s="1"/>
      <c r="K222" s="122" t="s">
        <v>187</v>
      </c>
      <c r="L222" s="2648">
        <f>SUM(L220:M221)</f>
        <v>600</v>
      </c>
      <c r="M222" s="2649"/>
      <c r="N222" s="1"/>
      <c r="O222" s="36" t="s">
        <v>3545</v>
      </c>
      <c r="P222" s="930"/>
      <c r="Q222" s="930"/>
      <c r="R222" s="837"/>
      <c r="S222" s="4046"/>
      <c r="T222" s="4047"/>
      <c r="U222" s="4047"/>
      <c r="V222" s="4047"/>
      <c r="W222" s="4048"/>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118">
        <v>20000</v>
      </c>
      <c r="G223" s="4119"/>
      <c r="H223" s="1"/>
      <c r="I223" s="1"/>
      <c r="K223" s="1"/>
      <c r="L223" s="1"/>
      <c r="M223" s="1"/>
      <c r="N223" s="1"/>
      <c r="R223" s="837"/>
      <c r="S223" s="4046"/>
      <c r="T223" s="4047"/>
      <c r="U223" s="4047"/>
      <c r="V223" s="4047"/>
      <c r="W223" s="4048"/>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118"/>
      <c r="G224" s="4119"/>
      <c r="H224" s="1"/>
      <c r="I224" s="1"/>
      <c r="K224" s="1"/>
      <c r="L224" s="1"/>
      <c r="M224" s="1"/>
      <c r="N224" s="1"/>
      <c r="R224" s="837"/>
      <c r="S224" s="4046"/>
      <c r="T224" s="4047"/>
      <c r="U224" s="4047"/>
      <c r="V224" s="4047"/>
      <c r="W224" s="4048"/>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122" t="s">
        <v>7140</v>
      </c>
      <c r="C225" s="4123"/>
      <c r="D225" s="4123"/>
      <c r="E225" s="4124"/>
      <c r="F225" s="4120">
        <v>3500</v>
      </c>
      <c r="G225" s="4121"/>
      <c r="H225" s="1"/>
      <c r="I225" s="10" t="s">
        <v>1266</v>
      </c>
      <c r="K225" s="1"/>
      <c r="L225" s="1"/>
      <c r="M225" s="1"/>
      <c r="N225" s="1"/>
      <c r="R225" s="837"/>
      <c r="S225" s="4046"/>
      <c r="T225" s="4047"/>
      <c r="U225" s="4047"/>
      <c r="V225" s="4047"/>
      <c r="W225" s="4048"/>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68802</v>
      </c>
      <c r="G226" s="2649"/>
      <c r="H226" s="1"/>
      <c r="I226" s="1" t="s">
        <v>1569</v>
      </c>
      <c r="K226" s="1"/>
      <c r="L226" s="4125">
        <v>500</v>
      </c>
      <c r="M226" s="4126"/>
      <c r="N226" s="1"/>
      <c r="R226" s="1"/>
      <c r="S226" s="4046"/>
      <c r="T226" s="4047"/>
      <c r="U226" s="4047"/>
      <c r="V226" s="4047"/>
      <c r="W226" s="4048"/>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127">
        <v>7000</v>
      </c>
      <c r="M227" s="4128"/>
      <c r="N227" s="2673" t="str">
        <f>IF(Q229="","",IF(Q227&lt;Q229, "WARNING! OE below required minimum.",""))</f>
        <v/>
      </c>
      <c r="O227" s="10" t="s">
        <v>2135</v>
      </c>
      <c r="P227" s="5"/>
      <c r="Q227" s="401">
        <f>F226+F235+F246+L222+L230+L239+L246+Q219</f>
        <v>221267</v>
      </c>
      <c r="R227" s="5"/>
      <c r="S227" s="4046"/>
      <c r="T227" s="4047"/>
      <c r="U227" s="4047"/>
      <c r="V227" s="4047"/>
      <c r="W227" s="4048"/>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127">
        <v>500</v>
      </c>
      <c r="M228" s="4128"/>
      <c r="N228" s="2673"/>
      <c r="O228" s="66" t="s">
        <v>2668</v>
      </c>
      <c r="P228" s="391">
        <f>+Q227/P67</f>
        <v>4609.729166666667</v>
      </c>
      <c r="R228" s="838"/>
      <c r="S228" s="4046"/>
      <c r="T228" s="4047"/>
      <c r="U228" s="4047"/>
      <c r="V228" s="4047"/>
      <c r="W228" s="4048"/>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116">
        <v>1750</v>
      </c>
      <c r="G229" s="4117"/>
      <c r="H229" s="1"/>
      <c r="I229" s="4129"/>
      <c r="J229" s="4130"/>
      <c r="K229" s="4131"/>
      <c r="L229" s="4132"/>
      <c r="M229" s="4133"/>
      <c r="N229" s="2673"/>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180000</v>
      </c>
      <c r="R229" s="1"/>
      <c r="S229" s="4046"/>
      <c r="T229" s="4047"/>
      <c r="U229" s="4047"/>
      <c r="V229" s="4047"/>
      <c r="W229" s="4048"/>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118">
        <v>3500</v>
      </c>
      <c r="G230" s="4119"/>
      <c r="H230" s="1"/>
      <c r="I230" s="10"/>
      <c r="K230" s="11" t="s">
        <v>187</v>
      </c>
      <c r="L230" s="2650">
        <f>SUM(L226:L229)</f>
        <v>8000</v>
      </c>
      <c r="M230" s="2652"/>
      <c r="N230" s="2673"/>
      <c r="R230" s="1"/>
      <c r="S230" s="4046"/>
      <c r="T230" s="4047"/>
      <c r="U230" s="4047"/>
      <c r="V230" s="4047"/>
      <c r="W230" s="4048"/>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118"/>
      <c r="G231" s="4119"/>
      <c r="H231" s="1"/>
      <c r="N231" s="1"/>
      <c r="R231" s="2383"/>
      <c r="S231" s="4046"/>
      <c r="T231" s="4047"/>
      <c r="U231" s="4047"/>
      <c r="V231" s="4047"/>
      <c r="W231" s="4048"/>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118"/>
      <c r="G232" s="4119"/>
      <c r="H232" s="1"/>
      <c r="L232" s="1"/>
      <c r="M232" s="1"/>
      <c r="N232" s="1"/>
      <c r="R232" s="2383"/>
      <c r="S232" s="4046"/>
      <c r="T232" s="4047"/>
      <c r="U232" s="4047"/>
      <c r="V232" s="4047"/>
      <c r="W232" s="4048"/>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118"/>
      <c r="G233" s="4119"/>
      <c r="H233" s="1"/>
      <c r="I233" s="10" t="s">
        <v>1348</v>
      </c>
      <c r="K233" s="2351" t="s">
        <v>4436</v>
      </c>
      <c r="O233" s="1590" t="s">
        <v>3360</v>
      </c>
      <c r="P233" s="10"/>
      <c r="Q233" s="4134">
        <f>Q242</f>
        <v>12000</v>
      </c>
      <c r="S233" s="4046"/>
      <c r="T233" s="4047"/>
      <c r="U233" s="4047"/>
      <c r="V233" s="4047"/>
      <c r="W233" s="4048"/>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122" t="s">
        <v>7051</v>
      </c>
      <c r="C234" s="4123"/>
      <c r="D234" s="4123"/>
      <c r="E234" s="4124"/>
      <c r="F234" s="4120">
        <f>4880</f>
        <v>4880</v>
      </c>
      <c r="G234" s="4121"/>
      <c r="H234" s="1"/>
      <c r="I234" s="1" t="s">
        <v>1341</v>
      </c>
      <c r="K234" s="452">
        <f>L234/12/P67</f>
        <v>17.361111111111111</v>
      </c>
      <c r="L234" s="4125">
        <v>10000</v>
      </c>
      <c r="M234" s="4126"/>
      <c r="N234" s="2643" t="str">
        <f>IF(Q233&lt;Q242, "WARNING! RR proposed is below the DCA required minimum.","")</f>
        <v/>
      </c>
      <c r="O234" s="953" t="s">
        <v>4435</v>
      </c>
      <c r="P234" s="948"/>
      <c r="Q234" s="954">
        <f>Q233/P242</f>
        <v>250</v>
      </c>
      <c r="R234" s="837"/>
      <c r="S234" s="4046"/>
      <c r="T234" s="4047"/>
      <c r="U234" s="4047"/>
      <c r="V234" s="4047"/>
      <c r="W234" s="4048"/>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10130</v>
      </c>
      <c r="G235" s="2649"/>
      <c r="H235" s="1"/>
      <c r="I235" s="1" t="s">
        <v>1342</v>
      </c>
      <c r="K235" s="452">
        <f>L235/12/P67</f>
        <v>0</v>
      </c>
      <c r="L235" s="4127"/>
      <c r="M235" s="4128"/>
      <c r="N235" s="2644"/>
      <c r="O235" s="2645" t="s">
        <v>3554</v>
      </c>
      <c r="P235" s="2646"/>
      <c r="Q235" s="2647"/>
      <c r="S235" s="4046"/>
      <c r="T235" s="4047"/>
      <c r="U235" s="4047"/>
      <c r="V235" s="4047"/>
      <c r="W235" s="4048"/>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6.0763888888888893</v>
      </c>
      <c r="L236" s="4127">
        <v>3500</v>
      </c>
      <c r="M236" s="4128"/>
      <c r="N236" s="2644"/>
      <c r="O236" s="947" t="s">
        <v>2633</v>
      </c>
      <c r="P236" s="834" t="s">
        <v>3634</v>
      </c>
      <c r="Q236" s="949" t="s">
        <v>3323</v>
      </c>
      <c r="R236" s="5"/>
      <c r="S236" s="4046"/>
      <c r="T236" s="4047"/>
      <c r="U236" s="4047"/>
      <c r="V236" s="4047"/>
      <c r="W236" s="4048"/>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127">
        <v>4000</v>
      </c>
      <c r="M237" s="4128"/>
      <c r="N237" s="2644"/>
      <c r="O237" s="598" t="s">
        <v>37</v>
      </c>
      <c r="P237" s="599"/>
      <c r="Q237" s="600"/>
      <c r="R237" s="838"/>
      <c r="S237" s="4046"/>
      <c r="T237" s="4047"/>
      <c r="U237" s="4047"/>
      <c r="V237" s="4047"/>
      <c r="W237" s="4048"/>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135"/>
      <c r="G238" s="4136"/>
      <c r="H238" s="1"/>
      <c r="I238" s="4129" t="s">
        <v>7108</v>
      </c>
      <c r="J238" s="4130"/>
      <c r="K238" s="4131"/>
      <c r="L238" s="4132">
        <v>1200</v>
      </c>
      <c r="M238" s="4133"/>
      <c r="N238" s="2644"/>
      <c r="O238" s="482" t="s">
        <v>3315</v>
      </c>
      <c r="P238" s="839" t="str">
        <f>CONCATENATE(SUM(MP48:MT48)," units x $",'DCA Underwriting Assumptions'!$Q$68," =")</f>
        <v>0 units x $350 =</v>
      </c>
      <c r="Q238" s="601">
        <f>SUM(MP48:MT48)*'DCA Underwriting Assumptions'!$Q$68</f>
        <v>0</v>
      </c>
      <c r="R238" s="4137"/>
      <c r="S238" s="4046"/>
      <c r="T238" s="4047"/>
      <c r="U238" s="4047"/>
      <c r="V238" s="4047"/>
      <c r="W238" s="4048"/>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38">
        <v>5000</v>
      </c>
      <c r="G239" s="4139"/>
      <c r="H239" s="1"/>
      <c r="I239" s="1"/>
      <c r="K239" s="11" t="s">
        <v>187</v>
      </c>
      <c r="L239" s="2650">
        <f>SUM(L234:L238)</f>
        <v>18700</v>
      </c>
      <c r="M239" s="2652"/>
      <c r="N239" s="2644"/>
      <c r="O239" s="482" t="s">
        <v>3314</v>
      </c>
      <c r="P239" s="839" t="str">
        <f>CONCATENATE(SUM(MU48:MY48)," units x $",'DCA Underwriting Assumptions'!$Q$69," =")</f>
        <v>48 units x $250 =</v>
      </c>
      <c r="Q239" s="601">
        <f>SUM(MU48:MY48)*'DCA Underwriting Assumptions'!$Q$69</f>
        <v>12000</v>
      </c>
      <c r="S239" s="4046"/>
      <c r="T239" s="4047"/>
      <c r="U239" s="4047"/>
      <c r="V239" s="4047"/>
      <c r="W239" s="4048"/>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38">
        <v>20000</v>
      </c>
      <c r="G240" s="4139"/>
      <c r="H240" s="1"/>
      <c r="K240" s="1"/>
      <c r="L240" s="1"/>
      <c r="N240" s="2644"/>
      <c r="O240" s="602" t="s">
        <v>3318</v>
      </c>
      <c r="P240" s="839" t="str">
        <f>CONCATENATE(SUM(MZ48:ND48)," units x $",'DCA Underwriting Assumptions'!$Q$70," =")</f>
        <v>0 units x $420 =</v>
      </c>
      <c r="Q240" s="601">
        <f>SUM(MZ48:ND48)*'DCA Underwriting Assumptions'!$Q$70</f>
        <v>0</v>
      </c>
      <c r="R240" s="834"/>
      <c r="S240" s="4046"/>
      <c r="T240" s="4047"/>
      <c r="U240" s="4047"/>
      <c r="V240" s="4047"/>
      <c r="W240" s="4048"/>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118">
        <v>5000</v>
      </c>
      <c r="G241" s="4119"/>
      <c r="H241" s="1"/>
      <c r="O241" s="602" t="s">
        <v>3313</v>
      </c>
      <c r="P241" s="839" t="str">
        <f>CONCATENATE(P125," units x $",'DCA Underwriting Assumptions'!$Q$70," =")</f>
        <v>0 units x $420 =</v>
      </c>
      <c r="Q241" s="601">
        <f>P125*'DCA Underwriting Assumptions'!$Q$70</f>
        <v>0</v>
      </c>
      <c r="R241" s="599"/>
      <c r="S241" s="4046"/>
      <c r="T241" s="4047"/>
      <c r="U241" s="4047"/>
      <c r="V241" s="4047"/>
      <c r="W241" s="4048"/>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118">
        <v>1500</v>
      </c>
      <c r="G242" s="4119"/>
      <c r="H242" s="1"/>
      <c r="I242" s="10" t="s">
        <v>1349</v>
      </c>
      <c r="O242" s="950" t="s">
        <v>2636</v>
      </c>
      <c r="P242" s="951">
        <f>SUM(MP48:MT48)+SUM(MU48:MY48)+SUM(MZ48:ND48)+P125</f>
        <v>48</v>
      </c>
      <c r="Q242" s="952">
        <f>SUM(Q238:Q241)</f>
        <v>12000</v>
      </c>
      <c r="R242" s="839"/>
      <c r="S242" s="4046"/>
      <c r="T242" s="4047"/>
      <c r="U242" s="4047"/>
      <c r="V242" s="4047"/>
      <c r="W242" s="4048"/>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118"/>
      <c r="G243" s="4119"/>
      <c r="H243" s="1"/>
      <c r="I243" s="94" t="s">
        <v>4518</v>
      </c>
      <c r="K243" s="1"/>
      <c r="L243" s="4125">
        <v>37695</v>
      </c>
      <c r="M243" s="4126"/>
      <c r="R243" s="839"/>
      <c r="S243" s="4046"/>
      <c r="T243" s="4047"/>
      <c r="U243" s="4047"/>
      <c r="V243" s="4047"/>
      <c r="W243" s="4048"/>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118">
        <v>500</v>
      </c>
      <c r="G244" s="4119"/>
      <c r="H244" s="1"/>
      <c r="I244" s="1" t="s">
        <v>143</v>
      </c>
      <c r="K244" s="1"/>
      <c r="L244" s="4127">
        <v>20800</v>
      </c>
      <c r="M244" s="4128"/>
      <c r="R244" s="839"/>
      <c r="S244" s="4046"/>
      <c r="T244" s="4047"/>
      <c r="U244" s="4047"/>
      <c r="V244" s="4047"/>
      <c r="W244" s="4048"/>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122" t="s">
        <v>49</v>
      </c>
      <c r="C245" s="4123"/>
      <c r="D245" s="4123"/>
      <c r="E245" s="4124"/>
      <c r="F245" s="4120"/>
      <c r="G245" s="4121"/>
      <c r="H245" s="1"/>
      <c r="I245" s="4129" t="s">
        <v>7052</v>
      </c>
      <c r="J245" s="4130"/>
      <c r="K245" s="4131"/>
      <c r="L245" s="4140">
        <v>1500</v>
      </c>
      <c r="M245" s="4141"/>
      <c r="N245" s="1"/>
      <c r="R245" s="839"/>
      <c r="S245" s="4046"/>
      <c r="T245" s="4047"/>
      <c r="U245" s="4047"/>
      <c r="V245" s="4047"/>
      <c r="W245" s="4048"/>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32000</v>
      </c>
      <c r="G246" s="2654"/>
      <c r="H246" s="1"/>
      <c r="K246" s="11" t="s">
        <v>187</v>
      </c>
      <c r="L246" s="2650">
        <f>SUM(L242:L245)</f>
        <v>59995</v>
      </c>
      <c r="M246" s="2651"/>
      <c r="N246" s="1"/>
      <c r="O246" s="10" t="s">
        <v>2136</v>
      </c>
      <c r="P246" s="1"/>
      <c r="Q246" s="401">
        <f>Q227+Q233</f>
        <v>233267</v>
      </c>
      <c r="R246" s="839"/>
      <c r="S246" s="4077"/>
      <c r="T246" s="4078"/>
      <c r="U246" s="4078"/>
      <c r="V246" s="4078"/>
      <c r="W246" s="4079"/>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4142">
        <v>0</v>
      </c>
      <c r="L250" s="4143"/>
      <c r="M250" s="1552" t="s">
        <v>4478</v>
      </c>
      <c r="N250" s="4144"/>
      <c r="O250" s="10" t="s">
        <v>4425</v>
      </c>
      <c r="P250" s="1"/>
      <c r="Q250" s="4145">
        <f>K250*N250</f>
        <v>0</v>
      </c>
      <c r="R250" s="837"/>
      <c r="S250" s="4146"/>
      <c r="T250" s="4147"/>
      <c r="U250" s="4147"/>
      <c r="V250" s="4147"/>
      <c r="W250" s="414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4009" t="s">
        <v>1727</v>
      </c>
      <c r="K252" s="1489" t="s">
        <v>4481</v>
      </c>
      <c r="L252" s="4009" t="s">
        <v>1727</v>
      </c>
      <c r="M252" s="72" t="s">
        <v>4482</v>
      </c>
      <c r="N252" s="4144"/>
      <c r="O252" s="461" t="s">
        <v>4480</v>
      </c>
      <c r="P252" s="1"/>
      <c r="Q252" s="4149"/>
      <c r="R252" s="837"/>
      <c r="S252" s="4146"/>
      <c r="T252" s="4147"/>
      <c r="U252" s="4147"/>
      <c r="V252" s="4147"/>
      <c r="W252" s="414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874" t="s">
        <v>7100</v>
      </c>
      <c r="B255" s="3874"/>
      <c r="C255" s="3874"/>
      <c r="D255" s="3874"/>
      <c r="E255" s="3874"/>
      <c r="F255" s="3874"/>
      <c r="G255" s="3874"/>
      <c r="H255" s="3874"/>
      <c r="I255" s="3874"/>
      <c r="J255" s="3874"/>
      <c r="K255" s="3874"/>
      <c r="L255" s="3874"/>
      <c r="M255" s="3874"/>
      <c r="N255" s="3875"/>
      <c r="O255" s="3875"/>
      <c r="P255" s="3875"/>
      <c r="Q255" s="3875"/>
      <c r="R255" s="2642" t="s">
        <v>3789</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wy0y7q+wp73YZeCLlub3TJVNlv5xmowVupamOWx/c6G3rEEN8xZlLAkoO1m7QmriAKik/DdCwJdmjMABC41O9A==" saltValue="u+ZbZGIOhh6tuvjb92Jv3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2020-059 Dulles Park II, Gray, Jones County</v>
      </c>
      <c r="B1" s="4150"/>
      <c r="C1" s="4150"/>
      <c r="D1" s="4150"/>
      <c r="E1" s="4150"/>
      <c r="F1" s="4150"/>
      <c r="G1" s="4150"/>
      <c r="H1" s="4150"/>
      <c r="I1" s="4150"/>
      <c r="J1" s="4150"/>
      <c r="K1" s="4151"/>
      <c r="L1" s="10"/>
      <c r="M1" s="10"/>
      <c r="N1" s="2693" t="str">
        <f>A1</f>
        <v>PART SEVEN - OPERATING PRO FORMA  -  2020-059 Dulles Park II, Gray, Jones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3830</v>
      </c>
      <c r="N3" s="13" t="str">
        <f>A3</f>
        <v>I.  OPERATING ASSUMPTIONS</v>
      </c>
      <c r="O3" s="31"/>
    </row>
    <row r="4" spans="1:19" ht="2.4" customHeight="1">
      <c r="A4" s="16"/>
      <c r="B4" s="16"/>
      <c r="C4" s="2695"/>
      <c r="H4" s="16"/>
      <c r="I4" s="16"/>
    </row>
    <row r="5" spans="1:19" ht="13.5" customHeight="1">
      <c r="A5" s="16" t="s">
        <v>2137</v>
      </c>
      <c r="B5" s="77">
        <v>0.02</v>
      </c>
      <c r="C5" s="2695"/>
      <c r="D5" s="2658" t="s">
        <v>3831</v>
      </c>
      <c r="E5" s="2658"/>
      <c r="F5" s="2658"/>
      <c r="G5" s="4152">
        <v>5000</v>
      </c>
      <c r="H5" s="96" t="s">
        <v>1859</v>
      </c>
      <c r="K5" s="101">
        <f>IF(($B$14+$B$15+$B$16+$B$17)=0,"",B30/($B$14+$B$15+$B$16+$B$17))</f>
        <v>-1.6903744386283389E-2</v>
      </c>
      <c r="N5" s="4084"/>
      <c r="O5" s="4086"/>
    </row>
    <row r="6" spans="1:19">
      <c r="A6" s="16" t="s">
        <v>2138</v>
      </c>
      <c r="B6" s="77">
        <v>0.03</v>
      </c>
      <c r="C6" s="2695"/>
      <c r="D6" s="2658"/>
      <c r="E6" s="2658"/>
      <c r="F6" s="2658"/>
      <c r="G6" s="1141">
        <f>IF(OR('Part III-Sources of Funds'!E5="Yes",'Part III-Sources of Funds'!H5&gt;0),'DCA Underwriting Assumptions'!$Q$100,0)</f>
        <v>0</v>
      </c>
      <c r="H6" s="16"/>
      <c r="I6" s="16"/>
      <c r="J6" s="16"/>
      <c r="K6" s="16"/>
      <c r="N6" s="4046"/>
      <c r="O6" s="4048"/>
    </row>
    <row r="7" spans="1:19">
      <c r="A7" s="16" t="s">
        <v>2140</v>
      </c>
      <c r="B7" s="77">
        <v>0.03</v>
      </c>
      <c r="C7" s="2695"/>
      <c r="D7" s="79" t="s">
        <v>265</v>
      </c>
      <c r="G7" s="81"/>
      <c r="H7" s="96" t="s">
        <v>2313</v>
      </c>
      <c r="K7" s="101">
        <f>IF(($B$14+$B$15+$B$16+$B$17)=0,"",-B21/($B$14+$B$15+$B$16+$B$17))</f>
        <v>7.789245413199386E-2</v>
      </c>
      <c r="N7" s="4046"/>
      <c r="O7" s="4048"/>
    </row>
    <row r="8" spans="1:19" ht="13.35" customHeight="1">
      <c r="A8" s="16" t="s">
        <v>2139</v>
      </c>
      <c r="B8" s="4153">
        <v>7.0000000000000007E-2</v>
      </c>
      <c r="C8" s="1480" t="str">
        <f>IF(B8&lt;0.07, "Must be &gt;= 7%!","")</f>
        <v/>
      </c>
      <c r="D8" s="78" t="s">
        <v>2442</v>
      </c>
      <c r="G8" s="4154" t="s">
        <v>2885</v>
      </c>
      <c r="H8" s="163" t="s">
        <v>1416</v>
      </c>
      <c r="K8" s="4155">
        <v>23040</v>
      </c>
      <c r="N8" s="4046"/>
      <c r="O8" s="4048"/>
    </row>
    <row r="9" spans="1:19">
      <c r="A9" s="16" t="s">
        <v>1390</v>
      </c>
      <c r="B9" s="77">
        <v>0.02</v>
      </c>
      <c r="D9" s="78" t="s">
        <v>1676</v>
      </c>
      <c r="G9" s="4156"/>
      <c r="H9" s="163" t="s">
        <v>2295</v>
      </c>
      <c r="K9" s="4157"/>
      <c r="N9" s="4077"/>
      <c r="O9" s="4079"/>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2555</v>
      </c>
      <c r="O13" s="2509"/>
    </row>
    <row r="14" spans="1:19" ht="13.35" customHeight="1">
      <c r="A14" s="18" t="s">
        <v>2341</v>
      </c>
      <c r="B14" s="19">
        <f>'Part VI-Revenues &amp; Expenses'!$M$49</f>
        <v>311820</v>
      </c>
      <c r="C14" s="19">
        <f t="shared" ref="C14:K14" si="1">$B$14*(1+$B$5)^(C13-1)</f>
        <v>318056.40000000002</v>
      </c>
      <c r="D14" s="19">
        <f t="shared" si="1"/>
        <v>324417.52799999999</v>
      </c>
      <c r="E14" s="19">
        <f t="shared" si="1"/>
        <v>330905.87855999998</v>
      </c>
      <c r="F14" s="19">
        <f t="shared" si="1"/>
        <v>337523.99613119999</v>
      </c>
      <c r="G14" s="19">
        <f t="shared" si="1"/>
        <v>344274.47605382401</v>
      </c>
      <c r="H14" s="19">
        <f t="shared" si="1"/>
        <v>351159.9655749005</v>
      </c>
      <c r="I14" s="19">
        <f t="shared" si="1"/>
        <v>358183.16488639842</v>
      </c>
      <c r="J14" s="19">
        <f t="shared" si="1"/>
        <v>365346.82818412641</v>
      </c>
      <c r="K14" s="20">
        <f t="shared" si="1"/>
        <v>372653.76474780898</v>
      </c>
      <c r="N14" s="4084"/>
      <c r="O14" s="4086"/>
      <c r="S14" s="2688" t="s">
        <v>3836</v>
      </c>
    </row>
    <row r="15" spans="1:19" ht="13.35" customHeight="1">
      <c r="A15" s="21" t="s">
        <v>994</v>
      </c>
      <c r="B15" s="22">
        <f>MIN(B14*B9,'Part VI-Revenues &amp; Expenses'!$H$178)</f>
        <v>6236.4000000000005</v>
      </c>
      <c r="C15" s="22">
        <f t="shared" ref="C15:K15" si="2">$B$15*(1+$B$5)^(C13-1)</f>
        <v>6361.1280000000006</v>
      </c>
      <c r="D15" s="22">
        <f t="shared" si="2"/>
        <v>6488.3505600000008</v>
      </c>
      <c r="E15" s="22">
        <f t="shared" si="2"/>
        <v>6618.1175712000004</v>
      </c>
      <c r="F15" s="22">
        <f t="shared" si="2"/>
        <v>6750.4799226240002</v>
      </c>
      <c r="G15" s="22">
        <f t="shared" si="2"/>
        <v>6885.4895210764807</v>
      </c>
      <c r="H15" s="22">
        <f t="shared" si="2"/>
        <v>7023.1993114980105</v>
      </c>
      <c r="I15" s="22">
        <f t="shared" si="2"/>
        <v>7163.6632977279696</v>
      </c>
      <c r="J15" s="22">
        <f t="shared" si="2"/>
        <v>7306.9365636825296</v>
      </c>
      <c r="K15" s="23">
        <f t="shared" si="2"/>
        <v>7453.0752949561802</v>
      </c>
      <c r="N15" s="4046"/>
      <c r="O15" s="4048"/>
      <c r="S15" s="2689"/>
    </row>
    <row r="16" spans="1:19" ht="13.35" customHeight="1">
      <c r="A16" s="21" t="s">
        <v>2342</v>
      </c>
      <c r="B16" s="22">
        <f t="shared" ref="B16:K16" si="3">-(B14+B15)*$B$8</f>
        <v>-22263.948000000004</v>
      </c>
      <c r="C16" s="22">
        <f t="shared" si="3"/>
        <v>-22709.226960000007</v>
      </c>
      <c r="D16" s="22">
        <f t="shared" si="3"/>
        <v>-23163.4114992</v>
      </c>
      <c r="E16" s="22">
        <f t="shared" si="3"/>
        <v>-23626.679729184001</v>
      </c>
      <c r="F16" s="22">
        <f t="shared" si="3"/>
        <v>-24099.213323767683</v>
      </c>
      <c r="G16" s="22">
        <f t="shared" si="3"/>
        <v>-24581.197590243039</v>
      </c>
      <c r="H16" s="22">
        <f t="shared" si="3"/>
        <v>-25072.821542047899</v>
      </c>
      <c r="I16" s="22">
        <f t="shared" si="3"/>
        <v>-25574.277972888853</v>
      </c>
      <c r="J16" s="22">
        <f t="shared" si="3"/>
        <v>-26085.763532346627</v>
      </c>
      <c r="K16" s="23">
        <f t="shared" si="3"/>
        <v>-26607.478802993563</v>
      </c>
      <c r="N16" s="4046"/>
      <c r="O16" s="4048"/>
      <c r="Q16" s="2691" t="s">
        <v>3659</v>
      </c>
      <c r="R16" s="2691" t="s">
        <v>3835</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46"/>
      <c r="O17" s="4048"/>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46"/>
      <c r="O18" s="4048"/>
    </row>
    <row r="19" spans="1:19" ht="13.35" customHeight="1">
      <c r="A19" s="417" t="s">
        <v>4377</v>
      </c>
      <c r="B19" s="22">
        <f>SUM(B14:B18)</f>
        <v>295792.45200000005</v>
      </c>
      <c r="C19" s="22">
        <f t="shared" ref="C19:K19" si="4">SUM(C14:C18)</f>
        <v>301708.30104000005</v>
      </c>
      <c r="D19" s="22">
        <f t="shared" si="4"/>
        <v>307742.4670608</v>
      </c>
      <c r="E19" s="22">
        <f t="shared" si="4"/>
        <v>313897.31640201597</v>
      </c>
      <c r="F19" s="22">
        <f t="shared" si="4"/>
        <v>320175.2627300563</v>
      </c>
      <c r="G19" s="22">
        <f t="shared" si="4"/>
        <v>326578.76798465749</v>
      </c>
      <c r="H19" s="22">
        <f t="shared" si="4"/>
        <v>333110.34334435064</v>
      </c>
      <c r="I19" s="22">
        <f t="shared" si="4"/>
        <v>339772.55021123757</v>
      </c>
      <c r="J19" s="22">
        <f t="shared" si="4"/>
        <v>346568.00121546228</v>
      </c>
      <c r="K19" s="23">
        <f t="shared" si="4"/>
        <v>353499.36123977159</v>
      </c>
      <c r="N19" s="4046"/>
      <c r="O19" s="4048"/>
    </row>
    <row r="20" spans="1:19" ht="13.35" customHeight="1">
      <c r="A20" s="21" t="s">
        <v>597</v>
      </c>
      <c r="B20" s="22">
        <f>-('Part VI-Revenues &amp; Expenses'!$Q$227-'Part VI-Revenues &amp; Expenses'!$Q$219)</f>
        <v>-198227</v>
      </c>
      <c r="C20" s="22">
        <f t="shared" ref="C20:K20" si="5">$B$20*(1+$B$6)^(C13-1)</f>
        <v>-204173.81</v>
      </c>
      <c r="D20" s="22">
        <f t="shared" si="5"/>
        <v>-210299.02429999999</v>
      </c>
      <c r="E20" s="22">
        <f t="shared" si="5"/>
        <v>-216607.99502900001</v>
      </c>
      <c r="F20" s="22">
        <f t="shared" si="5"/>
        <v>-223106.23487987</v>
      </c>
      <c r="G20" s="22">
        <f t="shared" si="5"/>
        <v>-229799.42192626608</v>
      </c>
      <c r="H20" s="22">
        <f t="shared" si="5"/>
        <v>-236693.40458405408</v>
      </c>
      <c r="I20" s="22">
        <f t="shared" si="5"/>
        <v>-243794.2067215757</v>
      </c>
      <c r="J20" s="22">
        <f t="shared" si="5"/>
        <v>-251108.03292322296</v>
      </c>
      <c r="K20" s="23">
        <f t="shared" si="5"/>
        <v>-258641.27391091964</v>
      </c>
      <c r="N20" s="4046"/>
      <c r="O20" s="4048"/>
      <c r="Q20" s="62">
        <v>1</v>
      </c>
      <c r="R20" s="1043">
        <f>-B31</f>
        <v>9380</v>
      </c>
      <c r="S20" s="1043">
        <f>B32+R20</f>
        <v>57525.452000000048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-23040</v>
      </c>
      <c r="C21" s="22">
        <f>IF(AND('Part VII-Pro Forma'!$G$8="Yes",'Part VII-Pro Forma'!$G$9="Yes"),"Choose One!",IF('Part VII-Pro Forma'!$G$8="Yes",ROUND((-$K$8*(1+'Part VII-Pro Forma'!$B$6)^('Part VII-Pro Forma'!C13-1)),),IF('Part VII-Pro Forma'!$G$9="Yes",ROUND((-(SUM(C14:C17)*'Part VII-Pro Forma'!$K$9)),),"Choose mgt fee")))</f>
        <v>-23731</v>
      </c>
      <c r="D21" s="22">
        <f>IF(AND('Part VII-Pro Forma'!$G$8="Yes",'Part VII-Pro Forma'!$G$9="Yes"),"Choose One!",IF('Part VII-Pro Forma'!$G$8="Yes",ROUND((-$K$8*(1+'Part VII-Pro Forma'!$B$6)^('Part VII-Pro Forma'!D13-1)),),IF('Part VII-Pro Forma'!$G$9="Yes",ROUND((-(SUM(D14:D17)*'Part VII-Pro Forma'!$K$9)),),"Choose mgt fee")))</f>
        <v>-24443</v>
      </c>
      <c r="E21" s="22">
        <f>IF(AND('Part VII-Pro Forma'!$G$8="Yes",'Part VII-Pro Forma'!$G$9="Yes"),"Choose One!",IF('Part VII-Pro Forma'!$G$8="Yes",ROUND((-$K$8*(1+'Part VII-Pro Forma'!$B$6)^('Part VII-Pro Forma'!E13-1)),),IF('Part VII-Pro Forma'!$G$9="Yes",ROUND((-(SUM(E14:E17)*'Part VII-Pro Forma'!$K$9)),),"Choose mgt fee")))</f>
        <v>-25176</v>
      </c>
      <c r="F21" s="22">
        <f>IF(AND('Part VII-Pro Forma'!$G$8="Yes",'Part VII-Pro Forma'!$G$9="Yes"),"Choose One!",IF('Part VII-Pro Forma'!$G$8="Yes",ROUND((-$K$8*(1+'Part VII-Pro Forma'!$B$6)^('Part VII-Pro Forma'!F13-1)),),IF('Part VII-Pro Forma'!$G$9="Yes",ROUND((-(SUM(F14:F17)*'Part VII-Pro Forma'!$K$9)),),"Choose mgt fee")))</f>
        <v>-25932</v>
      </c>
      <c r="G21" s="22">
        <f>IF(AND('Part VII-Pro Forma'!$G$8="Yes",'Part VII-Pro Forma'!$G$9="Yes"),"Choose One!",IF('Part VII-Pro Forma'!$G$8="Yes",ROUND((-$K$8*(1+'Part VII-Pro Forma'!$B$6)^('Part VII-Pro Forma'!G13-1)),),IF('Part VII-Pro Forma'!$G$9="Yes",ROUND((-(SUM(G14:G17)*'Part VII-Pro Forma'!$K$9)),),"Choose mgt fee")))</f>
        <v>-26710</v>
      </c>
      <c r="H21" s="22">
        <f>IF(AND('Part VII-Pro Forma'!$G$8="Yes",'Part VII-Pro Forma'!$G$9="Yes"),"Choose One!",IF('Part VII-Pro Forma'!$G$8="Yes",ROUND((-$K$8*(1+'Part VII-Pro Forma'!$B$6)^('Part VII-Pro Forma'!H13-1)),),IF('Part VII-Pro Forma'!$G$9="Yes",ROUND((-(SUM(H14:H17)*'Part VII-Pro Forma'!$K$9)),),"Choose mgt fee")))</f>
        <v>-27511</v>
      </c>
      <c r="I21" s="22">
        <f>IF(AND('Part VII-Pro Forma'!$G$8="Yes",'Part VII-Pro Forma'!$G$9="Yes"),"Choose One!",IF('Part VII-Pro Forma'!$G$8="Yes",ROUND((-$K$8*(1+'Part VII-Pro Forma'!$B$6)^('Part VII-Pro Forma'!I13-1)),),IF('Part VII-Pro Forma'!$G$9="Yes",ROUND((-(SUM(I14:I17)*'Part VII-Pro Forma'!$K$9)),),"Choose mgt fee")))</f>
        <v>-28336</v>
      </c>
      <c r="J21" s="22">
        <f>IF(AND('Part VII-Pro Forma'!$G$8="Yes",'Part VII-Pro Forma'!$G$9="Yes"),"Choose One!",IF('Part VII-Pro Forma'!$G$8="Yes",ROUND((-$K$8*(1+'Part VII-Pro Forma'!$B$6)^('Part VII-Pro Forma'!J13-1)),),IF('Part VII-Pro Forma'!$G$9="Yes",ROUND((-(SUM(J14:J17)*'Part VII-Pro Forma'!$K$9)),),"Choose mgt fee")))</f>
        <v>-29186</v>
      </c>
      <c r="K21" s="23">
        <f>IF(AND('Part VII-Pro Forma'!$G$8="Yes",'Part VII-Pro Forma'!$G$9="Yes"),"Choose One!",IF('Part VII-Pro Forma'!$G$8="Yes",ROUND((-$K$8*(1+'Part VII-Pro Forma'!$B$6)^('Part VII-Pro Forma'!K13-1)),),IF('Part VII-Pro Forma'!$G$9="Yes",ROUND((-(SUM(K14:K17)*'Part VII-Pro Forma'!$K$9)),),"Choose mgt fee")))</f>
        <v>-30062</v>
      </c>
      <c r="N21" s="4046"/>
      <c r="O21" s="4048"/>
      <c r="Q21" s="62">
        <v>2</v>
      </c>
      <c r="R21" s="1043">
        <f>-SUM(B31:C31)</f>
        <v>9380</v>
      </c>
      <c r="S21" s="1043">
        <f>SUM(B32:C32)+R21</f>
        <v>113968.9430400001</v>
      </c>
    </row>
    <row r="22" spans="1:19" ht="13.35" customHeight="1">
      <c r="A22" s="21" t="s">
        <v>1176</v>
      </c>
      <c r="B22" s="22">
        <f>-('Part VI-Revenues &amp; Expenses'!$Q$233)</f>
        <v>-12000</v>
      </c>
      <c r="C22" s="22">
        <f t="shared" ref="C22:K22" si="6">$B$22*(1+$B$7)^(C13-1)</f>
        <v>-12360</v>
      </c>
      <c r="D22" s="22">
        <f t="shared" si="6"/>
        <v>-12730.8</v>
      </c>
      <c r="E22" s="22">
        <f t="shared" si="6"/>
        <v>-13112.724</v>
      </c>
      <c r="F22" s="22">
        <f t="shared" si="6"/>
        <v>-13506.10572</v>
      </c>
      <c r="G22" s="22">
        <f t="shared" si="6"/>
        <v>-13911.288891599997</v>
      </c>
      <c r="H22" s="22">
        <f t="shared" si="6"/>
        <v>-14328.627558347998</v>
      </c>
      <c r="I22" s="22">
        <f t="shared" si="6"/>
        <v>-14758.48638509844</v>
      </c>
      <c r="J22" s="22">
        <f t="shared" si="6"/>
        <v>-15201.240976651392</v>
      </c>
      <c r="K22" s="23">
        <f t="shared" si="6"/>
        <v>-15657.278205950934</v>
      </c>
      <c r="N22" s="4046"/>
      <c r="O22" s="4048"/>
      <c r="Q22" s="62">
        <v>3</v>
      </c>
      <c r="R22" s="1043">
        <f>-SUM(B31:D31)</f>
        <v>9380</v>
      </c>
      <c r="S22" s="1043">
        <f>SUM(B32:D32)+R22</f>
        <v>169238.58580080012</v>
      </c>
    </row>
    <row r="23" spans="1:19" ht="13.35" customHeight="1">
      <c r="A23" s="417" t="s">
        <v>4376</v>
      </c>
      <c r="B23" s="4158">
        <f>IF(B13&lt;=+'Part VI-Revenues &amp; Expenses'!$N$250,-'Part VI-Revenues &amp; Expenses'!$K$250,0)</f>
        <v>0</v>
      </c>
      <c r="C23" s="4158">
        <f>IF(C13&lt;=+'Part VI-Revenues &amp; Expenses'!$N$250,-'Part VI-Revenues &amp; Expenses'!$K$250,0)</f>
        <v>0</v>
      </c>
      <c r="D23" s="4158">
        <f>IF(D13&lt;=+'Part VI-Revenues &amp; Expenses'!$N$250,-'Part VI-Revenues &amp; Expenses'!$K$250,0)</f>
        <v>0</v>
      </c>
      <c r="E23" s="4158">
        <f>IF(E13&lt;=+'Part VI-Revenues &amp; Expenses'!$N$250,-'Part VI-Revenues &amp; Expenses'!$K$250,0)</f>
        <v>0</v>
      </c>
      <c r="F23" s="4158">
        <f>IF(F13&lt;=+'Part VI-Revenues &amp; Expenses'!$N$250,-'Part VI-Revenues &amp; Expenses'!$K$250,0)</f>
        <v>0</v>
      </c>
      <c r="G23" s="4158">
        <f>IF(G13&lt;=+'Part VI-Revenues &amp; Expenses'!$N$250,-'Part VI-Revenues &amp; Expenses'!$K$250,0)</f>
        <v>0</v>
      </c>
      <c r="H23" s="4158">
        <f>IF(H13&lt;=+'Part VI-Revenues &amp; Expenses'!$N$250,-'Part VI-Revenues &amp; Expenses'!$K$250,0)</f>
        <v>0</v>
      </c>
      <c r="I23" s="4158">
        <f>IF(I13&lt;=+'Part VI-Revenues &amp; Expenses'!$N$250,-'Part VI-Revenues &amp; Expenses'!$K$250,0)</f>
        <v>0</v>
      </c>
      <c r="J23" s="4158">
        <f>IF(J13&lt;=+'Part VI-Revenues &amp; Expenses'!$N$250,-'Part VI-Revenues &amp; Expenses'!$K$250,0)</f>
        <v>0</v>
      </c>
      <c r="K23" s="4158">
        <f>IF(K13&lt;=+'Part VI-Revenues &amp; Expenses'!$N$250,-'Part VI-Revenues &amp; Expenses'!$K$250,0)</f>
        <v>0</v>
      </c>
      <c r="N23" s="4046"/>
      <c r="O23" s="4048"/>
      <c r="Q23" s="929">
        <v>4</v>
      </c>
      <c r="R23" s="1043">
        <f>-SUM(B31:E31)</f>
        <v>9380</v>
      </c>
      <c r="S23" s="1043">
        <f>SUM(B32:E32)+R23</f>
        <v>223239.18317381607</v>
      </c>
    </row>
    <row r="24" spans="1:19" ht="13.35" customHeight="1">
      <c r="A24" s="21" t="s">
        <v>1177</v>
      </c>
      <c r="B24" s="22">
        <f>SUM(B19:B23)</f>
        <v>62525.452000000048</v>
      </c>
      <c r="C24" s="22">
        <f t="shared" ref="C24:J24" si="7">SUM(C19:C23)</f>
        <v>61443.491040000052</v>
      </c>
      <c r="D24" s="22">
        <f t="shared" si="7"/>
        <v>60269.642760800009</v>
      </c>
      <c r="E24" s="22">
        <f t="shared" si="7"/>
        <v>59000.59737301596</v>
      </c>
      <c r="F24" s="22">
        <f t="shared" si="7"/>
        <v>57630.922130186307</v>
      </c>
      <c r="G24" s="22">
        <f t="shared" si="7"/>
        <v>56158.057166791419</v>
      </c>
      <c r="H24" s="22">
        <f t="shared" si="7"/>
        <v>54577.311201948556</v>
      </c>
      <c r="I24" s="22">
        <f t="shared" si="7"/>
        <v>52883.857104563431</v>
      </c>
      <c r="J24" s="22">
        <f t="shared" si="7"/>
        <v>51072.727315587937</v>
      </c>
      <c r="K24" s="1482">
        <f>SUM(K19:K23)</f>
        <v>49138.809122901017</v>
      </c>
      <c r="N24" s="4046"/>
      <c r="O24" s="4048"/>
      <c r="Q24" s="929">
        <v>5</v>
      </c>
      <c r="R24" s="1043">
        <f>-SUM(B31:F31)</f>
        <v>9380</v>
      </c>
      <c r="S24" s="1043">
        <f>SUM(B32:F32)+R24</f>
        <v>275870.10530400235</v>
      </c>
    </row>
    <row r="25" spans="1:19" ht="13.35" customHeight="1">
      <c r="A25" s="417" t="s">
        <v>1558</v>
      </c>
      <c r="B25" s="4159">
        <f>IF('Part III-Sources of Funds'!$P$38="", 0,-'Part III-Sources of Funds'!$P$38)</f>
        <v>0</v>
      </c>
      <c r="C25" s="4159">
        <f>IF('Part III-Sources of Funds'!$P$38="", 0,-'Part III-Sources of Funds'!$P$38)</f>
        <v>0</v>
      </c>
      <c r="D25" s="4159">
        <f>IF('Part III-Sources of Funds'!$P$38="", 0,-'Part III-Sources of Funds'!$P$38)</f>
        <v>0</v>
      </c>
      <c r="E25" s="4159">
        <f>IF('Part III-Sources of Funds'!$P$38="", 0,-'Part III-Sources of Funds'!$P$38)</f>
        <v>0</v>
      </c>
      <c r="F25" s="4159">
        <f>IF('Part III-Sources of Funds'!$P$38="", 0,-'Part III-Sources of Funds'!$P$38)</f>
        <v>0</v>
      </c>
      <c r="G25" s="4159">
        <f>IF('Part III-Sources of Funds'!$P$38="", 0,-'Part III-Sources of Funds'!$P$38)</f>
        <v>0</v>
      </c>
      <c r="H25" s="4159">
        <f>IF('Part III-Sources of Funds'!$P$38="", 0,-'Part III-Sources of Funds'!$P$38)</f>
        <v>0</v>
      </c>
      <c r="I25" s="4159">
        <f>IF('Part III-Sources of Funds'!$P$38="", 0,-'Part III-Sources of Funds'!$P$38)</f>
        <v>0</v>
      </c>
      <c r="J25" s="4159">
        <f>IF('Part III-Sources of Funds'!$P$38="", 0,-'Part III-Sources of Funds'!$P$38)</f>
        <v>0</v>
      </c>
      <c r="K25" s="4159">
        <f>IF('Part III-Sources of Funds'!$P$38="", 0,-'Part III-Sources of Funds'!$P$38)</f>
        <v>0</v>
      </c>
      <c r="N25" s="4046"/>
      <c r="O25" s="4048"/>
      <c r="Q25" s="929">
        <v>6</v>
      </c>
      <c r="R25" s="1043">
        <f>-SUM(B31:G31)</f>
        <v>9380</v>
      </c>
      <c r="S25" s="1043">
        <f>SUM(B32:G32)+R25</f>
        <v>327028.16247079376</v>
      </c>
    </row>
    <row r="26" spans="1:19" ht="13.35" customHeight="1">
      <c r="A26" s="417" t="s">
        <v>1559</v>
      </c>
      <c r="B26" s="4160">
        <f>IF('Part III-Sources of Funds'!$P$39="", 0,-'Part III-Sources of Funds'!$P$39)</f>
        <v>0</v>
      </c>
      <c r="C26" s="4160">
        <f>IF('Part III-Sources of Funds'!$P$39="", 0,-'Part III-Sources of Funds'!$P$39)</f>
        <v>0</v>
      </c>
      <c r="D26" s="4160">
        <f>IF('Part III-Sources of Funds'!$P$39="", 0,-'Part III-Sources of Funds'!$P$39)</f>
        <v>0</v>
      </c>
      <c r="E26" s="4160">
        <f>IF('Part III-Sources of Funds'!$P$39="", 0,-'Part III-Sources of Funds'!$P$39)</f>
        <v>0</v>
      </c>
      <c r="F26" s="4160">
        <f>IF('Part III-Sources of Funds'!$P$39="", 0,-'Part III-Sources of Funds'!$P$39)</f>
        <v>0</v>
      </c>
      <c r="G26" s="4160">
        <f>IF('Part III-Sources of Funds'!$P$39="", 0,-'Part III-Sources of Funds'!$P$39)</f>
        <v>0</v>
      </c>
      <c r="H26" s="4160">
        <f>IF('Part III-Sources of Funds'!$P$39="", 0,-'Part III-Sources of Funds'!$P$39)</f>
        <v>0</v>
      </c>
      <c r="I26" s="4160">
        <f>IF('Part III-Sources of Funds'!$P$39="", 0,-'Part III-Sources of Funds'!$P$39)</f>
        <v>0</v>
      </c>
      <c r="J26" s="4160">
        <f>IF('Part III-Sources of Funds'!$P$39="", 0,-'Part III-Sources of Funds'!$P$39)</f>
        <v>0</v>
      </c>
      <c r="K26" s="4160">
        <f>IF('Part III-Sources of Funds'!$P$39="", 0,-'Part III-Sources of Funds'!$P$39)</f>
        <v>0</v>
      </c>
      <c r="N26" s="4046"/>
      <c r="O26" s="4048"/>
      <c r="Q26" s="929">
        <v>7</v>
      </c>
      <c r="R26" s="1043">
        <f>-SUM(B31:H31)</f>
        <v>9380</v>
      </c>
      <c r="S26" s="1043">
        <f>SUM(B32:H32)+R26</f>
        <v>376605.47367274232</v>
      </c>
    </row>
    <row r="27" spans="1:19" ht="13.35" customHeight="1">
      <c r="A27" s="417" t="s">
        <v>1560</v>
      </c>
      <c r="B27" s="4160">
        <f>IF('Part III-Sources of Funds'!$P$40="", 0,-'Part III-Sources of Funds'!$P$40)</f>
        <v>0</v>
      </c>
      <c r="C27" s="4160">
        <f>IF('Part III-Sources of Funds'!$P$40="", 0,-'Part III-Sources of Funds'!$P$40)</f>
        <v>0</v>
      </c>
      <c r="D27" s="4160">
        <f>IF('Part III-Sources of Funds'!$P$40="", 0,-'Part III-Sources of Funds'!$P$40)</f>
        <v>0</v>
      </c>
      <c r="E27" s="4160">
        <f>IF('Part III-Sources of Funds'!$P$40="", 0,-'Part III-Sources of Funds'!$P$40)</f>
        <v>0</v>
      </c>
      <c r="F27" s="4160">
        <f>IF('Part III-Sources of Funds'!$P$40="", 0,-'Part III-Sources of Funds'!$P$40)</f>
        <v>0</v>
      </c>
      <c r="G27" s="4160">
        <f>IF('Part III-Sources of Funds'!$P$40="", 0,-'Part III-Sources of Funds'!$P$40)</f>
        <v>0</v>
      </c>
      <c r="H27" s="4160">
        <f>IF('Part III-Sources of Funds'!$P$40="", 0,-'Part III-Sources of Funds'!$P$40)</f>
        <v>0</v>
      </c>
      <c r="I27" s="4160">
        <f>IF('Part III-Sources of Funds'!$P$40="", 0,-'Part III-Sources of Funds'!$P$40)</f>
        <v>0</v>
      </c>
      <c r="J27" s="4160">
        <f>IF('Part III-Sources of Funds'!$P$40="", 0,-'Part III-Sources of Funds'!$P$40)</f>
        <v>0</v>
      </c>
      <c r="K27" s="4160">
        <f>IF('Part III-Sources of Funds'!$P$40="", 0,-'Part III-Sources of Funds'!$P$40)</f>
        <v>0</v>
      </c>
      <c r="N27" s="4046"/>
      <c r="O27" s="4048"/>
      <c r="Q27" s="929">
        <v>8</v>
      </c>
      <c r="R27" s="1043">
        <f>-SUM(B31:I31)</f>
        <v>9380</v>
      </c>
      <c r="S27" s="1043">
        <f>SUM(B32:I32)+R27</f>
        <v>424489.33077730576</v>
      </c>
    </row>
    <row r="28" spans="1:19" ht="13.35" customHeight="1">
      <c r="A28" s="417" t="s">
        <v>3635</v>
      </c>
      <c r="B28" s="4160">
        <f>IF('Part III-Sources of Funds'!$P$41="", 0,-'Part III-Sources of Funds'!$P$41)</f>
        <v>0</v>
      </c>
      <c r="C28" s="4160">
        <f>IF('Part III-Sources of Funds'!$P$41="", 0,-'Part III-Sources of Funds'!$P$41)</f>
        <v>0</v>
      </c>
      <c r="D28" s="4160">
        <f>IF('Part III-Sources of Funds'!$P$41="", 0,-'Part III-Sources of Funds'!$P$41)</f>
        <v>0</v>
      </c>
      <c r="E28" s="4160">
        <f>IF('Part III-Sources of Funds'!$P$41="", 0,-'Part III-Sources of Funds'!$P$41)</f>
        <v>0</v>
      </c>
      <c r="F28" s="4160">
        <f>IF('Part III-Sources of Funds'!$P$41="", 0,-'Part III-Sources of Funds'!$P$41)</f>
        <v>0</v>
      </c>
      <c r="G28" s="4160">
        <f>IF('Part III-Sources of Funds'!$P$41="", 0,-'Part III-Sources of Funds'!$P$41)</f>
        <v>0</v>
      </c>
      <c r="H28" s="4160">
        <f>IF('Part III-Sources of Funds'!$P$41="", 0,-'Part III-Sources of Funds'!$P$41)</f>
        <v>0</v>
      </c>
      <c r="I28" s="4160">
        <f>IF('Part III-Sources of Funds'!$P$41="", 0,-'Part III-Sources of Funds'!$P$41)</f>
        <v>0</v>
      </c>
      <c r="J28" s="4160">
        <f>IF('Part III-Sources of Funds'!$P$41="", 0,-'Part III-Sources of Funds'!$P$41)</f>
        <v>0</v>
      </c>
      <c r="K28" s="4160">
        <f>IF('Part III-Sources of Funds'!$P$41="", 0,-'Part III-Sources of Funds'!$P$41)</f>
        <v>0</v>
      </c>
      <c r="N28" s="4046"/>
      <c r="O28" s="4048"/>
      <c r="Q28" s="929">
        <v>9</v>
      </c>
      <c r="R28" s="1043">
        <f>-SUM(B31:J31)</f>
        <v>9380</v>
      </c>
      <c r="S28" s="1043">
        <f>SUM(B32:J32)+R28</f>
        <v>470562.05809289368</v>
      </c>
    </row>
    <row r="29" spans="1:19" ht="13.35" customHeight="1">
      <c r="A29" s="21" t="s">
        <v>745</v>
      </c>
      <c r="B29" s="4161"/>
      <c r="C29" s="4161"/>
      <c r="D29" s="4161"/>
      <c r="E29" s="4161"/>
      <c r="F29" s="4161"/>
      <c r="G29" s="4161"/>
      <c r="H29" s="4161"/>
      <c r="I29" s="4161"/>
      <c r="J29" s="4161"/>
      <c r="K29" s="4161"/>
      <c r="N29" s="4046"/>
      <c r="O29" s="4048"/>
      <c r="Q29" s="929">
        <v>10</v>
      </c>
      <c r="R29" s="1043">
        <f>-SUM(B31:K31)</f>
        <v>9380</v>
      </c>
      <c r="S29" s="1043">
        <f>SUM(B32:K32)+R29</f>
        <v>514700.86721579469</v>
      </c>
    </row>
    <row r="30" spans="1:19" ht="13.35" customHeight="1">
      <c r="A30" s="417" t="s">
        <v>1141</v>
      </c>
      <c r="B30" s="4162">
        <f>-$G$5</f>
        <v>-5000</v>
      </c>
      <c r="C30" s="4162">
        <f t="shared" ref="C30:K30" si="8">+B30</f>
        <v>-5000</v>
      </c>
      <c r="D30" s="4162">
        <f t="shared" si="8"/>
        <v>-5000</v>
      </c>
      <c r="E30" s="4162">
        <f t="shared" si="8"/>
        <v>-5000</v>
      </c>
      <c r="F30" s="4162">
        <f t="shared" si="8"/>
        <v>-5000</v>
      </c>
      <c r="G30" s="4162">
        <f t="shared" si="8"/>
        <v>-5000</v>
      </c>
      <c r="H30" s="4162">
        <f t="shared" si="8"/>
        <v>-5000</v>
      </c>
      <c r="I30" s="4162">
        <f t="shared" si="8"/>
        <v>-5000</v>
      </c>
      <c r="J30" s="4162">
        <f t="shared" si="8"/>
        <v>-5000</v>
      </c>
      <c r="K30" s="4162">
        <f t="shared" si="8"/>
        <v>-5000</v>
      </c>
      <c r="N30" s="4046"/>
      <c r="O30" s="4048"/>
      <c r="Q30" s="929">
        <v>11</v>
      </c>
      <c r="R30" s="1043">
        <f>-SUM(B31:K31)-B63</f>
        <v>9380</v>
      </c>
      <c r="S30" s="1043">
        <f>SUM(B32:K32)+B64+R30</f>
        <v>556778.70699998492</v>
      </c>
    </row>
    <row r="31" spans="1:19" ht="13.35" customHeight="1">
      <c r="A31" s="417" t="s">
        <v>3770</v>
      </c>
      <c r="B31" s="4163">
        <v>-9380</v>
      </c>
      <c r="C31" s="4163">
        <f>IF('Part III-Sources of Funds'!$P$43="", 0,-'Part III-Sources of Funds'!$P$43)</f>
        <v>0</v>
      </c>
      <c r="D31" s="4163">
        <f>IF('Part III-Sources of Funds'!$P$43="", 0,-'Part III-Sources of Funds'!$P$43)</f>
        <v>0</v>
      </c>
      <c r="E31" s="4163">
        <f>IF('Part III-Sources of Funds'!$P$43="", 0,-'Part III-Sources of Funds'!$P$43)</f>
        <v>0</v>
      </c>
      <c r="F31" s="4163">
        <f>IF('Part III-Sources of Funds'!$P$43="", 0,-'Part III-Sources of Funds'!$P$43)</f>
        <v>0</v>
      </c>
      <c r="G31" s="4163">
        <f>IF('Part III-Sources of Funds'!$P$43="", 0,-'Part III-Sources of Funds'!$P$43)</f>
        <v>0</v>
      </c>
      <c r="H31" s="4163">
        <f>IF('Part III-Sources of Funds'!$P$43="", 0,-'Part III-Sources of Funds'!$P$43)</f>
        <v>0</v>
      </c>
      <c r="I31" s="4163">
        <f>IF('Part III-Sources of Funds'!$P$43="", 0,-'Part III-Sources of Funds'!$P$43)</f>
        <v>0</v>
      </c>
      <c r="J31" s="4163">
        <f>IF('Part III-Sources of Funds'!$P$43="", 0,-'Part III-Sources of Funds'!$P$43)</f>
        <v>0</v>
      </c>
      <c r="K31" s="4163">
        <f>IF('Part III-Sources of Funds'!$P$43="", 0,-'Part III-Sources of Funds'!$P$43)</f>
        <v>0</v>
      </c>
      <c r="N31" s="4046"/>
      <c r="O31" s="4048"/>
      <c r="Q31" s="929">
        <v>12</v>
      </c>
      <c r="R31" s="1043">
        <f>-SUM(B31:K31) - SUM(B63:C63)</f>
        <v>9380</v>
      </c>
      <c r="S31" s="1043">
        <f>SUM(B32:K32) + SUM(B64:C64)+R31</f>
        <v>596663.10849305533</v>
      </c>
    </row>
    <row r="32" spans="1:19" ht="13.35" customHeight="1">
      <c r="A32" s="21" t="s">
        <v>1142</v>
      </c>
      <c r="B32" s="22">
        <f t="shared" ref="B32:K32" si="9">SUM(B24:B31)</f>
        <v>48145.452000000048</v>
      </c>
      <c r="C32" s="22">
        <f t="shared" si="9"/>
        <v>56443.491040000052</v>
      </c>
      <c r="D32" s="22">
        <f t="shared" si="9"/>
        <v>55269.642760800009</v>
      </c>
      <c r="E32" s="22">
        <f t="shared" si="9"/>
        <v>54000.59737301596</v>
      </c>
      <c r="F32" s="22">
        <f t="shared" si="9"/>
        <v>52630.922130186307</v>
      </c>
      <c r="G32" s="22">
        <f t="shared" si="9"/>
        <v>51158.057166791419</v>
      </c>
      <c r="H32" s="22">
        <f t="shared" si="9"/>
        <v>49577.311201948556</v>
      </c>
      <c r="I32" s="22">
        <f t="shared" si="9"/>
        <v>47883.857104563431</v>
      </c>
      <c r="J32" s="22">
        <f t="shared" si="9"/>
        <v>46072.727315587937</v>
      </c>
      <c r="K32" s="23">
        <f t="shared" si="9"/>
        <v>44138.809122901017</v>
      </c>
      <c r="N32" s="4046"/>
      <c r="O32" s="4048"/>
      <c r="Q32" s="929">
        <v>13</v>
      </c>
      <c r="R32" s="1043">
        <f>-SUM(B31:K31) - SUM(B63:D63)</f>
        <v>9380</v>
      </c>
      <c r="S32" s="1043">
        <f>SUM(B32:K32) + SUM(B64:D64)+R32</f>
        <v>634216.02467657928</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4046"/>
      <c r="O33" s="4048"/>
      <c r="Q33" s="929">
        <v>14</v>
      </c>
      <c r="R33" s="1043">
        <f>-SUM(B31:K31) - SUM(B63:E63)</f>
        <v>9380</v>
      </c>
      <c r="S33" s="1043">
        <f>SUM(B32:K32) + SUM(B64:E64)+R33</f>
        <v>669294.66484418348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4046"/>
      <c r="O34" s="4048"/>
      <c r="Q34" s="929">
        <v>15</v>
      </c>
      <c r="R34" s="1043">
        <f>-SUM(B31:K31) - SUM(B63:F63)</f>
        <v>9380</v>
      </c>
      <c r="S34" s="1043">
        <f>SUM(B32:K32) + SUM(B64:F64)+R34</f>
        <v>701749.32344536204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4046"/>
      <c r="O35" s="4048"/>
      <c r="Q35" s="62">
        <v>16</v>
      </c>
      <c r="R35" s="1043">
        <f>-SUM(B31:K31) - SUM(B63:G63)</f>
        <v>9380</v>
      </c>
      <c r="S35" s="1043">
        <f>SUM(B32:K32) + SUM(B64:G64)+R35</f>
        <v>731424.20321769291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4046"/>
      <c r="O36" s="4048"/>
      <c r="Q36" s="62">
        <v>17</v>
      </c>
      <c r="R36" s="1043">
        <f>-SUM(B31:K31) - SUM(B63:H63)</f>
        <v>9380</v>
      </c>
      <c r="S36" s="1043">
        <f>SUM(B32:K32) + SUM(B64:H64)+R36</f>
        <v>758159.23242457316</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4046"/>
      <c r="O37" s="4048"/>
      <c r="Q37" s="62">
        <v>18</v>
      </c>
      <c r="R37" s="1043">
        <f>-SUM(B31:K31) - SUM(B63:I63)</f>
        <v>9380</v>
      </c>
      <c r="S37" s="1043">
        <f>SUM(B32:K32) + SUM(B64:I64)+R37</f>
        <v>781784.87600986706</v>
      </c>
    </row>
    <row r="38" spans="1:19" ht="13.35" customHeight="1">
      <c r="A38" s="21" t="s">
        <v>752</v>
      </c>
      <c r="B38" s="265">
        <f t="shared" ref="B38:K38" si="15">IF(OR(B21="Choose mgt fee",B21="Choose One!"),"",(B14+B15+B16+B17+B18) / -(B20+B21+B22))</f>
        <v>1.2680424234889636</v>
      </c>
      <c r="C38" s="265">
        <f t="shared" si="15"/>
        <v>1.2557323772882099</v>
      </c>
      <c r="D38" s="265">
        <f t="shared" si="15"/>
        <v>1.2435404490625519</v>
      </c>
      <c r="E38" s="265">
        <f t="shared" si="15"/>
        <v>1.2314686418788443</v>
      </c>
      <c r="F38" s="265">
        <f t="shared" si="15"/>
        <v>1.219509291262989</v>
      </c>
      <c r="G38" s="265">
        <f t="shared" si="15"/>
        <v>1.2076692165956735</v>
      </c>
      <c r="H38" s="265">
        <f t="shared" si="15"/>
        <v>1.1959455608627616</v>
      </c>
      <c r="I38" s="265">
        <f t="shared" si="15"/>
        <v>1.184335801219254</v>
      </c>
      <c r="J38" s="265">
        <f t="shared" si="15"/>
        <v>1.1728377129066823</v>
      </c>
      <c r="K38" s="266">
        <f t="shared" si="15"/>
        <v>1.1614493362596883</v>
      </c>
      <c r="N38" s="4046"/>
      <c r="O38" s="4048"/>
      <c r="Q38" s="929">
        <v>19</v>
      </c>
      <c r="R38" s="1043">
        <f>-SUM(B31:K31) - SUM(B63:J63)</f>
        <v>9380</v>
      </c>
      <c r="S38" s="1043">
        <f>SUM(B32:K32) + SUM(B64:J64)+R38</f>
        <v>802127.94047497062</v>
      </c>
    </row>
    <row r="39" spans="1:19" ht="13.35" customHeight="1">
      <c r="A39" s="417" t="s">
        <v>2549</v>
      </c>
      <c r="B39" s="4164" t="str">
        <f>IF('Part III-Sources of Funds'!$I$38="","",-FV('Part III-Sources of Funds'!$K$38/12,12,B25/12,'Part III-Sources of Funds'!$I$38))</f>
        <v/>
      </c>
      <c r="C39" s="4164" t="str">
        <f>IF('Part III-Sources of Funds'!$I$38="","",-FV('Part III-Sources of Funds'!$K$38/12,12,C25/12,B39))</f>
        <v/>
      </c>
      <c r="D39" s="4164" t="str">
        <f>IF('Part III-Sources of Funds'!$I$38="","",-FV('Part III-Sources of Funds'!$K$38/12,12,D25/12,C39))</f>
        <v/>
      </c>
      <c r="E39" s="4164" t="str">
        <f>IF('Part III-Sources of Funds'!$I$38="","",-FV('Part III-Sources of Funds'!$K$38/12,12,E25/12,D39))</f>
        <v/>
      </c>
      <c r="F39" s="4164" t="str">
        <f>IF('Part III-Sources of Funds'!$I$38="","",-FV('Part III-Sources of Funds'!$K$38/12,12,F25/12,E39))</f>
        <v/>
      </c>
      <c r="G39" s="4164" t="str">
        <f>IF('Part III-Sources of Funds'!$I$38="","",-FV('Part III-Sources of Funds'!$K$38/12,12,G25/12,F39))</f>
        <v/>
      </c>
      <c r="H39" s="4164" t="str">
        <f>IF('Part III-Sources of Funds'!$I$38="","",-FV('Part III-Sources of Funds'!$K$38/12,12,H25/12,G39))</f>
        <v/>
      </c>
      <c r="I39" s="4164" t="str">
        <f>IF('Part III-Sources of Funds'!$I$38="","",-FV('Part III-Sources of Funds'!$K$38/12,12,I25/12,H39))</f>
        <v/>
      </c>
      <c r="J39" s="4164" t="str">
        <f>IF('Part III-Sources of Funds'!$I$38="","",-FV('Part III-Sources of Funds'!$K$38/12,12,J25/12,I39))</f>
        <v/>
      </c>
      <c r="K39" s="4164" t="str">
        <f>IF('Part III-Sources of Funds'!$I$38="","",-FV('Part III-Sources of Funds'!$K$38/12,12,K25/12,J39))</f>
        <v/>
      </c>
      <c r="N39" s="4046"/>
      <c r="O39" s="4048"/>
      <c r="Q39" s="929">
        <v>20</v>
      </c>
      <c r="R39" s="1043">
        <f>-SUM(B31:K31) - SUM(B63:K63)</f>
        <v>9380</v>
      </c>
      <c r="S39" s="1043">
        <f>SUM(B32:K32) + SUM(B64:K64)+R39</f>
        <v>819006.37227772351</v>
      </c>
    </row>
    <row r="40" spans="1:19" ht="13.35" customHeight="1">
      <c r="A40" s="417" t="s">
        <v>2550</v>
      </c>
      <c r="B40" s="4160" t="str">
        <f>IF('Part III-Sources of Funds'!$I$39="","",-FV('Part III-Sources of Funds'!$K$39/12,12,B26/12,'Part III-Sources of Funds'!$I$39))</f>
        <v/>
      </c>
      <c r="C40" s="4160" t="str">
        <f>IF('Part III-Sources of Funds'!$I$39="","",-FV('Part III-Sources of Funds'!$K$39/12,12,C26/12,B40))</f>
        <v/>
      </c>
      <c r="D40" s="4160" t="str">
        <f>IF('Part III-Sources of Funds'!$I$39="","",-FV('Part III-Sources of Funds'!$K$39/12,12,D26/12,C40))</f>
        <v/>
      </c>
      <c r="E40" s="4160" t="str">
        <f>IF('Part III-Sources of Funds'!$I$39="","",-FV('Part III-Sources of Funds'!$K$39/12,12,E26/12,D40))</f>
        <v/>
      </c>
      <c r="F40" s="4160" t="str">
        <f>IF('Part III-Sources of Funds'!$I$39="","",-FV('Part III-Sources of Funds'!$K$39/12,12,F26/12,E40))</f>
        <v/>
      </c>
      <c r="G40" s="4160" t="str">
        <f>IF('Part III-Sources of Funds'!$I$39="","",-FV('Part III-Sources of Funds'!$K$39/12,12,G26/12,F40))</f>
        <v/>
      </c>
      <c r="H40" s="4160" t="str">
        <f>IF('Part III-Sources of Funds'!$I$39="","",-FV('Part III-Sources of Funds'!$K$39/12,12,H26/12,G40))</f>
        <v/>
      </c>
      <c r="I40" s="4160" t="str">
        <f>IF('Part III-Sources of Funds'!$I$39="","",-FV('Part III-Sources of Funds'!$K$39/12,12,I26/12,H40))</f>
        <v/>
      </c>
      <c r="J40" s="4160" t="str">
        <f>IF('Part III-Sources of Funds'!$I$39="","",-FV('Part III-Sources of Funds'!$K$39/12,12,J26/12,I40))</f>
        <v/>
      </c>
      <c r="K40" s="4160" t="str">
        <f>IF('Part III-Sources of Funds'!$I$39="","",-FV('Part III-Sources of Funds'!$K$39/12,12,K26/12,J40))</f>
        <v/>
      </c>
      <c r="N40" s="4046"/>
      <c r="O40" s="4048"/>
    </row>
    <row r="41" spans="1:19" ht="13.35" customHeight="1">
      <c r="A41" s="417" t="s">
        <v>2551</v>
      </c>
      <c r="B41" s="4160" t="str">
        <f>IF('Part III-Sources of Funds'!$I$40="","",-FV('Part III-Sources of Funds'!$K$40/12,12,B27/12,'Part III-Sources of Funds'!$I$40))</f>
        <v/>
      </c>
      <c r="C41" s="4160" t="str">
        <f>IF('Part III-Sources of Funds'!$I$40="","",-FV('Part III-Sources of Funds'!$K$40/12,12,C27/12,B41))</f>
        <v/>
      </c>
      <c r="D41" s="4160" t="str">
        <f>IF('Part III-Sources of Funds'!$I$40="","",-FV('Part III-Sources of Funds'!$K$40/12,12,D27/12,C41))</f>
        <v/>
      </c>
      <c r="E41" s="4160" t="str">
        <f>IF('Part III-Sources of Funds'!$I$40="","",-FV('Part III-Sources of Funds'!$K$40/12,12,E27/12,D41))</f>
        <v/>
      </c>
      <c r="F41" s="4160" t="str">
        <f>IF('Part III-Sources of Funds'!$I$40="","",-FV('Part III-Sources of Funds'!$K$40/12,12,F27/12,E41))</f>
        <v/>
      </c>
      <c r="G41" s="4160" t="str">
        <f>IF('Part III-Sources of Funds'!$I$40="","",-FV('Part III-Sources of Funds'!$K$40/12,12,G27/12,F41))</f>
        <v/>
      </c>
      <c r="H41" s="4160" t="str">
        <f>IF('Part III-Sources of Funds'!$I$40="","",-FV('Part III-Sources of Funds'!$K$40/12,12,H27/12,G41))</f>
        <v/>
      </c>
      <c r="I41" s="4160" t="str">
        <f>IF('Part III-Sources of Funds'!$I$40="","",-FV('Part III-Sources of Funds'!$K$40/12,12,I27/12,H41))</f>
        <v/>
      </c>
      <c r="J41" s="4160" t="str">
        <f>IF('Part III-Sources of Funds'!$I$40="","",-FV('Part III-Sources of Funds'!$K$40/12,12,J27/12,I41))</f>
        <v/>
      </c>
      <c r="K41" s="4160" t="str">
        <f>IF('Part III-Sources of Funds'!$I$40="","",-FV('Part III-Sources of Funds'!$K$40/12,12,K27/12,J41))</f>
        <v/>
      </c>
      <c r="N41" s="4046"/>
      <c r="O41" s="4048"/>
    </row>
    <row r="42" spans="1:19" ht="13.35" customHeight="1">
      <c r="A42" s="21" t="s">
        <v>764</v>
      </c>
      <c r="B42" s="4160" t="str">
        <f>IF('Part III-Sources of Funds'!$I$41="","",-FV('Part III-Sources of Funds'!$K$41/12,12,B28/12,'Part III-Sources of Funds'!$I$41))</f>
        <v/>
      </c>
      <c r="C42" s="4160" t="str">
        <f>IF('Part III-Sources of Funds'!$I$41="","",-FV('Part III-Sources of Funds'!$K$41/12,12,C28/12,B42))</f>
        <v/>
      </c>
      <c r="D42" s="4160" t="str">
        <f>IF('Part III-Sources of Funds'!$I$41="","",-FV('Part III-Sources of Funds'!$K$41/12,12,D28/12,C42))</f>
        <v/>
      </c>
      <c r="E42" s="4160" t="str">
        <f>IF('Part III-Sources of Funds'!$I$41="","",-FV('Part III-Sources of Funds'!$K$41/12,12,E28/12,D42))</f>
        <v/>
      </c>
      <c r="F42" s="4160" t="str">
        <f>IF('Part III-Sources of Funds'!$I$41="","",-FV('Part III-Sources of Funds'!$K$41/12,12,F28/12,E42))</f>
        <v/>
      </c>
      <c r="G42" s="4160" t="str">
        <f>IF('Part III-Sources of Funds'!$I$41="","",-FV('Part III-Sources of Funds'!$K$41/12,12,G28/12,F42))</f>
        <v/>
      </c>
      <c r="H42" s="4160" t="str">
        <f>IF('Part III-Sources of Funds'!$I$41="","",-FV('Part III-Sources of Funds'!$K$41/12,12,H28/12,G42))</f>
        <v/>
      </c>
      <c r="I42" s="4160" t="str">
        <f>IF('Part III-Sources of Funds'!$I$41="","",-FV('Part III-Sources of Funds'!$K$41/12,12,I28/12,H42))</f>
        <v/>
      </c>
      <c r="J42" s="4160" t="str">
        <f>IF('Part III-Sources of Funds'!$I$41="","",-FV('Part III-Sources of Funds'!$K$41/12,12,J28/12,I42))</f>
        <v/>
      </c>
      <c r="K42" s="4160" t="str">
        <f>IF('Part III-Sources of Funds'!$I$41="","",-FV('Part III-Sources of Funds'!$K$41/12,12,K28/12,J42))</f>
        <v/>
      </c>
      <c r="N42" s="4046"/>
      <c r="O42" s="4048"/>
    </row>
    <row r="43" spans="1:19" ht="13.35" customHeight="1">
      <c r="A43" s="417" t="s">
        <v>3771</v>
      </c>
      <c r="B43" s="4163">
        <f>IF('Part III-Sources of Funds'!$I$43="","",-FV('Part III-Sources of Funds'!$K$43/12,12,B31/12,'Part III-Sources of Funds'!$I$43))</f>
        <v>0</v>
      </c>
      <c r="C43" s="4163">
        <f>IF('Part III-Sources of Funds'!$I$43="","",IF(-FV('Part III-Sources of Funds'!$K$43/12,12,C31/12,B43)&gt;0,-FV('Part III-Sources of Funds'!$K$43/12,12,C31/12,B43),0))</f>
        <v>0</v>
      </c>
      <c r="D43" s="4163">
        <f>IF('Part III-Sources of Funds'!$I$43="","",IF(-FV('Part III-Sources of Funds'!$K$43/12,12,D31/12,C43)&gt;0,-FV('Part III-Sources of Funds'!$K$43/12,12,D31/12,C43),0))</f>
        <v>0</v>
      </c>
      <c r="E43" s="4163">
        <f>IF('Part III-Sources of Funds'!$I$43="","",IF(-FV('Part III-Sources of Funds'!$K$43/12,12,E31/12,D43)&gt;0,-FV('Part III-Sources of Funds'!$K$43/12,12,E31/12,D43),0))</f>
        <v>0</v>
      </c>
      <c r="F43" s="4163">
        <f>IF('Part III-Sources of Funds'!$I$43="","",IF(-FV('Part III-Sources of Funds'!$K$43/12,12,F31/12,E43)&gt;0,-FV('Part III-Sources of Funds'!$K$43/12,12,F31/12,E43),0))</f>
        <v>0</v>
      </c>
      <c r="G43" s="4163">
        <f>IF('Part III-Sources of Funds'!$I$43="","",IF(-FV('Part III-Sources of Funds'!$K$43/12,12,G31/12,F43)&gt;0,-FV('Part III-Sources of Funds'!$K$43/12,12,G31/12,F43),0))</f>
        <v>0</v>
      </c>
      <c r="H43" s="4163">
        <f>IF('Part III-Sources of Funds'!$I$43="","",IF(-FV('Part III-Sources of Funds'!$K$43/12,12,H31/12,G43)&gt;0,-FV('Part III-Sources of Funds'!$K$43/12,12,H31/12,G43),0))</f>
        <v>0</v>
      </c>
      <c r="I43" s="4163">
        <f>IF('Part III-Sources of Funds'!$I$43="","",IF(-FV('Part III-Sources of Funds'!$K$43/12,12,I31/12,H43)&gt;0,-FV('Part III-Sources of Funds'!$K$43/12,12,I31/12,H43),0))</f>
        <v>0</v>
      </c>
      <c r="J43" s="4163">
        <f>IF('Part III-Sources of Funds'!$I$43="","",IF(-FV('Part III-Sources of Funds'!$K$43/12,12,J31/12,I43)&gt;0,-FV('Part III-Sources of Funds'!$K$43/12,12,J31/12,I43),0))</f>
        <v>0</v>
      </c>
      <c r="K43" s="4163">
        <f>IF('Part III-Sources of Funds'!$I$43="","",IF(-FV('Part III-Sources of Funds'!$K$43/12,12,K31/12,J43)&gt;0,-FV('Part III-Sources of Funds'!$K$43/12,12,K31/12,J43),0))</f>
        <v>0</v>
      </c>
      <c r="N43" s="4077"/>
      <c r="O43" s="4079"/>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2553</v>
      </c>
      <c r="O45" s="2509"/>
    </row>
    <row r="46" spans="1:19" ht="13.35" customHeight="1">
      <c r="A46" s="18" t="s">
        <v>2341</v>
      </c>
      <c r="B46" s="19">
        <f t="shared" ref="B46:K46" si="17">$B$14*(1+$B$5)^(B45-1)</f>
        <v>380106.84004276514</v>
      </c>
      <c r="C46" s="19">
        <f t="shared" si="17"/>
        <v>387708.97684362042</v>
      </c>
      <c r="D46" s="19">
        <f t="shared" si="17"/>
        <v>395463.15638049284</v>
      </c>
      <c r="E46" s="19">
        <f t="shared" si="17"/>
        <v>403372.4195081027</v>
      </c>
      <c r="F46" s="19">
        <f t="shared" si="17"/>
        <v>411439.86789826478</v>
      </c>
      <c r="G46" s="19">
        <f t="shared" si="17"/>
        <v>419668.66525622999</v>
      </c>
      <c r="H46" s="19">
        <f t="shared" si="17"/>
        <v>428062.03856135462</v>
      </c>
      <c r="I46" s="19">
        <f t="shared" si="17"/>
        <v>436623.27933258179</v>
      </c>
      <c r="J46" s="19">
        <f t="shared" si="17"/>
        <v>445355.74491923337</v>
      </c>
      <c r="K46" s="20">
        <f t="shared" si="17"/>
        <v>454262.85981761804</v>
      </c>
      <c r="N46" s="4084"/>
      <c r="O46" s="4086"/>
    </row>
    <row r="47" spans="1:19" ht="13.35" customHeight="1">
      <c r="A47" s="21" t="s">
        <v>994</v>
      </c>
      <c r="B47" s="22">
        <f t="shared" ref="B47:K47" si="18">$B$15*(1+$B$5)^(B45-1)</f>
        <v>7602.1368008553036</v>
      </c>
      <c r="C47" s="22">
        <f t="shared" si="18"/>
        <v>7754.1795368724088</v>
      </c>
      <c r="D47" s="22">
        <f t="shared" si="18"/>
        <v>7909.2631276098582</v>
      </c>
      <c r="E47" s="22">
        <f t="shared" si="18"/>
        <v>8067.4483901620542</v>
      </c>
      <c r="F47" s="22">
        <f t="shared" si="18"/>
        <v>8228.7973579652971</v>
      </c>
      <c r="G47" s="22">
        <f t="shared" si="18"/>
        <v>8393.3733051245999</v>
      </c>
      <c r="H47" s="22">
        <f t="shared" si="18"/>
        <v>8561.2407712270942</v>
      </c>
      <c r="I47" s="22">
        <f t="shared" si="18"/>
        <v>8732.4655866516368</v>
      </c>
      <c r="J47" s="22">
        <f t="shared" si="18"/>
        <v>8907.1148983846688</v>
      </c>
      <c r="K47" s="23">
        <f t="shared" si="18"/>
        <v>9085.2571963523606</v>
      </c>
      <c r="N47" s="4046"/>
      <c r="O47" s="4048"/>
    </row>
    <row r="48" spans="1:19" ht="13.35" customHeight="1">
      <c r="A48" s="21" t="s">
        <v>2342</v>
      </c>
      <c r="B48" s="22">
        <f t="shared" ref="B48:K48" si="19">-(B46+B47)*$B$8</f>
        <v>-27139.628379053433</v>
      </c>
      <c r="C48" s="22">
        <f t="shared" si="19"/>
        <v>-27682.420946634502</v>
      </c>
      <c r="D48" s="22">
        <f t="shared" si="19"/>
        <v>-28236.069365567193</v>
      </c>
      <c r="E48" s="22">
        <f t="shared" si="19"/>
        <v>-28800.790752878533</v>
      </c>
      <c r="F48" s="22">
        <f t="shared" si="19"/>
        <v>-29376.80656793611</v>
      </c>
      <c r="G48" s="22">
        <f t="shared" si="19"/>
        <v>-29964.342699294823</v>
      </c>
      <c r="H48" s="22">
        <f t="shared" si="19"/>
        <v>-30563.629553280723</v>
      </c>
      <c r="I48" s="22">
        <f t="shared" si="19"/>
        <v>-31174.902144346343</v>
      </c>
      <c r="J48" s="22">
        <f t="shared" si="19"/>
        <v>-31798.400187233266</v>
      </c>
      <c r="K48" s="23">
        <f t="shared" si="19"/>
        <v>-32434.36819097793</v>
      </c>
      <c r="N48" s="4046"/>
      <c r="O48" s="404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46"/>
      <c r="O49" s="404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46"/>
      <c r="O50" s="4048"/>
    </row>
    <row r="51" spans="1:19" ht="13.35" customHeight="1">
      <c r="A51" s="417" t="s">
        <v>4377</v>
      </c>
      <c r="B51" s="22">
        <f t="shared" ref="B51:K51" si="20">SUM(B46:B50)</f>
        <v>360569.34846456698</v>
      </c>
      <c r="C51" s="22">
        <f t="shared" si="20"/>
        <v>367780.73543385835</v>
      </c>
      <c r="D51" s="22">
        <f t="shared" si="20"/>
        <v>375136.35014253552</v>
      </c>
      <c r="E51" s="22">
        <f t="shared" si="20"/>
        <v>382639.0771453862</v>
      </c>
      <c r="F51" s="22">
        <f t="shared" si="20"/>
        <v>390291.85868829401</v>
      </c>
      <c r="G51" s="22">
        <f t="shared" si="20"/>
        <v>398097.69586205971</v>
      </c>
      <c r="H51" s="22">
        <f t="shared" si="20"/>
        <v>406059.64977930102</v>
      </c>
      <c r="I51" s="22">
        <f t="shared" si="20"/>
        <v>414180.8427748871</v>
      </c>
      <c r="J51" s="22">
        <f t="shared" si="20"/>
        <v>422464.45963038475</v>
      </c>
      <c r="K51" s="23">
        <f t="shared" si="20"/>
        <v>430913.74882299243</v>
      </c>
      <c r="N51" s="4046"/>
      <c r="O51" s="4048"/>
    </row>
    <row r="52" spans="1:19" ht="13.35" customHeight="1">
      <c r="A52" s="21" t="s">
        <v>597</v>
      </c>
      <c r="B52" s="22">
        <f t="shared" ref="B52:K52" si="21">$B$20*(1+$B$6)^(B45-1)</f>
        <v>-266400.51212824724</v>
      </c>
      <c r="C52" s="22">
        <f t="shared" si="21"/>
        <v>-274392.52749209467</v>
      </c>
      <c r="D52" s="22">
        <f t="shared" si="21"/>
        <v>-282624.30331685743</v>
      </c>
      <c r="E52" s="22">
        <f t="shared" si="21"/>
        <v>-291103.03241636319</v>
      </c>
      <c r="F52" s="22">
        <f t="shared" si="21"/>
        <v>-299836.12338885409</v>
      </c>
      <c r="G52" s="22">
        <f t="shared" si="21"/>
        <v>-308831.20709051972</v>
      </c>
      <c r="H52" s="22">
        <f t="shared" si="21"/>
        <v>-318096.14330323529</v>
      </c>
      <c r="I52" s="22">
        <f t="shared" si="21"/>
        <v>-327639.02760233229</v>
      </c>
      <c r="J52" s="22">
        <f t="shared" si="21"/>
        <v>-337468.19843040232</v>
      </c>
      <c r="K52" s="23">
        <f t="shared" si="21"/>
        <v>-347592.24438331433</v>
      </c>
      <c r="N52" s="4046"/>
      <c r="O52" s="404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-30964</v>
      </c>
      <c r="C53" s="22">
        <f>IF(AND('Part VII-Pro Forma'!$G$8="Yes",'Part VII-Pro Forma'!$G$9="Yes"),"Choose One!",IF('Part VII-Pro Forma'!$G$8="Yes",ROUND((-$K$8*(1+'Part VII-Pro Forma'!$B$6)^('Part VII-Pro Forma'!C45-1)),),IF('Part VII-Pro Forma'!$G$9="Yes",ROUND((-(SUM(C46:C49)*'Part VII-Pro Forma'!$K$9)),),"Choose mgt fee")))</f>
        <v>-31893</v>
      </c>
      <c r="D53" s="22">
        <f>IF(AND('Part VII-Pro Forma'!$G$8="Yes",'Part VII-Pro Forma'!$G$9="Yes"),"Choose One!",IF('Part VII-Pro Forma'!$G$8="Yes",ROUND((-$K$8*(1+'Part VII-Pro Forma'!$B$6)^('Part VII-Pro Forma'!D45-1)),),IF('Part VII-Pro Forma'!$G$9="Yes",ROUND((-(SUM(D46:D49)*'Part VII-Pro Forma'!$K$9)),),"Choose mgt fee")))</f>
        <v>-32850</v>
      </c>
      <c r="E53" s="22">
        <f>IF(AND('Part VII-Pro Forma'!$G$8="Yes",'Part VII-Pro Forma'!$G$9="Yes"),"Choose One!",IF('Part VII-Pro Forma'!$G$8="Yes",ROUND((-$K$8*(1+'Part VII-Pro Forma'!$B$6)^('Part VII-Pro Forma'!E45-1)),),IF('Part VII-Pro Forma'!$G$9="Yes",ROUND((-(SUM(E46:E49)*'Part VII-Pro Forma'!$K$9)),),"Choose mgt fee")))</f>
        <v>-33835</v>
      </c>
      <c r="F53" s="22">
        <f>IF(AND('Part VII-Pro Forma'!$G$8="Yes",'Part VII-Pro Forma'!$G$9="Yes"),"Choose One!",IF('Part VII-Pro Forma'!$G$8="Yes",ROUND((-$K$8*(1+'Part VII-Pro Forma'!$B$6)^('Part VII-Pro Forma'!F45-1)),),IF('Part VII-Pro Forma'!$G$9="Yes",ROUND((-(SUM(F46:F49)*'Part VII-Pro Forma'!$K$9)),),"Choose mgt fee")))</f>
        <v>-34850</v>
      </c>
      <c r="G53" s="22">
        <f>IF(AND('Part VII-Pro Forma'!$G$8="Yes",'Part VII-Pro Forma'!$G$9="Yes"),"Choose One!",IF('Part VII-Pro Forma'!$G$8="Yes",ROUND((-$K$8*(1+'Part VII-Pro Forma'!$B$6)^('Part VII-Pro Forma'!G45-1)),),IF('Part VII-Pro Forma'!$G$9="Yes",ROUND((-(SUM(G46:G49)*'Part VII-Pro Forma'!$K$9)),),"Choose mgt fee")))</f>
        <v>-35896</v>
      </c>
      <c r="H53" s="22">
        <f>IF(AND('Part VII-Pro Forma'!$G$8="Yes",'Part VII-Pro Forma'!$G$9="Yes"),"Choose One!",IF('Part VII-Pro Forma'!$G$8="Yes",ROUND((-$K$8*(1+'Part VII-Pro Forma'!$B$6)^('Part VII-Pro Forma'!H45-1)),),IF('Part VII-Pro Forma'!$G$9="Yes",ROUND((-(SUM(H46:H49)*'Part VII-Pro Forma'!$K$9)),),"Choose mgt fee")))</f>
        <v>-36972</v>
      </c>
      <c r="I53" s="22">
        <f>IF(AND('Part VII-Pro Forma'!$G$8="Yes",'Part VII-Pro Forma'!$G$9="Yes"),"Choose One!",IF('Part VII-Pro Forma'!$G$8="Yes",ROUND((-$K$8*(1+'Part VII-Pro Forma'!$B$6)^('Part VII-Pro Forma'!I45-1)),),IF('Part VII-Pro Forma'!$G$9="Yes",ROUND((-(SUM(I46:I49)*'Part VII-Pro Forma'!$K$9)),),"Choose mgt fee")))</f>
        <v>-38082</v>
      </c>
      <c r="J53" s="22">
        <f>IF(AND('Part VII-Pro Forma'!$G$8="Yes",'Part VII-Pro Forma'!$G$9="Yes"),"Choose One!",IF('Part VII-Pro Forma'!$G$8="Yes",ROUND((-$K$8*(1+'Part VII-Pro Forma'!$B$6)^('Part VII-Pro Forma'!J45-1)),),IF('Part VII-Pro Forma'!$G$9="Yes",ROUND((-(SUM(J46:J49)*'Part VII-Pro Forma'!$K$9)),),"Choose mgt fee")))</f>
        <v>-39224</v>
      </c>
      <c r="K53" s="23">
        <f>IF(AND('Part VII-Pro Forma'!$G$8="Yes",'Part VII-Pro Forma'!$G$9="Yes"),"Choose One!",IF('Part VII-Pro Forma'!$G$8="Yes",ROUND((-$K$8*(1+'Part VII-Pro Forma'!$B$6)^('Part VII-Pro Forma'!K45-1)),),IF('Part VII-Pro Forma'!$G$9="Yes",ROUND((-(SUM(K46:K49)*'Part VII-Pro Forma'!$K$9)),),"Choose mgt fee")))</f>
        <v>-40401</v>
      </c>
      <c r="N53" s="4046"/>
      <c r="O53" s="4048"/>
    </row>
    <row r="54" spans="1:19" ht="13.35" customHeight="1">
      <c r="A54" s="21" t="s">
        <v>1176</v>
      </c>
      <c r="B54" s="22">
        <f t="shared" ref="B54:K54" si="22">$B$22*(1+$B$7)^(B45-1)</f>
        <v>-16126.996552129462</v>
      </c>
      <c r="C54" s="22">
        <f t="shared" si="22"/>
        <v>-16610.806448693347</v>
      </c>
      <c r="D54" s="22">
        <f t="shared" si="22"/>
        <v>-17109.130642154145</v>
      </c>
      <c r="E54" s="22">
        <f t="shared" si="22"/>
        <v>-17622.404561418767</v>
      </c>
      <c r="F54" s="22">
        <f t="shared" si="22"/>
        <v>-18151.076698261331</v>
      </c>
      <c r="G54" s="22">
        <f t="shared" si="22"/>
        <v>-18695.608999209173</v>
      </c>
      <c r="H54" s="22">
        <f t="shared" si="22"/>
        <v>-19256.477269185445</v>
      </c>
      <c r="I54" s="22">
        <f t="shared" si="22"/>
        <v>-19834.171587261008</v>
      </c>
      <c r="J54" s="22">
        <f t="shared" si="22"/>
        <v>-20429.196734878838</v>
      </c>
      <c r="K54" s="23">
        <f t="shared" si="22"/>
        <v>-21042.072636925204</v>
      </c>
      <c r="N54" s="4046"/>
      <c r="O54" s="4048"/>
      <c r="Q54" s="929">
        <v>10</v>
      </c>
      <c r="R54" s="1043">
        <f>-SUM(B60:K60)</f>
        <v>0</v>
      </c>
      <c r="S54" s="1043">
        <f>SUM(B61:K61)+R54</f>
        <v>0</v>
      </c>
    </row>
    <row r="55" spans="1:19" ht="13.35" customHeight="1">
      <c r="A55" s="417" t="s">
        <v>4376</v>
      </c>
      <c r="B55" s="4158">
        <f>IF(B45&lt;=+'Part VI-Revenues &amp; Expenses'!$N$250,-'Part VI-Revenues &amp; Expenses'!$K$250,0)</f>
        <v>0</v>
      </c>
      <c r="C55" s="4158">
        <f>IF(C45&lt;=+'Part VI-Revenues &amp; Expenses'!$N$250,-'Part VI-Revenues &amp; Expenses'!$K$250,0)</f>
        <v>0</v>
      </c>
      <c r="D55" s="4158">
        <f>IF(D45&lt;=+'Part VI-Revenues &amp; Expenses'!$N$250,-'Part VI-Revenues &amp; Expenses'!$K$250,0)</f>
        <v>0</v>
      </c>
      <c r="E55" s="4158">
        <f>IF(E45&lt;=+'Part VI-Revenues &amp; Expenses'!$N$250,-'Part VI-Revenues &amp; Expenses'!$K$250,0)</f>
        <v>0</v>
      </c>
      <c r="F55" s="4158">
        <f>IF(F45&lt;=+'Part VI-Revenues &amp; Expenses'!$N$250,-'Part VI-Revenues &amp; Expenses'!$K$250,0)</f>
        <v>0</v>
      </c>
      <c r="G55" s="4158">
        <f>IF(G45&lt;=+'Part VI-Revenues &amp; Expenses'!$N$250,-'Part VI-Revenues &amp; Expenses'!$K$250,0)</f>
        <v>0</v>
      </c>
      <c r="H55" s="4158">
        <f>IF(H45&lt;=+'Part VI-Revenues &amp; Expenses'!$N$250,-'Part VI-Revenues &amp; Expenses'!$K$250,0)</f>
        <v>0</v>
      </c>
      <c r="I55" s="4158">
        <f>IF(I45&lt;=+'Part VI-Revenues &amp; Expenses'!$N$250,-'Part VI-Revenues &amp; Expenses'!$K$250,0)</f>
        <v>0</v>
      </c>
      <c r="J55" s="4158">
        <f>IF(J45&lt;=+'Part VI-Revenues &amp; Expenses'!$N$250,-'Part VI-Revenues &amp; Expenses'!$K$250,0)</f>
        <v>0</v>
      </c>
      <c r="K55" s="4158">
        <f>IF(K45&lt;=+'Part VI-Revenues &amp; Expenses'!$N$250,-'Part VI-Revenues &amp; Expenses'!$K$250,0)</f>
        <v>0</v>
      </c>
      <c r="N55" s="4046"/>
      <c r="O55" s="4048"/>
    </row>
    <row r="56" spans="1:19" ht="13.35" customHeight="1">
      <c r="A56" s="21" t="s">
        <v>1177</v>
      </c>
      <c r="B56" s="22">
        <f t="shared" ref="B56:K56" si="23">SUM(B51:B55)</f>
        <v>47077.839784190277</v>
      </c>
      <c r="C56" s="22">
        <f t="shared" si="23"/>
        <v>44884.401493070342</v>
      </c>
      <c r="D56" s="22">
        <f t="shared" si="23"/>
        <v>42552.916183523943</v>
      </c>
      <c r="E56" s="22">
        <f t="shared" si="23"/>
        <v>40078.640167604244</v>
      </c>
      <c r="F56" s="22">
        <f t="shared" si="23"/>
        <v>37454.658601178598</v>
      </c>
      <c r="G56" s="22">
        <f t="shared" si="23"/>
        <v>34674.879772330823</v>
      </c>
      <c r="H56" s="22">
        <f t="shared" si="23"/>
        <v>31735.029206880281</v>
      </c>
      <c r="I56" s="22">
        <f t="shared" si="23"/>
        <v>28625.643585293801</v>
      </c>
      <c r="J56" s="22">
        <f t="shared" si="23"/>
        <v>25343.064465103591</v>
      </c>
      <c r="K56" s="1482">
        <f t="shared" si="23"/>
        <v>21878.431802752897</v>
      </c>
      <c r="N56" s="4046"/>
      <c r="O56" s="4048"/>
    </row>
    <row r="57" spans="1:19" ht="13.35" customHeight="1">
      <c r="A57" s="21" t="str">
        <f>$A25</f>
        <v>Mortgage A</v>
      </c>
      <c r="B57" s="4159">
        <f>IF('Part III-Sources of Funds'!$P$38="", 0,-'Part III-Sources of Funds'!$P$38)</f>
        <v>0</v>
      </c>
      <c r="C57" s="4159">
        <f>IF('Part III-Sources of Funds'!$P$38="", 0,-'Part III-Sources of Funds'!$P$38)</f>
        <v>0</v>
      </c>
      <c r="D57" s="4159">
        <f>IF('Part III-Sources of Funds'!$P$38="", 0,-'Part III-Sources of Funds'!$P$38)</f>
        <v>0</v>
      </c>
      <c r="E57" s="4159">
        <f>IF('Part III-Sources of Funds'!$P$38="", 0,-'Part III-Sources of Funds'!$P$38)</f>
        <v>0</v>
      </c>
      <c r="F57" s="4159">
        <f>IF('Part III-Sources of Funds'!$P$38="", 0,-'Part III-Sources of Funds'!$P$38)</f>
        <v>0</v>
      </c>
      <c r="G57" s="4159">
        <f>IF('Part III-Sources of Funds'!$P$38="", 0,-'Part III-Sources of Funds'!$P$38)</f>
        <v>0</v>
      </c>
      <c r="H57" s="4159">
        <f>IF('Part III-Sources of Funds'!$P$38="", 0,-'Part III-Sources of Funds'!$P$38)</f>
        <v>0</v>
      </c>
      <c r="I57" s="4159">
        <f>IF('Part III-Sources of Funds'!$P$38="", 0,-'Part III-Sources of Funds'!$P$38)</f>
        <v>0</v>
      </c>
      <c r="J57" s="4159">
        <f>IF('Part III-Sources of Funds'!$P$38="", 0,-'Part III-Sources of Funds'!$P$38)</f>
        <v>0</v>
      </c>
      <c r="K57" s="4159">
        <f>IF('Part III-Sources of Funds'!$P$38="", 0,-'Part III-Sources of Funds'!$P$38)</f>
        <v>0</v>
      </c>
      <c r="N57" s="4046"/>
      <c r="O57" s="4048"/>
    </row>
    <row r="58" spans="1:19" ht="13.35" customHeight="1">
      <c r="A58" s="21" t="str">
        <f>$A26</f>
        <v>Mortgage B</v>
      </c>
      <c r="B58" s="4160">
        <f>IF('Part III-Sources of Funds'!$P$39="", 0,-'Part III-Sources of Funds'!$P$39)</f>
        <v>0</v>
      </c>
      <c r="C58" s="4160">
        <f>IF('Part III-Sources of Funds'!$P$39="", 0,-'Part III-Sources of Funds'!$P$39)</f>
        <v>0</v>
      </c>
      <c r="D58" s="4160">
        <f>IF('Part III-Sources of Funds'!$P$39="", 0,-'Part III-Sources of Funds'!$P$39)</f>
        <v>0</v>
      </c>
      <c r="E58" s="4160">
        <f>IF('Part III-Sources of Funds'!$P$39="", 0,-'Part III-Sources of Funds'!$P$39)</f>
        <v>0</v>
      </c>
      <c r="F58" s="4160">
        <f>IF('Part III-Sources of Funds'!$P$39="", 0,-'Part III-Sources of Funds'!$P$39)</f>
        <v>0</v>
      </c>
      <c r="G58" s="4160">
        <f>IF('Part III-Sources of Funds'!$P$39="", 0,-'Part III-Sources of Funds'!$P$39)</f>
        <v>0</v>
      </c>
      <c r="H58" s="4160">
        <f>IF('Part III-Sources of Funds'!$P$39="", 0,-'Part III-Sources of Funds'!$P$39)</f>
        <v>0</v>
      </c>
      <c r="I58" s="4160">
        <f>IF('Part III-Sources of Funds'!$P$39="", 0,-'Part III-Sources of Funds'!$P$39)</f>
        <v>0</v>
      </c>
      <c r="J58" s="4160">
        <f>IF('Part III-Sources of Funds'!$P$39="", 0,-'Part III-Sources of Funds'!$P$39)</f>
        <v>0</v>
      </c>
      <c r="K58" s="4160">
        <f>IF('Part III-Sources of Funds'!$P$39="", 0,-'Part III-Sources of Funds'!$P$39)</f>
        <v>0</v>
      </c>
      <c r="N58" s="4046"/>
      <c r="O58" s="4048"/>
    </row>
    <row r="59" spans="1:19" ht="13.35" customHeight="1">
      <c r="A59" s="21" t="str">
        <f>$A27</f>
        <v>Mortgage C</v>
      </c>
      <c r="B59" s="4160">
        <f>IF('Part III-Sources of Funds'!$P$40="", 0,-'Part III-Sources of Funds'!$P$40)</f>
        <v>0</v>
      </c>
      <c r="C59" s="4160">
        <f>IF('Part III-Sources of Funds'!$P$40="", 0,-'Part III-Sources of Funds'!$P$40)</f>
        <v>0</v>
      </c>
      <c r="D59" s="4160">
        <f>IF('Part III-Sources of Funds'!$P$40="", 0,-'Part III-Sources of Funds'!$P$40)</f>
        <v>0</v>
      </c>
      <c r="E59" s="4160">
        <f>IF('Part III-Sources of Funds'!$P$40="", 0,-'Part III-Sources of Funds'!$P$40)</f>
        <v>0</v>
      </c>
      <c r="F59" s="4160">
        <f>IF('Part III-Sources of Funds'!$P$40="", 0,-'Part III-Sources of Funds'!$P$40)</f>
        <v>0</v>
      </c>
      <c r="G59" s="4160">
        <f>IF('Part III-Sources of Funds'!$P$40="", 0,-'Part III-Sources of Funds'!$P$40)</f>
        <v>0</v>
      </c>
      <c r="H59" s="4160">
        <f>IF('Part III-Sources of Funds'!$P$40="", 0,-'Part III-Sources of Funds'!$P$40)</f>
        <v>0</v>
      </c>
      <c r="I59" s="4160">
        <f>IF('Part III-Sources of Funds'!$P$40="", 0,-'Part III-Sources of Funds'!$P$40)</f>
        <v>0</v>
      </c>
      <c r="J59" s="4160">
        <f>IF('Part III-Sources of Funds'!$P$40="", 0,-'Part III-Sources of Funds'!$P$40)</f>
        <v>0</v>
      </c>
      <c r="K59" s="4160">
        <f>IF('Part III-Sources of Funds'!$P$40="", 0,-'Part III-Sources of Funds'!$P$40)</f>
        <v>0</v>
      </c>
      <c r="N59" s="4046"/>
      <c r="O59" s="4048"/>
    </row>
    <row r="60" spans="1:19" ht="13.35" customHeight="1">
      <c r="A60" s="21" t="str">
        <f>$A28</f>
        <v>D/S Other Source,not DDF</v>
      </c>
      <c r="B60" s="4160">
        <f>IF('Part III-Sources of Funds'!$P$41="", 0,-'Part III-Sources of Funds'!$P$41)</f>
        <v>0</v>
      </c>
      <c r="C60" s="4160">
        <f>IF('Part III-Sources of Funds'!$P$41="", 0,-'Part III-Sources of Funds'!$P$41)</f>
        <v>0</v>
      </c>
      <c r="D60" s="4160">
        <f>IF('Part III-Sources of Funds'!$P$41="", 0,-'Part III-Sources of Funds'!$P$41)</f>
        <v>0</v>
      </c>
      <c r="E60" s="4160">
        <f>IF('Part III-Sources of Funds'!$P$41="", 0,-'Part III-Sources of Funds'!$P$41)</f>
        <v>0</v>
      </c>
      <c r="F60" s="4160">
        <f>IF('Part III-Sources of Funds'!$P$41="", 0,-'Part III-Sources of Funds'!$P$41)</f>
        <v>0</v>
      </c>
      <c r="G60" s="4160">
        <f>IF('Part III-Sources of Funds'!$P$41="", 0,-'Part III-Sources of Funds'!$P$41)</f>
        <v>0</v>
      </c>
      <c r="H60" s="4160">
        <f>IF('Part III-Sources of Funds'!$P$41="", 0,-'Part III-Sources of Funds'!$P$41)</f>
        <v>0</v>
      </c>
      <c r="I60" s="4160">
        <f>IF('Part III-Sources of Funds'!$P$41="", 0,-'Part III-Sources of Funds'!$P$41)</f>
        <v>0</v>
      </c>
      <c r="J60" s="4160">
        <f>IF('Part III-Sources of Funds'!$P$41="", 0,-'Part III-Sources of Funds'!$P$41)</f>
        <v>0</v>
      </c>
      <c r="K60" s="4160">
        <f>IF('Part III-Sources of Funds'!$P$41="", 0,-'Part III-Sources of Funds'!$P$41)</f>
        <v>0</v>
      </c>
      <c r="N60" s="4046"/>
      <c r="O60" s="4048"/>
    </row>
    <row r="61" spans="1:19" ht="13.35" customHeight="1">
      <c r="A61" s="21" t="s">
        <v>745</v>
      </c>
      <c r="B61" s="4161"/>
      <c r="C61" s="4161"/>
      <c r="D61" s="4161"/>
      <c r="E61" s="4161"/>
      <c r="F61" s="4161"/>
      <c r="G61" s="4161"/>
      <c r="H61" s="4161"/>
      <c r="I61" s="4161"/>
      <c r="J61" s="4161"/>
      <c r="K61" s="4161"/>
      <c r="N61" s="4046"/>
      <c r="O61" s="4048"/>
      <c r="Q61" s="929"/>
      <c r="R61" s="1043"/>
    </row>
    <row r="62" spans="1:19" ht="13.35" customHeight="1">
      <c r="A62" s="417" t="s">
        <v>1141</v>
      </c>
      <c r="B62" s="4160">
        <f>+K30</f>
        <v>-5000</v>
      </c>
      <c r="C62" s="4160">
        <f t="shared" ref="C62:K62" si="24">+B62</f>
        <v>-5000</v>
      </c>
      <c r="D62" s="4160">
        <f t="shared" si="24"/>
        <v>-5000</v>
      </c>
      <c r="E62" s="4160">
        <f t="shared" si="24"/>
        <v>-5000</v>
      </c>
      <c r="F62" s="4160">
        <f t="shared" si="24"/>
        <v>-5000</v>
      </c>
      <c r="G62" s="4160">
        <f t="shared" si="24"/>
        <v>-5000</v>
      </c>
      <c r="H62" s="4160">
        <f t="shared" si="24"/>
        <v>-5000</v>
      </c>
      <c r="I62" s="4160">
        <f t="shared" si="24"/>
        <v>-5000</v>
      </c>
      <c r="J62" s="4160">
        <f t="shared" si="24"/>
        <v>-5000</v>
      </c>
      <c r="K62" s="4160">
        <f t="shared" si="24"/>
        <v>-5000</v>
      </c>
      <c r="N62" s="4046"/>
      <c r="O62" s="4048"/>
    </row>
    <row r="63" spans="1:19" ht="13.35" customHeight="1">
      <c r="A63" s="417" t="s">
        <v>3770</v>
      </c>
      <c r="B63" s="4163">
        <f>IF('Part III-Sources of Funds'!$P$43="", 0,-'Part III-Sources of Funds'!$P$43)</f>
        <v>0</v>
      </c>
      <c r="C63" s="4163">
        <f>IF('Part III-Sources of Funds'!$P$43="", 0,-'Part III-Sources of Funds'!$P$43)</f>
        <v>0</v>
      </c>
      <c r="D63" s="4163">
        <f>IF('Part III-Sources of Funds'!$P$43="", 0,-'Part III-Sources of Funds'!$P$43)</f>
        <v>0</v>
      </c>
      <c r="E63" s="4163">
        <f>IF('Part III-Sources of Funds'!$P$43="", 0,-'Part III-Sources of Funds'!$P$43)</f>
        <v>0</v>
      </c>
      <c r="F63" s="4163">
        <f>IF('Part III-Sources of Funds'!$P$43="", 0,-'Part III-Sources of Funds'!$P$43)</f>
        <v>0</v>
      </c>
      <c r="G63" s="4163"/>
      <c r="H63" s="4163"/>
      <c r="I63" s="4163"/>
      <c r="J63" s="4163"/>
      <c r="K63" s="4163"/>
      <c r="N63" s="4046"/>
      <c r="O63" s="4048"/>
    </row>
    <row r="64" spans="1:19" ht="13.35" customHeight="1">
      <c r="A64" s="21" t="s">
        <v>1142</v>
      </c>
      <c r="B64" s="22">
        <f t="shared" ref="B64:K64" si="25">SUM(B56:B63)</f>
        <v>42077.839784190277</v>
      </c>
      <c r="C64" s="22">
        <f t="shared" si="25"/>
        <v>39884.401493070342</v>
      </c>
      <c r="D64" s="22">
        <f t="shared" si="25"/>
        <v>37552.916183523943</v>
      </c>
      <c r="E64" s="22">
        <f t="shared" si="25"/>
        <v>35078.640167604244</v>
      </c>
      <c r="F64" s="22">
        <f t="shared" si="25"/>
        <v>32454.658601178598</v>
      </c>
      <c r="G64" s="22">
        <f t="shared" si="25"/>
        <v>29674.879772330823</v>
      </c>
      <c r="H64" s="22">
        <f t="shared" si="25"/>
        <v>26735.029206880281</v>
      </c>
      <c r="I64" s="22">
        <f t="shared" si="25"/>
        <v>23625.643585293801</v>
      </c>
      <c r="J64" s="22">
        <f t="shared" si="25"/>
        <v>20343.064465103591</v>
      </c>
      <c r="K64" s="596">
        <f t="shared" si="25"/>
        <v>16878.431802752897</v>
      </c>
      <c r="N64" s="4046"/>
      <c r="O64" s="4048"/>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4046"/>
      <c r="O65" s="404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4046"/>
      <c r="O66" s="404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4046"/>
      <c r="O67" s="404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46"/>
      <c r="O68" s="4048"/>
    </row>
    <row r="69" spans="1:15" ht="13.35" customHeight="1">
      <c r="A69" s="417" t="s">
        <v>3532</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4046"/>
      <c r="O69" s="4048"/>
    </row>
    <row r="70" spans="1:15" ht="13.35" customHeight="1">
      <c r="A70" s="21" t="s">
        <v>752</v>
      </c>
      <c r="B70" s="265">
        <f t="shared" ref="B70:K70" si="31">IF(OR(B53="Choose mgt fee",B53="Choose One!"),"",(B46+B47+B48+B49+B50) / -(B52+B53+B54))</f>
        <v>1.1501726154636902</v>
      </c>
      <c r="C70" s="265">
        <f t="shared" si="31"/>
        <v>1.1390056088444198</v>
      </c>
      <c r="D70" s="265">
        <f t="shared" si="31"/>
        <v>1.1279465897533798</v>
      </c>
      <c r="E70" s="265">
        <f t="shared" si="31"/>
        <v>1.1169972823516794</v>
      </c>
      <c r="F70" s="265">
        <f t="shared" si="31"/>
        <v>1.1061528052935776</v>
      </c>
      <c r="G70" s="265">
        <f t="shared" si="31"/>
        <v>1.0954119505908226</v>
      </c>
      <c r="H70" s="265">
        <f t="shared" si="31"/>
        <v>1.0847794333120562</v>
      </c>
      <c r="I70" s="265">
        <f t="shared" si="31"/>
        <v>1.0742452537158431</v>
      </c>
      <c r="J70" s="265">
        <f t="shared" si="31"/>
        <v>1.0638169204017727</v>
      </c>
      <c r="K70" s="266">
        <f t="shared" si="31"/>
        <v>1.0534878796338027</v>
      </c>
      <c r="N70" s="4046"/>
      <c r="O70" s="4048"/>
    </row>
    <row r="71" spans="1:15" ht="13.35" customHeight="1">
      <c r="A71" s="417" t="s">
        <v>2549</v>
      </c>
      <c r="B71" s="4164" t="str">
        <f>IF('Part III-Sources of Funds'!$I$38="","",-FV('Part III-Sources of Funds'!$K$38/12,12,B57/12,K39))</f>
        <v/>
      </c>
      <c r="C71" s="4164" t="str">
        <f>IF('Part III-Sources of Funds'!$I$38="","",-FV('Part III-Sources of Funds'!$K$38/12,12,C57/12,B71))</f>
        <v/>
      </c>
      <c r="D71" s="4164" t="str">
        <f>IF('Part III-Sources of Funds'!$I$38="","",-FV('Part III-Sources of Funds'!$K$38/12,12,D57/12,C71))</f>
        <v/>
      </c>
      <c r="E71" s="4164" t="str">
        <f>IF('Part III-Sources of Funds'!$I$38="","",-FV('Part III-Sources of Funds'!$K$38/12,12,E57/12,D71))</f>
        <v/>
      </c>
      <c r="F71" s="4164" t="str">
        <f>IF('Part III-Sources of Funds'!$I$38="","",-FV('Part III-Sources of Funds'!$K$38/12,12,F57/12,E71))</f>
        <v/>
      </c>
      <c r="G71" s="4164" t="str">
        <f>IF('Part III-Sources of Funds'!$I$38="","",-FV('Part III-Sources of Funds'!$K$38/12,12,G57/12,F71))</f>
        <v/>
      </c>
      <c r="H71" s="4164" t="str">
        <f>IF('Part III-Sources of Funds'!$I$38="","",-FV('Part III-Sources of Funds'!$K$38/12,12,H57/12,G71))</f>
        <v/>
      </c>
      <c r="I71" s="4164" t="str">
        <f>IF('Part III-Sources of Funds'!$I$38="","",-FV('Part III-Sources of Funds'!$K$38/12,12,I57/12,H71))</f>
        <v/>
      </c>
      <c r="J71" s="4164" t="str">
        <f>IF('Part III-Sources of Funds'!$I$38="","",-FV('Part III-Sources of Funds'!$K$38/12,12,J57/12,I71))</f>
        <v/>
      </c>
      <c r="K71" s="4164" t="str">
        <f>IF('Part III-Sources of Funds'!$I$38="","",-FV('Part III-Sources of Funds'!$K$38/12,12,K57/12,J71))</f>
        <v/>
      </c>
      <c r="N71" s="4046"/>
      <c r="O71" s="4048"/>
    </row>
    <row r="72" spans="1:15" ht="13.35" customHeight="1">
      <c r="A72" s="417" t="s">
        <v>2550</v>
      </c>
      <c r="B72" s="4160" t="str">
        <f>IF('Part III-Sources of Funds'!$I$39="","",-FV('Part III-Sources of Funds'!$K$39/12,12,B58/12,K40))</f>
        <v/>
      </c>
      <c r="C72" s="4160" t="str">
        <f>IF('Part III-Sources of Funds'!$I$39="","",-FV('Part III-Sources of Funds'!$K$39/12,12,C58/12,B72))</f>
        <v/>
      </c>
      <c r="D72" s="4160" t="str">
        <f>IF('Part III-Sources of Funds'!$I$39="","",-FV('Part III-Sources of Funds'!$K$39/12,12,D58/12,C72))</f>
        <v/>
      </c>
      <c r="E72" s="4160" t="str">
        <f>IF('Part III-Sources of Funds'!$I$39="","",-FV('Part III-Sources of Funds'!$K$39/12,12,E58/12,D72))</f>
        <v/>
      </c>
      <c r="F72" s="4160" t="str">
        <f>IF('Part III-Sources of Funds'!$I$39="","",-FV('Part III-Sources of Funds'!$K$39/12,12,F58/12,E72))</f>
        <v/>
      </c>
      <c r="G72" s="4160" t="str">
        <f>IF('Part III-Sources of Funds'!$I$39="","",-FV('Part III-Sources of Funds'!$K$39/12,12,G58/12,F72))</f>
        <v/>
      </c>
      <c r="H72" s="4160" t="str">
        <f>IF('Part III-Sources of Funds'!$I$39="","",-FV('Part III-Sources of Funds'!$K$39/12,12,H58/12,G72))</f>
        <v/>
      </c>
      <c r="I72" s="4160" t="str">
        <f>IF('Part III-Sources of Funds'!$I$39="","",-FV('Part III-Sources of Funds'!$K$39/12,12,I58/12,H72))</f>
        <v/>
      </c>
      <c r="J72" s="4160" t="str">
        <f>IF('Part III-Sources of Funds'!$I$39="","",-FV('Part III-Sources of Funds'!$K$39/12,12,J58/12,I72))</f>
        <v/>
      </c>
      <c r="K72" s="4160" t="str">
        <f>IF('Part III-Sources of Funds'!$I$39="","",-FV('Part III-Sources of Funds'!$K$39/12,12,K58/12,J72))</f>
        <v/>
      </c>
      <c r="N72" s="4046"/>
      <c r="O72" s="4048"/>
    </row>
    <row r="73" spans="1:15" ht="13.35" customHeight="1">
      <c r="A73" s="417" t="s">
        <v>2551</v>
      </c>
      <c r="B73" s="4160" t="str">
        <f>IF('Part III-Sources of Funds'!$I$40="","",-FV('Part III-Sources of Funds'!$K$40/12,12,B59/12,K41))</f>
        <v/>
      </c>
      <c r="C73" s="4160" t="str">
        <f>IF('Part III-Sources of Funds'!$I$40="","",-FV('Part III-Sources of Funds'!$K$40/12,12,C59/12,B73))</f>
        <v/>
      </c>
      <c r="D73" s="4160" t="str">
        <f>IF('Part III-Sources of Funds'!$I$40="","",-FV('Part III-Sources of Funds'!$K$40/12,12,D59/12,C73))</f>
        <v/>
      </c>
      <c r="E73" s="4160" t="str">
        <f>IF('Part III-Sources of Funds'!$I$40="","",-FV('Part III-Sources of Funds'!$K$40/12,12,E59/12,D73))</f>
        <v/>
      </c>
      <c r="F73" s="4160" t="str">
        <f>IF('Part III-Sources of Funds'!$I$40="","",-FV('Part III-Sources of Funds'!$K$40/12,12,F59/12,E73))</f>
        <v/>
      </c>
      <c r="G73" s="4160" t="str">
        <f>IF('Part III-Sources of Funds'!$I$40="","",-FV('Part III-Sources of Funds'!$K$40/12,12,G59/12,F73))</f>
        <v/>
      </c>
      <c r="H73" s="4160" t="str">
        <f>IF('Part III-Sources of Funds'!$I$40="","",-FV('Part III-Sources of Funds'!$K$40/12,12,H59/12,G73))</f>
        <v/>
      </c>
      <c r="I73" s="4160" t="str">
        <f>IF('Part III-Sources of Funds'!$I$40="","",-FV('Part III-Sources of Funds'!$K$40/12,12,I59/12,H73))</f>
        <v/>
      </c>
      <c r="J73" s="4160" t="str">
        <f>IF('Part III-Sources of Funds'!$I$40="","",-FV('Part III-Sources of Funds'!$K$40/12,12,J59/12,I73))</f>
        <v/>
      </c>
      <c r="K73" s="4160" t="str">
        <f>IF('Part III-Sources of Funds'!$I$40="","",-FV('Part III-Sources of Funds'!$K$40/12,12,K59/12,J73))</f>
        <v/>
      </c>
      <c r="N73" s="4046"/>
      <c r="O73" s="4048"/>
    </row>
    <row r="74" spans="1:15" ht="13.35" customHeight="1">
      <c r="A74" s="21" t="s">
        <v>764</v>
      </c>
      <c r="B74" s="4160" t="str">
        <f>IF('Part III-Sources of Funds'!$I$41="","",-FV('Part III-Sources of Funds'!$K$41/12,12,B60/12,K42))</f>
        <v/>
      </c>
      <c r="C74" s="4160" t="str">
        <f>IF('Part III-Sources of Funds'!$I$41="","",-FV('Part III-Sources of Funds'!$K$41/12,12,C60/12,B74))</f>
        <v/>
      </c>
      <c r="D74" s="4160" t="str">
        <f>IF('Part III-Sources of Funds'!$I$41="","",-FV('Part III-Sources of Funds'!$K$41/12,12,D60/12,C74))</f>
        <v/>
      </c>
      <c r="E74" s="4160" t="str">
        <f>IF('Part III-Sources of Funds'!$I$41="","",-FV('Part III-Sources of Funds'!$K$41/12,12,E60/12,D74))</f>
        <v/>
      </c>
      <c r="F74" s="4160" t="str">
        <f>IF('Part III-Sources of Funds'!$I$41="","",-FV('Part III-Sources of Funds'!$K$41/12,12,F60/12,E74))</f>
        <v/>
      </c>
      <c r="G74" s="4160" t="str">
        <f>IF('Part III-Sources of Funds'!$I$41="","",-FV('Part III-Sources of Funds'!$K$41/12,12,G60/12,F74))</f>
        <v/>
      </c>
      <c r="H74" s="4160" t="str">
        <f>IF('Part III-Sources of Funds'!$I$41="","",-FV('Part III-Sources of Funds'!$K$41/12,12,H60/12,G74))</f>
        <v/>
      </c>
      <c r="I74" s="4160" t="str">
        <f>IF('Part III-Sources of Funds'!$I$41="","",-FV('Part III-Sources of Funds'!$K$41/12,12,I60/12,H74))</f>
        <v/>
      </c>
      <c r="J74" s="4160" t="str">
        <f>IF('Part III-Sources of Funds'!$I$41="","",-FV('Part III-Sources of Funds'!$K$41/12,12,J60/12,I74))</f>
        <v/>
      </c>
      <c r="K74" s="4160" t="str">
        <f>IF('Part III-Sources of Funds'!$I$41="","",-FV('Part III-Sources of Funds'!$K$41/12,12,K60/12,J74))</f>
        <v/>
      </c>
      <c r="N74" s="4046"/>
      <c r="O74" s="4048"/>
    </row>
    <row r="75" spans="1:15" ht="13.35" customHeight="1">
      <c r="A75" s="417" t="s">
        <v>3771</v>
      </c>
      <c r="B75" s="4163">
        <f>IF('Part III-Sources of Funds'!$I$43="","",IF(-FV('Part III-Sources of Funds'!$K$43/12,12,B63/12,K43)&gt;0,-FV('Part III-Sources of Funds'!$K$43/12,12,B63/12,K43),0))</f>
        <v>0</v>
      </c>
      <c r="C75" s="4163">
        <f>IF('Part III-Sources of Funds'!$I$43="","",IF(-FV('Part III-Sources of Funds'!$K$43/12,12,C63/12,B75)&gt;0,-FV('Part III-Sources of Funds'!$K$43/12,12,C63/12,B75),0))</f>
        <v>0</v>
      </c>
      <c r="D75" s="4163">
        <f>IF('Part III-Sources of Funds'!$I$43="","",IF(-FV('Part III-Sources of Funds'!$K$43/12,12,D63/12,C75)&gt;0,-FV('Part III-Sources of Funds'!$K$43/12,12,D63/12,C75),0))</f>
        <v>0</v>
      </c>
      <c r="E75" s="4163">
        <f>IF('Part III-Sources of Funds'!$I$43="","",IF(-FV('Part III-Sources of Funds'!$K$43/12,12,E63/12,D75)&gt;0,-FV('Part III-Sources of Funds'!$K$43/12,12,E63/12,D75),0))</f>
        <v>0</v>
      </c>
      <c r="F75" s="4163">
        <f>IF('Part III-Sources of Funds'!$I$43="","",IF(-FV('Part III-Sources of Funds'!$K$43/12,12,F63/12,E75)&gt;0,-FV('Part III-Sources of Funds'!$K$43/12,12,F63/12,E75),0))</f>
        <v>0</v>
      </c>
      <c r="G75" s="4163">
        <f>IF('Part III-Sources of Funds'!$I$43="","",IF(-FV('Part III-Sources of Funds'!$K$43/12,12,G63/12,F75)&gt;0,-FV('Part III-Sources of Funds'!$K$43/12,12,G63/12,F75),0))</f>
        <v>0</v>
      </c>
      <c r="H75" s="4163" t="str">
        <f>IF('Part III-Sources of Funds'!$I$41="","",-FV('Part III-Sources of Funds'!$K$41/12,12,H61/12,G75))</f>
        <v/>
      </c>
      <c r="I75" s="4163" t="str">
        <f>IF('Part III-Sources of Funds'!$I$41="","",-FV('Part III-Sources of Funds'!$K$41/12,12,I61/12,H75))</f>
        <v/>
      </c>
      <c r="J75" s="4163" t="str">
        <f>IF('Part III-Sources of Funds'!$I$41="","",-FV('Part III-Sources of Funds'!$K$41/12,12,J61/12,I75))</f>
        <v/>
      </c>
      <c r="K75" s="4163" t="str">
        <f>IF('Part III-Sources of Funds'!$I$41="","",-FV('Part III-Sources of Funds'!$K$41/12,12,K61/12,J75))</f>
        <v/>
      </c>
      <c r="N75" s="4077"/>
      <c r="O75" s="4079"/>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2554</v>
      </c>
      <c r="O77" s="2509"/>
    </row>
    <row r="78" spans="1:15" ht="13.35" customHeight="1">
      <c r="A78" s="18" t="s">
        <v>2341</v>
      </c>
      <c r="B78" s="19">
        <f t="shared" ref="B78:K78" si="33">$B$14*(1+$B$5)^(B77-1)</f>
        <v>463348.11701397039</v>
      </c>
      <c r="C78" s="19">
        <f t="shared" si="33"/>
        <v>472615.07935424981</v>
      </c>
      <c r="D78" s="19">
        <f t="shared" si="33"/>
        <v>482067.38094133482</v>
      </c>
      <c r="E78" s="19">
        <f t="shared" si="33"/>
        <v>491708.72856016143</v>
      </c>
      <c r="F78" s="19">
        <f t="shared" si="33"/>
        <v>501542.90313136467</v>
      </c>
      <c r="G78" s="19">
        <f t="shared" si="33"/>
        <v>511573.76119399199</v>
      </c>
      <c r="H78" s="19">
        <f t="shared" si="33"/>
        <v>521805.23641787184</v>
      </c>
      <c r="I78" s="19">
        <f t="shared" si="33"/>
        <v>532241.34114622918</v>
      </c>
      <c r="J78" s="19">
        <f t="shared" si="33"/>
        <v>542886.16796915384</v>
      </c>
      <c r="K78" s="20">
        <f t="shared" si="33"/>
        <v>553743.89132853691</v>
      </c>
      <c r="N78" s="4084"/>
      <c r="O78" s="4086"/>
    </row>
    <row r="79" spans="1:15" ht="13.35" customHeight="1">
      <c r="A79" s="21" t="s">
        <v>994</v>
      </c>
      <c r="B79" s="22">
        <f t="shared" ref="B79:K79" si="34">$B$15*(1+$B$5)^(B77-1)</f>
        <v>9266.9623402794095</v>
      </c>
      <c r="C79" s="22">
        <f t="shared" si="34"/>
        <v>9452.3015870849958</v>
      </c>
      <c r="D79" s="22">
        <f t="shared" si="34"/>
        <v>9641.3476188266977</v>
      </c>
      <c r="E79" s="22">
        <f t="shared" si="34"/>
        <v>9834.1745712032298</v>
      </c>
      <c r="F79" s="22">
        <f t="shared" si="34"/>
        <v>10030.858062627294</v>
      </c>
      <c r="G79" s="22">
        <f t="shared" si="34"/>
        <v>10231.475223879841</v>
      </c>
      <c r="H79" s="22">
        <f t="shared" si="34"/>
        <v>10436.104728357439</v>
      </c>
      <c r="I79" s="22">
        <f t="shared" si="34"/>
        <v>10644.826822924584</v>
      </c>
      <c r="J79" s="22">
        <f t="shared" si="34"/>
        <v>10857.723359383079</v>
      </c>
      <c r="K79" s="23">
        <f t="shared" si="34"/>
        <v>11074.877826570739</v>
      </c>
      <c r="N79" s="4046"/>
      <c r="O79" s="4048"/>
    </row>
    <row r="80" spans="1:15" ht="13.35" customHeight="1">
      <c r="A80" s="21" t="s">
        <v>2342</v>
      </c>
      <c r="B80" s="22">
        <f t="shared" ref="B80:K80" si="35">-(B78+B79)*$B$8</f>
        <v>-33083.055554797487</v>
      </c>
      <c r="C80" s="22">
        <f t="shared" si="35"/>
        <v>-33744.716665893444</v>
      </c>
      <c r="D80" s="22">
        <f t="shared" si="35"/>
        <v>-34419.610999211312</v>
      </c>
      <c r="E80" s="22">
        <f t="shared" si="35"/>
        <v>-35108.003219195532</v>
      </c>
      <c r="F80" s="22">
        <f t="shared" si="35"/>
        <v>-35810.163283579444</v>
      </c>
      <c r="G80" s="22">
        <f t="shared" si="35"/>
        <v>-36526.366549251034</v>
      </c>
      <c r="H80" s="22">
        <f t="shared" si="35"/>
        <v>-37256.893880236057</v>
      </c>
      <c r="I80" s="22">
        <f t="shared" si="35"/>
        <v>-38002.031757840763</v>
      </c>
      <c r="J80" s="22">
        <f t="shared" si="35"/>
        <v>-38762.072392997587</v>
      </c>
      <c r="K80" s="23">
        <f t="shared" si="35"/>
        <v>-39537.31384085754</v>
      </c>
      <c r="N80" s="4046"/>
      <c r="O80" s="404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46"/>
      <c r="O81" s="404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46"/>
      <c r="O82" s="4048"/>
    </row>
    <row r="83" spans="1:19" ht="13.35" customHeight="1">
      <c r="A83" s="417" t="s">
        <v>4377</v>
      </c>
      <c r="B83" s="22">
        <f t="shared" ref="B83:K83" si="36">SUM(B78:B82)</f>
        <v>439532.02379945235</v>
      </c>
      <c r="C83" s="22">
        <f t="shared" si="36"/>
        <v>448322.66427544138</v>
      </c>
      <c r="D83" s="22">
        <f t="shared" si="36"/>
        <v>457289.11756095022</v>
      </c>
      <c r="E83" s="22">
        <f t="shared" si="36"/>
        <v>466434.89991216914</v>
      </c>
      <c r="F83" s="22">
        <f t="shared" si="36"/>
        <v>475763.59791041253</v>
      </c>
      <c r="G83" s="22">
        <f t="shared" si="36"/>
        <v>485278.86986862082</v>
      </c>
      <c r="H83" s="22">
        <f t="shared" si="36"/>
        <v>494984.44726599322</v>
      </c>
      <c r="I83" s="22">
        <f t="shared" si="36"/>
        <v>504884.13621131296</v>
      </c>
      <c r="J83" s="22">
        <f t="shared" si="36"/>
        <v>514981.81893553934</v>
      </c>
      <c r="K83" s="23">
        <f t="shared" si="36"/>
        <v>525281.45531425008</v>
      </c>
      <c r="N83" s="4046"/>
      <c r="O83" s="4048"/>
    </row>
    <row r="84" spans="1:19" ht="13.35" customHeight="1">
      <c r="A84" s="21" t="s">
        <v>597</v>
      </c>
      <c r="B84" s="22">
        <f t="shared" ref="B84:K84" si="37">$B$20*(1+$B$6)^(B77-1)</f>
        <v>-358020.01171481377</v>
      </c>
      <c r="C84" s="22">
        <f t="shared" si="37"/>
        <v>-368760.61206625815</v>
      </c>
      <c r="D84" s="22">
        <f t="shared" si="37"/>
        <v>-379823.43042824592</v>
      </c>
      <c r="E84" s="22">
        <f t="shared" si="37"/>
        <v>-391218.13334109331</v>
      </c>
      <c r="F84" s="22">
        <f t="shared" si="37"/>
        <v>-402954.67734132608</v>
      </c>
      <c r="G84" s="22">
        <f t="shared" si="37"/>
        <v>-415043.31766156584</v>
      </c>
      <c r="H84" s="22">
        <f t="shared" si="37"/>
        <v>-427494.61719141289</v>
      </c>
      <c r="I84" s="22">
        <f t="shared" si="37"/>
        <v>-440319.45570715523</v>
      </c>
      <c r="J84" s="22">
        <f t="shared" si="37"/>
        <v>-453529.03937836987</v>
      </c>
      <c r="K84" s="23">
        <f t="shared" si="37"/>
        <v>-467134.91055972094</v>
      </c>
      <c r="N84" s="4046"/>
      <c r="O84" s="404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-41613</v>
      </c>
      <c r="C85" s="22">
        <f>IF(AND('Part VII-Pro Forma'!$G$8="Yes",'Part VII-Pro Forma'!$G$9="Yes"),"Choose One!",IF('Part VII-Pro Forma'!$G$8="Yes",ROUND((-$K$8*(1+'Part VII-Pro Forma'!$B$6)^('Part VII-Pro Forma'!C77-1)),),IF('Part VII-Pro Forma'!$G$9="Yes",ROUND((-(SUM(C78:C81)*'Part VII-Pro Forma'!$K$9)),),"Choose mgt fee")))</f>
        <v>-42861</v>
      </c>
      <c r="D85" s="22">
        <f>IF(AND('Part VII-Pro Forma'!$G$8="Yes",'Part VII-Pro Forma'!$G$9="Yes"),"Choose One!",IF('Part VII-Pro Forma'!$G$8="Yes",ROUND((-$K$8*(1+'Part VII-Pro Forma'!$B$6)^('Part VII-Pro Forma'!D77-1)),),IF('Part VII-Pro Forma'!$G$9="Yes",ROUND((-(SUM(D78:D81)*'Part VII-Pro Forma'!$K$9)),),"Choose mgt fee")))</f>
        <v>-44147</v>
      </c>
      <c r="E85" s="22">
        <f>IF(AND('Part VII-Pro Forma'!$G$8="Yes",'Part VII-Pro Forma'!$G$9="Yes"),"Choose One!",IF('Part VII-Pro Forma'!$G$8="Yes",ROUND((-$K$8*(1+'Part VII-Pro Forma'!$B$6)^('Part VII-Pro Forma'!E77-1)),),IF('Part VII-Pro Forma'!$G$9="Yes",ROUND((-(SUM(E78:E81)*'Part VII-Pro Forma'!$K$9)),),"Choose mgt fee")))</f>
        <v>-45471</v>
      </c>
      <c r="F85" s="22">
        <f>IF(AND('Part VII-Pro Forma'!$G$8="Yes",'Part VII-Pro Forma'!$G$9="Yes"),"Choose One!",IF('Part VII-Pro Forma'!$G$8="Yes",ROUND((-$K$8*(1+'Part VII-Pro Forma'!$B$6)^('Part VII-Pro Forma'!F77-1)),),IF('Part VII-Pro Forma'!$G$9="Yes",ROUND((-(SUM(F78:F81)*'Part VII-Pro Forma'!$K$9)),),"Choose mgt fee")))</f>
        <v>-46836</v>
      </c>
      <c r="G85" s="22">
        <f>IF(AND('Part VII-Pro Forma'!$G$8="Yes",'Part VII-Pro Forma'!$G$9="Yes"),"Choose One!",IF('Part VII-Pro Forma'!$G$8="Yes",ROUND((-$K$8*(1+'Part VII-Pro Forma'!$B$6)^('Part VII-Pro Forma'!G77-1)),),IF('Part VII-Pro Forma'!$G$9="Yes",ROUND((-(SUM(G78:G81)*'Part VII-Pro Forma'!$K$9)),),"Choose mgt fee")))</f>
        <v>-48241</v>
      </c>
      <c r="H85" s="22">
        <f>IF(AND('Part VII-Pro Forma'!$G$8="Yes",'Part VII-Pro Forma'!$G$9="Yes"),"Choose One!",IF('Part VII-Pro Forma'!$G$8="Yes",ROUND((-$K$8*(1+'Part VII-Pro Forma'!$B$6)^('Part VII-Pro Forma'!H77-1)),),IF('Part VII-Pro Forma'!$G$9="Yes",ROUND((-(SUM(H78:H81)*'Part VII-Pro Forma'!$K$9)),),"Choose mgt fee")))</f>
        <v>-49688</v>
      </c>
      <c r="I85" s="22">
        <f>IF(AND('Part VII-Pro Forma'!$G$8="Yes",'Part VII-Pro Forma'!$G$9="Yes"),"Choose One!",IF('Part VII-Pro Forma'!$G$8="Yes",ROUND((-$K$8*(1+'Part VII-Pro Forma'!$B$6)^('Part VII-Pro Forma'!I77-1)),),IF('Part VII-Pro Forma'!$G$9="Yes",ROUND((-(SUM(I78:I81)*'Part VII-Pro Forma'!$K$9)),),"Choose mgt fee")))</f>
        <v>-51178</v>
      </c>
      <c r="J85" s="22">
        <f>IF(AND('Part VII-Pro Forma'!$G$8="Yes",'Part VII-Pro Forma'!$G$9="Yes"),"Choose One!",IF('Part VII-Pro Forma'!$G$8="Yes",ROUND((-$K$8*(1+'Part VII-Pro Forma'!$B$6)^('Part VII-Pro Forma'!J77-1)),),IF('Part VII-Pro Forma'!$G$9="Yes",ROUND((-(SUM(J78:J81)*'Part VII-Pro Forma'!$K$9)),),"Choose mgt fee")))</f>
        <v>-52714</v>
      </c>
      <c r="K85" s="23">
        <f>IF(AND('Part VII-Pro Forma'!$G$8="Yes",'Part VII-Pro Forma'!$G$9="Yes"),"Choose One!",IF('Part VII-Pro Forma'!$G$8="Yes",ROUND((-$K$8*(1+'Part VII-Pro Forma'!$B$6)^('Part VII-Pro Forma'!K77-1)),),IF('Part VII-Pro Forma'!$G$9="Yes",ROUND((-(SUM(K78:K81)*'Part VII-Pro Forma'!$K$9)),),"Choose mgt fee")))</f>
        <v>-54295</v>
      </c>
      <c r="N85" s="4046"/>
      <c r="O85" s="4048"/>
    </row>
    <row r="86" spans="1:19" ht="13.35" customHeight="1">
      <c r="A86" s="21" t="s">
        <v>1176</v>
      </c>
      <c r="B86" s="22">
        <f t="shared" ref="B86:K86" si="38">$B$22*(1+$B$7)^(B77-1)</f>
        <v>-21673.334816032959</v>
      </c>
      <c r="C86" s="22">
        <f t="shared" si="38"/>
        <v>-22323.534860513944</v>
      </c>
      <c r="D86" s="22">
        <f t="shared" si="38"/>
        <v>-22993.240906329367</v>
      </c>
      <c r="E86" s="22">
        <f t="shared" si="38"/>
        <v>-23683.038133519247</v>
      </c>
      <c r="F86" s="22">
        <f t="shared" si="38"/>
        <v>-24393.529277524824</v>
      </c>
      <c r="G86" s="22">
        <f t="shared" si="38"/>
        <v>-25125.335155850567</v>
      </c>
      <c r="H86" s="22">
        <f t="shared" si="38"/>
        <v>-25879.095210526088</v>
      </c>
      <c r="I86" s="22">
        <f t="shared" si="38"/>
        <v>-26655.468066841866</v>
      </c>
      <c r="J86" s="22">
        <f t="shared" si="38"/>
        <v>-27455.132108847123</v>
      </c>
      <c r="K86" s="23">
        <f t="shared" si="38"/>
        <v>-28278.786072112533</v>
      </c>
      <c r="N86" s="4046"/>
      <c r="O86" s="4048"/>
      <c r="Q86" s="929">
        <v>10</v>
      </c>
      <c r="R86" s="1043">
        <f>-SUM(B92:K92)</f>
        <v>0</v>
      </c>
      <c r="S86" s="1043">
        <f>SUM(B93:K93)+R86</f>
        <v>0</v>
      </c>
    </row>
    <row r="87" spans="1:19" ht="13.35" customHeight="1">
      <c r="A87" s="417" t="s">
        <v>4376</v>
      </c>
      <c r="B87" s="4158">
        <f>IF(B77&lt;=+'Part VI-Revenues &amp; Expenses'!$N$250,-'Part VI-Revenues &amp; Expenses'!$K$250,0)</f>
        <v>0</v>
      </c>
      <c r="C87" s="4158">
        <f>IF(C77&lt;=+'Part VI-Revenues &amp; Expenses'!$N$250,-'Part VI-Revenues &amp; Expenses'!$K$250,0)</f>
        <v>0</v>
      </c>
      <c r="D87" s="4158">
        <f>IF(D77&lt;=+'Part VI-Revenues &amp; Expenses'!$N$250,-'Part VI-Revenues &amp; Expenses'!$K$250,0)</f>
        <v>0</v>
      </c>
      <c r="E87" s="4158">
        <f>IF(E77&lt;=+'Part VI-Revenues &amp; Expenses'!$N$250,-'Part VI-Revenues &amp; Expenses'!$K$250,0)</f>
        <v>0</v>
      </c>
      <c r="F87" s="4158">
        <f>IF(F77&lt;=+'Part VI-Revenues &amp; Expenses'!$N$250,-'Part VI-Revenues &amp; Expenses'!$K$250,0)</f>
        <v>0</v>
      </c>
      <c r="G87" s="4158">
        <f>IF(G77&lt;=+'Part VI-Revenues &amp; Expenses'!$N$250,-'Part VI-Revenues &amp; Expenses'!$K$250,0)</f>
        <v>0</v>
      </c>
      <c r="H87" s="4158">
        <f>IF(H77&lt;=+'Part VI-Revenues &amp; Expenses'!$N$250,-'Part VI-Revenues &amp; Expenses'!$K$250,0)</f>
        <v>0</v>
      </c>
      <c r="I87" s="4158">
        <f>IF(I77&lt;=+'Part VI-Revenues &amp; Expenses'!$N$250,-'Part VI-Revenues &amp; Expenses'!$K$250,0)</f>
        <v>0</v>
      </c>
      <c r="J87" s="4158">
        <f>IF(J77&lt;=+'Part VI-Revenues &amp; Expenses'!$N$250,-'Part VI-Revenues &amp; Expenses'!$K$250,0)</f>
        <v>0</v>
      </c>
      <c r="K87" s="4158">
        <f>IF(K77&lt;=+'Part VI-Revenues &amp; Expenses'!$N$250,-'Part VI-Revenues &amp; Expenses'!$K$250,0)</f>
        <v>0</v>
      </c>
      <c r="N87" s="4046"/>
      <c r="O87" s="4048"/>
    </row>
    <row r="88" spans="1:19" ht="13.35" customHeight="1">
      <c r="A88" s="21" t="s">
        <v>1177</v>
      </c>
      <c r="B88" s="22">
        <f t="shared" ref="B88:K88" si="39">SUM(B83:B87)</f>
        <v>18225.677268605625</v>
      </c>
      <c r="C88" s="22">
        <f t="shared" si="39"/>
        <v>14377.51734866928</v>
      </c>
      <c r="D88" s="22">
        <f t="shared" si="39"/>
        <v>10325.446226374937</v>
      </c>
      <c r="E88" s="22">
        <f t="shared" si="39"/>
        <v>6062.7284375565832</v>
      </c>
      <c r="F88" s="22">
        <f t="shared" si="39"/>
        <v>1579.3912915616238</v>
      </c>
      <c r="G88" s="22">
        <f t="shared" si="39"/>
        <v>-3130.7829487955896</v>
      </c>
      <c r="H88" s="22">
        <f t="shared" si="39"/>
        <v>-8077.2651359457595</v>
      </c>
      <c r="I88" s="22">
        <f t="shared" si="39"/>
        <v>-13268.787562684134</v>
      </c>
      <c r="J88" s="22">
        <f t="shared" si="39"/>
        <v>-18716.35255167765</v>
      </c>
      <c r="K88" s="1482">
        <f t="shared" si="39"/>
        <v>-24427.241317583394</v>
      </c>
      <c r="N88" s="4046"/>
      <c r="O88" s="4048"/>
    </row>
    <row r="89" spans="1:19" ht="13.35" customHeight="1">
      <c r="A89" s="21" t="str">
        <f>$A57</f>
        <v>Mortgage A</v>
      </c>
      <c r="B89" s="4159">
        <f>IF('Part III-Sources of Funds'!$P$38="", 0,-'Part III-Sources of Funds'!$P$38)</f>
        <v>0</v>
      </c>
      <c r="C89" s="4159">
        <f>IF('Part III-Sources of Funds'!$P$38="", 0,-'Part III-Sources of Funds'!$P$38)</f>
        <v>0</v>
      </c>
      <c r="D89" s="4159">
        <f>IF('Part III-Sources of Funds'!$P$38="", 0,-'Part III-Sources of Funds'!$P$38)</f>
        <v>0</v>
      </c>
      <c r="E89" s="4159">
        <f>IF('Part III-Sources of Funds'!$P$38="", 0,-'Part III-Sources of Funds'!$P$38)</f>
        <v>0</v>
      </c>
      <c r="F89" s="4159">
        <f>IF('Part III-Sources of Funds'!$P$38="", 0,-'Part III-Sources of Funds'!$P$38)</f>
        <v>0</v>
      </c>
      <c r="G89" s="4159">
        <f>IF('Part III-Sources of Funds'!$P$38="", 0,-'Part III-Sources of Funds'!$P$38)</f>
        <v>0</v>
      </c>
      <c r="H89" s="4159">
        <f>IF('Part III-Sources of Funds'!$P$38="", 0,-'Part III-Sources of Funds'!$P$38)</f>
        <v>0</v>
      </c>
      <c r="I89" s="4159">
        <f>IF('Part III-Sources of Funds'!$P$38="", 0,-'Part III-Sources of Funds'!$P$38)</f>
        <v>0</v>
      </c>
      <c r="J89" s="4159">
        <f>IF('Part III-Sources of Funds'!$P$38="", 0,-'Part III-Sources of Funds'!$P$38)</f>
        <v>0</v>
      </c>
      <c r="K89" s="4159">
        <f>IF('Part III-Sources of Funds'!$P$38="", 0,-'Part III-Sources of Funds'!$P$38)</f>
        <v>0</v>
      </c>
      <c r="N89" s="4046"/>
      <c r="O89" s="4048"/>
    </row>
    <row r="90" spans="1:19" ht="13.35" customHeight="1">
      <c r="A90" s="21" t="str">
        <f>$A58</f>
        <v>Mortgage B</v>
      </c>
      <c r="B90" s="4160">
        <f>IF('Part III-Sources of Funds'!$P$39="", 0,-'Part III-Sources of Funds'!$P$39)</f>
        <v>0</v>
      </c>
      <c r="C90" s="4160">
        <f>IF('Part III-Sources of Funds'!$P$39="", 0,-'Part III-Sources of Funds'!$P$39)</f>
        <v>0</v>
      </c>
      <c r="D90" s="4160">
        <f>IF('Part III-Sources of Funds'!$P$39="", 0,-'Part III-Sources of Funds'!$P$39)</f>
        <v>0</v>
      </c>
      <c r="E90" s="4160">
        <f>IF('Part III-Sources of Funds'!$P$39="", 0,-'Part III-Sources of Funds'!$P$39)</f>
        <v>0</v>
      </c>
      <c r="F90" s="4160">
        <f>IF('Part III-Sources of Funds'!$P$39="", 0,-'Part III-Sources of Funds'!$P$39)</f>
        <v>0</v>
      </c>
      <c r="G90" s="4160">
        <f>IF('Part III-Sources of Funds'!$P$39="", 0,-'Part III-Sources of Funds'!$P$39)</f>
        <v>0</v>
      </c>
      <c r="H90" s="4160">
        <f>IF('Part III-Sources of Funds'!$P$39="", 0,-'Part III-Sources of Funds'!$P$39)</f>
        <v>0</v>
      </c>
      <c r="I90" s="4160">
        <f>IF('Part III-Sources of Funds'!$P$39="", 0,-'Part III-Sources of Funds'!$P$39)</f>
        <v>0</v>
      </c>
      <c r="J90" s="4160">
        <f>IF('Part III-Sources of Funds'!$P$39="", 0,-'Part III-Sources of Funds'!$P$39)</f>
        <v>0</v>
      </c>
      <c r="K90" s="4160">
        <f>IF('Part III-Sources of Funds'!$P$39="", 0,-'Part III-Sources of Funds'!$P$39)</f>
        <v>0</v>
      </c>
      <c r="N90" s="4046"/>
      <c r="O90" s="4048"/>
    </row>
    <row r="91" spans="1:19" ht="13.35" customHeight="1">
      <c r="A91" s="21" t="str">
        <f>$A59</f>
        <v>Mortgage C</v>
      </c>
      <c r="B91" s="4160">
        <f>IF('Part III-Sources of Funds'!$P$40="", 0,-'Part III-Sources of Funds'!$P$40)</f>
        <v>0</v>
      </c>
      <c r="C91" s="4160">
        <f>IF('Part III-Sources of Funds'!$P$40="", 0,-'Part III-Sources of Funds'!$P$40)</f>
        <v>0</v>
      </c>
      <c r="D91" s="4160">
        <f>IF('Part III-Sources of Funds'!$P$40="", 0,-'Part III-Sources of Funds'!$P$40)</f>
        <v>0</v>
      </c>
      <c r="E91" s="4160">
        <f>IF('Part III-Sources of Funds'!$P$40="", 0,-'Part III-Sources of Funds'!$P$40)</f>
        <v>0</v>
      </c>
      <c r="F91" s="4160">
        <f>IF('Part III-Sources of Funds'!$P$40="", 0,-'Part III-Sources of Funds'!$P$40)</f>
        <v>0</v>
      </c>
      <c r="G91" s="4160">
        <f>IF('Part III-Sources of Funds'!$P$40="", 0,-'Part III-Sources of Funds'!$P$40)</f>
        <v>0</v>
      </c>
      <c r="H91" s="4160">
        <f>IF('Part III-Sources of Funds'!$P$40="", 0,-'Part III-Sources of Funds'!$P$40)</f>
        <v>0</v>
      </c>
      <c r="I91" s="4160">
        <f>IF('Part III-Sources of Funds'!$P$40="", 0,-'Part III-Sources of Funds'!$P$40)</f>
        <v>0</v>
      </c>
      <c r="J91" s="4160">
        <f>IF('Part III-Sources of Funds'!$P$40="", 0,-'Part III-Sources of Funds'!$P$40)</f>
        <v>0</v>
      </c>
      <c r="K91" s="4160">
        <f>IF('Part III-Sources of Funds'!$P$40="", 0,-'Part III-Sources of Funds'!$P$40)</f>
        <v>0</v>
      </c>
      <c r="N91" s="4046"/>
      <c r="O91" s="4048"/>
    </row>
    <row r="92" spans="1:19" ht="13.35" customHeight="1">
      <c r="A92" s="21" t="str">
        <f>$A60</f>
        <v>D/S Other Source,not DDF</v>
      </c>
      <c r="B92" s="4160">
        <f>IF('Part III-Sources of Funds'!$P$41="", 0,-'Part III-Sources of Funds'!$P$41)</f>
        <v>0</v>
      </c>
      <c r="C92" s="4160">
        <f>IF('Part III-Sources of Funds'!$P$41="", 0,-'Part III-Sources of Funds'!$P$41)</f>
        <v>0</v>
      </c>
      <c r="D92" s="4160">
        <f>IF('Part III-Sources of Funds'!$P$41="", 0,-'Part III-Sources of Funds'!$P$41)</f>
        <v>0</v>
      </c>
      <c r="E92" s="4160">
        <f>IF('Part III-Sources of Funds'!$P$41="", 0,-'Part III-Sources of Funds'!$P$41)</f>
        <v>0</v>
      </c>
      <c r="F92" s="4160">
        <f>IF('Part III-Sources of Funds'!$P$41="", 0,-'Part III-Sources of Funds'!$P$41)</f>
        <v>0</v>
      </c>
      <c r="G92" s="4160">
        <f>IF('Part III-Sources of Funds'!$P$41="", 0,-'Part III-Sources of Funds'!$P$41)</f>
        <v>0</v>
      </c>
      <c r="H92" s="4160">
        <f>IF('Part III-Sources of Funds'!$P$41="", 0,-'Part III-Sources of Funds'!$P$41)</f>
        <v>0</v>
      </c>
      <c r="I92" s="4160">
        <f>IF('Part III-Sources of Funds'!$P$41="", 0,-'Part III-Sources of Funds'!$P$41)</f>
        <v>0</v>
      </c>
      <c r="J92" s="4160">
        <f>IF('Part III-Sources of Funds'!$P$41="", 0,-'Part III-Sources of Funds'!$P$41)</f>
        <v>0</v>
      </c>
      <c r="K92" s="4160">
        <f>IF('Part III-Sources of Funds'!$P$41="", 0,-'Part III-Sources of Funds'!$P$41)</f>
        <v>0</v>
      </c>
      <c r="N92" s="4046"/>
      <c r="O92" s="4048"/>
    </row>
    <row r="93" spans="1:19" ht="13.35" customHeight="1">
      <c r="A93" s="21" t="s">
        <v>745</v>
      </c>
      <c r="B93" s="4161"/>
      <c r="C93" s="4161"/>
      <c r="D93" s="4161"/>
      <c r="E93" s="4161"/>
      <c r="F93" s="4161"/>
      <c r="G93" s="4161"/>
      <c r="H93" s="4161"/>
      <c r="I93" s="4161"/>
      <c r="J93" s="4161"/>
      <c r="K93" s="4161"/>
      <c r="N93" s="4046"/>
      <c r="O93" s="4048"/>
    </row>
    <row r="94" spans="1:19" ht="13.35" customHeight="1">
      <c r="A94" s="417" t="s">
        <v>1141</v>
      </c>
      <c r="B94" s="4163">
        <f>+K62</f>
        <v>-5000</v>
      </c>
      <c r="C94" s="4163">
        <f t="shared" ref="C94:K94" si="40">+B94</f>
        <v>-5000</v>
      </c>
      <c r="D94" s="4163">
        <f t="shared" si="40"/>
        <v>-5000</v>
      </c>
      <c r="E94" s="4163">
        <f t="shared" si="40"/>
        <v>-5000</v>
      </c>
      <c r="F94" s="4163">
        <f t="shared" si="40"/>
        <v>-5000</v>
      </c>
      <c r="G94" s="4163">
        <f t="shared" si="40"/>
        <v>-5000</v>
      </c>
      <c r="H94" s="4163">
        <f t="shared" si="40"/>
        <v>-5000</v>
      </c>
      <c r="I94" s="4163">
        <f t="shared" si="40"/>
        <v>-5000</v>
      </c>
      <c r="J94" s="4163">
        <f t="shared" si="40"/>
        <v>-5000</v>
      </c>
      <c r="K94" s="4163">
        <f t="shared" si="40"/>
        <v>-5000</v>
      </c>
      <c r="N94" s="4046"/>
      <c r="O94" s="4048"/>
    </row>
    <row r="95" spans="1:19" ht="13.35" customHeight="1">
      <c r="A95" s="21" t="s">
        <v>1142</v>
      </c>
      <c r="B95" s="22">
        <f t="shared" ref="B95:K95" si="41">SUM(B88:B94)</f>
        <v>13225.677268605625</v>
      </c>
      <c r="C95" s="22">
        <f t="shared" si="41"/>
        <v>9377.5173486692802</v>
      </c>
      <c r="D95" s="22">
        <f t="shared" si="41"/>
        <v>5325.4462263749374</v>
      </c>
      <c r="E95" s="22">
        <f t="shared" si="41"/>
        <v>1062.7284375565832</v>
      </c>
      <c r="F95" s="22">
        <f t="shared" si="41"/>
        <v>-3420.6087084383762</v>
      </c>
      <c r="G95" s="22">
        <f t="shared" si="41"/>
        <v>-8130.7829487955896</v>
      </c>
      <c r="H95" s="22">
        <f t="shared" si="41"/>
        <v>-13077.26513594576</v>
      </c>
      <c r="I95" s="22">
        <f t="shared" si="41"/>
        <v>-18268.787562684134</v>
      </c>
      <c r="J95" s="22">
        <f t="shared" si="41"/>
        <v>-23716.35255167765</v>
      </c>
      <c r="K95" s="23">
        <f t="shared" si="41"/>
        <v>-29427.241317583394</v>
      </c>
      <c r="N95" s="4046"/>
      <c r="O95" s="4048"/>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4046"/>
      <c r="O96" s="404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4046"/>
      <c r="O97" s="404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4046"/>
      <c r="O98" s="404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46"/>
      <c r="O99" s="4048"/>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4046"/>
      <c r="O100" s="4048"/>
    </row>
    <row r="101" spans="1:15" ht="13.35" customHeight="1">
      <c r="A101" s="21" t="s">
        <v>752</v>
      </c>
      <c r="B101" s="265">
        <f>IF(OR(B85="Choose mgt fee",B85="Choose One!"),"",(B78+B79+B80+B81+B82) / -(B84+B85+B86))</f>
        <v>1.0432599162549554</v>
      </c>
      <c r="C101" s="265">
        <f t="shared" ref="C101:K101" si="47">IF(OR(C85="Choose mgt fee",C85="Choose One!"),"",(C78+C79+C80+C81+C82) / -(C84+C85+C86))</f>
        <v>1.0331321077110593</v>
      </c>
      <c r="D101" s="265">
        <f t="shared" si="47"/>
        <v>1.0231013097676249</v>
      </c>
      <c r="E101" s="265">
        <f t="shared" si="47"/>
        <v>1.0131691896539643</v>
      </c>
      <c r="F101" s="265">
        <f t="shared" si="47"/>
        <v>1.0033307547352186</v>
      </c>
      <c r="G101" s="265">
        <f t="shared" si="47"/>
        <v>0.99358984219346302</v>
      </c>
      <c r="H101" s="265">
        <f t="shared" si="47"/>
        <v>0.98394378873045274</v>
      </c>
      <c r="I101" s="265">
        <f t="shared" si="47"/>
        <v>0.9743921399380705</v>
      </c>
      <c r="J101" s="265">
        <f t="shared" si="47"/>
        <v>0.9649308287875108</v>
      </c>
      <c r="K101" s="266">
        <f t="shared" si="47"/>
        <v>0.9555632984028567</v>
      </c>
      <c r="N101" s="4046"/>
      <c r="O101" s="4048"/>
    </row>
    <row r="102" spans="1:15" ht="13.35" customHeight="1">
      <c r="A102" s="417" t="s">
        <v>2549</v>
      </c>
      <c r="B102" s="4164" t="str">
        <f>IF('Part III-Sources of Funds'!$I$38="","",-FV('Part III-Sources of Funds'!$K$38/12,12,B89/12,K71))</f>
        <v/>
      </c>
      <c r="C102" s="4164" t="str">
        <f>IF('Part III-Sources of Funds'!$I$38="","",-FV('Part III-Sources of Funds'!$K$38/12,12,C89/12,B102))</f>
        <v/>
      </c>
      <c r="D102" s="4164" t="str">
        <f>IF('Part III-Sources of Funds'!$I$38="","",-FV('Part III-Sources of Funds'!$K$38/12,12,D89/12,C102))</f>
        <v/>
      </c>
      <c r="E102" s="4164" t="str">
        <f>IF('Part III-Sources of Funds'!$I$38="","",-FV('Part III-Sources of Funds'!$K$38/12,12,E89/12,D102))</f>
        <v/>
      </c>
      <c r="F102" s="4164" t="str">
        <f>IF('Part III-Sources of Funds'!$I$38="","",-FV('Part III-Sources of Funds'!$K$38/12,12,F89/12,E102))</f>
        <v/>
      </c>
      <c r="G102" s="4164" t="str">
        <f>IF('Part III-Sources of Funds'!$I$38="","",-FV('Part III-Sources of Funds'!$K$38/12,12,G89/12,F102))</f>
        <v/>
      </c>
      <c r="H102" s="4164" t="str">
        <f>IF('Part III-Sources of Funds'!$I$38="","",-FV('Part III-Sources of Funds'!$K$38/12,12,H89/12,G102))</f>
        <v/>
      </c>
      <c r="I102" s="4164" t="str">
        <f>IF('Part III-Sources of Funds'!$I$38="","",-FV('Part III-Sources of Funds'!$K$38/12,12,I89/12,H102))</f>
        <v/>
      </c>
      <c r="J102" s="4164" t="str">
        <f>IF('Part III-Sources of Funds'!$I$38="","",-FV('Part III-Sources of Funds'!$K$38/12,12,J89/12,I102))</f>
        <v/>
      </c>
      <c r="K102" s="4164" t="str">
        <f>IF('Part III-Sources of Funds'!$I$38="","",-FV('Part III-Sources of Funds'!$K$38/12,12,K89/12,J102))</f>
        <v/>
      </c>
      <c r="N102" s="4046"/>
      <c r="O102" s="4048"/>
    </row>
    <row r="103" spans="1:15" ht="13.35" customHeight="1">
      <c r="A103" s="417" t="s">
        <v>2550</v>
      </c>
      <c r="B103" s="4160" t="str">
        <f>IF('Part III-Sources of Funds'!$I$39="","",-FV('Part III-Sources of Funds'!$K$39/12,12,B90/12,K72))</f>
        <v/>
      </c>
      <c r="C103" s="4160" t="str">
        <f>IF('Part III-Sources of Funds'!$I$39="","",-FV('Part III-Sources of Funds'!$K$39/12,12,C90/12,B103))</f>
        <v/>
      </c>
      <c r="D103" s="4160" t="str">
        <f>IF('Part III-Sources of Funds'!$I$39="","",-FV('Part III-Sources of Funds'!$K$39/12,12,D90/12,C103))</f>
        <v/>
      </c>
      <c r="E103" s="4160" t="str">
        <f>IF('Part III-Sources of Funds'!$I$39="","",-FV('Part III-Sources of Funds'!$K$39/12,12,E90/12,D103))</f>
        <v/>
      </c>
      <c r="F103" s="4160" t="str">
        <f>IF('Part III-Sources of Funds'!$I$39="","",-FV('Part III-Sources of Funds'!$K$39/12,12,F90/12,E103))</f>
        <v/>
      </c>
      <c r="G103" s="4160" t="str">
        <f>IF('Part III-Sources of Funds'!$I$39="","",-FV('Part III-Sources of Funds'!$K$39/12,12,G90/12,F103))</f>
        <v/>
      </c>
      <c r="H103" s="4160" t="str">
        <f>IF('Part III-Sources of Funds'!$I$39="","",-FV('Part III-Sources of Funds'!$K$39/12,12,H90/12,G103))</f>
        <v/>
      </c>
      <c r="I103" s="4160" t="str">
        <f>IF('Part III-Sources of Funds'!$I$39="","",-FV('Part III-Sources of Funds'!$K$39/12,12,I90/12,H103))</f>
        <v/>
      </c>
      <c r="J103" s="4160" t="str">
        <f>IF('Part III-Sources of Funds'!$I$39="","",-FV('Part III-Sources of Funds'!$K$39/12,12,J90/12,I103))</f>
        <v/>
      </c>
      <c r="K103" s="4160" t="str">
        <f>IF('Part III-Sources of Funds'!$I$39="","",-FV('Part III-Sources of Funds'!$K$39/12,12,K90/12,J103))</f>
        <v/>
      </c>
      <c r="N103" s="4046"/>
      <c r="O103" s="4048"/>
    </row>
    <row r="104" spans="1:15" ht="13.35" customHeight="1">
      <c r="A104" s="417" t="s">
        <v>2551</v>
      </c>
      <c r="B104" s="4160" t="str">
        <f>IF('Part III-Sources of Funds'!$I$40="","",-FV('Part III-Sources of Funds'!$K$40/12,12,B91/12,K73))</f>
        <v/>
      </c>
      <c r="C104" s="4160" t="str">
        <f>IF('Part III-Sources of Funds'!$I$40="","",-FV('Part III-Sources of Funds'!$K$40/12,12,C91/12,B104))</f>
        <v/>
      </c>
      <c r="D104" s="4160" t="str">
        <f>IF('Part III-Sources of Funds'!$I$40="","",-FV('Part III-Sources of Funds'!$K$40/12,12,D91/12,C104))</f>
        <v/>
      </c>
      <c r="E104" s="4160" t="str">
        <f>IF('Part III-Sources of Funds'!$I$40="","",-FV('Part III-Sources of Funds'!$K$40/12,12,E91/12,D104))</f>
        <v/>
      </c>
      <c r="F104" s="4160" t="str">
        <f>IF('Part III-Sources of Funds'!$I$40="","",-FV('Part III-Sources of Funds'!$K$40/12,12,F91/12,E104))</f>
        <v/>
      </c>
      <c r="G104" s="4160" t="str">
        <f>IF('Part III-Sources of Funds'!$I$40="","",-FV('Part III-Sources of Funds'!$K$40/12,12,G91/12,F104))</f>
        <v/>
      </c>
      <c r="H104" s="4160" t="str">
        <f>IF('Part III-Sources of Funds'!$I$40="","",-FV('Part III-Sources of Funds'!$K$40/12,12,H91/12,G104))</f>
        <v/>
      </c>
      <c r="I104" s="4160" t="str">
        <f>IF('Part III-Sources of Funds'!$I$40="","",-FV('Part III-Sources of Funds'!$K$40/12,12,I91/12,H104))</f>
        <v/>
      </c>
      <c r="J104" s="4160" t="str">
        <f>IF('Part III-Sources of Funds'!$I$40="","",-FV('Part III-Sources of Funds'!$K$40/12,12,J91/12,I104))</f>
        <v/>
      </c>
      <c r="K104" s="4160" t="str">
        <f>IF('Part III-Sources of Funds'!$I$40="","",-FV('Part III-Sources of Funds'!$K$40/12,12,K91/12,J104))</f>
        <v/>
      </c>
      <c r="N104" s="4046"/>
      <c r="O104" s="4048"/>
    </row>
    <row r="105" spans="1:15" ht="13.35" customHeight="1">
      <c r="A105" s="21" t="s">
        <v>764</v>
      </c>
      <c r="B105" s="4163" t="str">
        <f>IF('Part III-Sources of Funds'!$I$41="","",-FV('Part III-Sources of Funds'!$K$41/12,12,B92/12,K74))</f>
        <v/>
      </c>
      <c r="C105" s="4163" t="str">
        <f>IF('Part III-Sources of Funds'!$I$41="","",-FV('Part III-Sources of Funds'!$K$41/12,12,C92/12,B105))</f>
        <v/>
      </c>
      <c r="D105" s="4163" t="str">
        <f>IF('Part III-Sources of Funds'!$I$41="","",-FV('Part III-Sources of Funds'!$K$41/12,12,D92/12,C105))</f>
        <v/>
      </c>
      <c r="E105" s="4163" t="str">
        <f>IF('Part III-Sources of Funds'!$I$41="","",-FV('Part III-Sources of Funds'!$K$41/12,12,E92/12,D105))</f>
        <v/>
      </c>
      <c r="F105" s="4163" t="str">
        <f>IF('Part III-Sources of Funds'!$I$41="","",-FV('Part III-Sources of Funds'!$K$41/12,12,F92/12,E105))</f>
        <v/>
      </c>
      <c r="G105" s="4163" t="str">
        <f>IF('Part III-Sources of Funds'!$I$41="","",-FV('Part III-Sources of Funds'!$K$41/12,12,G92/12,F105))</f>
        <v/>
      </c>
      <c r="H105" s="4163" t="str">
        <f>IF('Part III-Sources of Funds'!$I$41="","",-FV('Part III-Sources of Funds'!$K$41/12,12,H92/12,G105))</f>
        <v/>
      </c>
      <c r="I105" s="4163" t="str">
        <f>IF('Part III-Sources of Funds'!$I$41="","",-FV('Part III-Sources of Funds'!$K$41/12,12,I92/12,H105))</f>
        <v/>
      </c>
      <c r="J105" s="4163" t="str">
        <f>IF('Part III-Sources of Funds'!$I$41="","",-FV('Part III-Sources of Funds'!$K$41/12,12,J92/12,I105))</f>
        <v/>
      </c>
      <c r="K105" s="4163" t="str">
        <f>IF('Part III-Sources of Funds'!$I$41="","",-FV('Part III-Sources of Funds'!$K$41/12,12,K92/12,J105))</f>
        <v/>
      </c>
      <c r="N105" s="4077"/>
      <c r="O105" s="4079"/>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9" t="s">
        <v>3523</v>
      </c>
      <c r="O107" s="2509"/>
    </row>
    <row r="108" spans="1:15" ht="13.35" customHeight="1">
      <c r="A108" s="18" t="s">
        <v>2341</v>
      </c>
      <c r="B108" s="19">
        <f>$B$14*(1+$B$5)^(B107-1)</f>
        <v>564818.76915510767</v>
      </c>
      <c r="C108" s="19">
        <f>$B$14*(1+$B$5)^(C107-1)</f>
        <v>576115.14453820966</v>
      </c>
      <c r="D108" s="19">
        <f>$B$14*(1+$B$5)^(D107-1)</f>
        <v>587637.44742897397</v>
      </c>
      <c r="E108" s="19">
        <f>$B$14*(1+$B$5)^(E107-1)</f>
        <v>599390.19637755351</v>
      </c>
      <c r="F108" s="596">
        <f>$B$14*(1+$B$5)^(F107-1)</f>
        <v>611378.00030510454</v>
      </c>
      <c r="G108" s="17"/>
      <c r="H108" s="17"/>
      <c r="I108" s="17"/>
      <c r="J108" s="17"/>
      <c r="K108" s="17"/>
      <c r="N108" s="4084"/>
      <c r="O108" s="4086"/>
    </row>
    <row r="109" spans="1:15" ht="13.35" customHeight="1">
      <c r="A109" s="21" t="s">
        <v>994</v>
      </c>
      <c r="B109" s="22">
        <f>$B$15*(1+$B$5)^(B107-1)</f>
        <v>11296.375383102155</v>
      </c>
      <c r="C109" s="22">
        <f>$B$15*(1+$B$5)^(C107-1)</f>
        <v>11522.302890764195</v>
      </c>
      <c r="D109" s="22">
        <f>$B$15*(1+$B$5)^(D107-1)</f>
        <v>11752.748948579481</v>
      </c>
      <c r="E109" s="22">
        <f>$B$15*(1+$B$5)^(E107-1)</f>
        <v>11987.803927551071</v>
      </c>
      <c r="F109" s="23">
        <f>$B$15*(1+$B$5)^(F107-1)</f>
        <v>12227.560006102092</v>
      </c>
      <c r="G109" s="17"/>
      <c r="H109" s="17"/>
      <c r="I109" s="17"/>
      <c r="J109" s="17"/>
      <c r="K109" s="17"/>
      <c r="N109" s="4046"/>
      <c r="O109" s="4048"/>
    </row>
    <row r="110" spans="1:15" ht="13.35" customHeight="1">
      <c r="A110" s="21" t="s">
        <v>2342</v>
      </c>
      <c r="B110" s="22">
        <f>-(B108+B109)*$B$8</f>
        <v>-40328.060117674686</v>
      </c>
      <c r="C110" s="22">
        <f>-(C108+C109)*$B$8</f>
        <v>-41134.621320028171</v>
      </c>
      <c r="D110" s="22">
        <f>-(D108+D109)*$B$8</f>
        <v>-41957.31374642875</v>
      </c>
      <c r="E110" s="22">
        <f>-(E108+E109)*$B$8</f>
        <v>-42796.460021357321</v>
      </c>
      <c r="F110" s="23">
        <f>-(F108+F109)*$B$8</f>
        <v>-43652.38922178447</v>
      </c>
      <c r="G110" s="17"/>
      <c r="H110" s="17"/>
      <c r="I110" s="17"/>
      <c r="J110" s="17"/>
      <c r="K110" s="17"/>
      <c r="N110" s="4046"/>
      <c r="O110" s="404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46"/>
      <c r="O111" s="404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46"/>
      <c r="O112" s="4048"/>
    </row>
    <row r="113" spans="1:19" ht="13.35" customHeight="1">
      <c r="A113" s="417" t="s">
        <v>4377</v>
      </c>
      <c r="B113" s="22">
        <f>SUM(B108:B112)</f>
        <v>535787.08442053513</v>
      </c>
      <c r="C113" s="22">
        <f>SUM(C108:C112)</f>
        <v>546502.82610894565</v>
      </c>
      <c r="D113" s="22">
        <f>SUM(D108:D112)</f>
        <v>557432.88263112481</v>
      </c>
      <c r="E113" s="22">
        <f>SUM(E108:E112)</f>
        <v>568581.54028374725</v>
      </c>
      <c r="F113" s="23">
        <f>SUM(F108:F112)</f>
        <v>579953.17108942219</v>
      </c>
      <c r="G113" s="17"/>
      <c r="H113" s="17"/>
      <c r="I113" s="17"/>
      <c r="J113" s="17"/>
      <c r="K113" s="17"/>
      <c r="N113" s="4046"/>
      <c r="O113" s="4048"/>
    </row>
    <row r="114" spans="1:19" ht="13.35" customHeight="1">
      <c r="A114" s="21" t="s">
        <v>597</v>
      </c>
      <c r="B114" s="22">
        <f>$B$20*(1+$B$6)^(B107-1)</f>
        <v>-481148.95787651255</v>
      </c>
      <c r="C114" s="22">
        <f>$B$20*(1+$B$6)^(C107-1)</f>
        <v>-495583.42661280802</v>
      </c>
      <c r="D114" s="22">
        <f>$B$20*(1+$B$6)^(D107-1)</f>
        <v>-510450.92941119213</v>
      </c>
      <c r="E114" s="22">
        <f>$B$20*(1+$B$6)^(E107-1)</f>
        <v>-525764.4572935279</v>
      </c>
      <c r="F114" s="23">
        <f>$B$20*(1+$B$6)^(F107-1)</f>
        <v>-541537.39101233368</v>
      </c>
      <c r="G114" s="17"/>
      <c r="H114" s="17"/>
      <c r="I114" s="17"/>
      <c r="J114" s="17"/>
      <c r="K114" s="17"/>
      <c r="N114" s="4046"/>
      <c r="O114" s="404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-55924</v>
      </c>
      <c r="C115" s="22">
        <f>IF(AND('Part VII-Pro Forma'!$G$8="Yes",'Part VII-Pro Forma'!$G$9="Yes"),"Choose One!",IF('Part VII-Pro Forma'!$G$8="Yes",ROUND((-$K$8*(1+'Part VII-Pro Forma'!$B$6)^('Part VII-Pro Forma'!C107-1)),),IF('Part VII-Pro Forma'!$G$9="Yes",ROUND((-(SUM(C108:C111)*'Part VII-Pro Forma'!$K$9)),),"Choose mgt fee")))</f>
        <v>-57602</v>
      </c>
      <c r="D115" s="22">
        <f>IF(AND('Part VII-Pro Forma'!$G$8="Yes",'Part VII-Pro Forma'!$G$9="Yes"),"Choose One!",IF('Part VII-Pro Forma'!$G$8="Yes",ROUND((-$K$8*(1+'Part VII-Pro Forma'!$B$6)^('Part VII-Pro Forma'!D107-1)),),IF('Part VII-Pro Forma'!$G$9="Yes",ROUND((-(SUM(D108:D111)*'Part VII-Pro Forma'!$K$9)),),"Choose mgt fee")))</f>
        <v>-59330</v>
      </c>
      <c r="E115" s="22">
        <f>IF(AND('Part VII-Pro Forma'!$G$8="Yes",'Part VII-Pro Forma'!$G$9="Yes"),"Choose One!",IF('Part VII-Pro Forma'!$G$8="Yes",ROUND((-$K$8*(1+'Part VII-Pro Forma'!$B$6)^('Part VII-Pro Forma'!E107-1)),),IF('Part VII-Pro Forma'!$G$9="Yes",ROUND((-(SUM(E108:E111)*'Part VII-Pro Forma'!$K$9)),),"Choose mgt fee")))</f>
        <v>-61110</v>
      </c>
      <c r="F115" s="23">
        <f>IF(AND('Part VII-Pro Forma'!$G$8="Yes",'Part VII-Pro Forma'!$G$9="Yes"),"Choose One!",IF('Part VII-Pro Forma'!$G$8="Yes",ROUND((-$K$8*(1+'Part VII-Pro Forma'!$B$6)^('Part VII-Pro Forma'!F107-1)),),IF('Part VII-Pro Forma'!$G$9="Yes",ROUND((-(SUM(F108:F111)*'Part VII-Pro Forma'!$K$9)),),"Choose mgt fee")))</f>
        <v>-62943</v>
      </c>
      <c r="G115" s="17"/>
      <c r="H115" s="17"/>
      <c r="I115" s="17"/>
      <c r="J115" s="17"/>
      <c r="K115" s="17"/>
      <c r="N115" s="4046"/>
      <c r="O115" s="4048"/>
    </row>
    <row r="116" spans="1:19" ht="13.35" customHeight="1">
      <c r="A116" s="21" t="s">
        <v>1176</v>
      </c>
      <c r="B116" s="22">
        <f>$B$22*(1+$B$7)^(B107-1)</f>
        <v>-29127.149654275909</v>
      </c>
      <c r="C116" s="22">
        <f>$B$22*(1+$B$7)^(C107-1)</f>
        <v>-30000.964143904192</v>
      </c>
      <c r="D116" s="22">
        <f>$B$22*(1+$B$7)^(D107-1)</f>
        <v>-30900.993068221313</v>
      </c>
      <c r="E116" s="22">
        <f>$B$22*(1+$B$7)^(E107-1)</f>
        <v>-31828.022860267953</v>
      </c>
      <c r="F116" s="23">
        <f>$B$22*(1+$B$7)^(F107-1)</f>
        <v>-32782.863546075983</v>
      </c>
      <c r="G116" s="17"/>
      <c r="H116" s="17"/>
      <c r="I116" s="17"/>
      <c r="J116" s="17"/>
      <c r="K116" s="17"/>
      <c r="N116" s="4046"/>
      <c r="O116" s="4048"/>
      <c r="Q116" s="929">
        <v>10</v>
      </c>
      <c r="R116" s="1043">
        <f>-SUM(B122:K122)</f>
        <v>0</v>
      </c>
      <c r="S116" s="1043">
        <f>SUM(B123:K123)+R116</f>
        <v>0</v>
      </c>
    </row>
    <row r="117" spans="1:19" ht="13.35" customHeight="1">
      <c r="A117" s="417" t="s">
        <v>4376</v>
      </c>
      <c r="B117" s="4158">
        <f>IF(B107&lt;=+'Part VI-Revenues &amp; Expenses'!$N$250,-'Part VI-Revenues &amp; Expenses'!$K$250,0)</f>
        <v>0</v>
      </c>
      <c r="C117" s="4158">
        <f>IF(C107&lt;=+'Part VI-Revenues &amp; Expenses'!$N$250,-'Part VI-Revenues &amp; Expenses'!$K$250,0)</f>
        <v>0</v>
      </c>
      <c r="D117" s="4158">
        <f>IF(D107&lt;=+'Part VI-Revenues &amp; Expenses'!$N$250,-'Part VI-Revenues &amp; Expenses'!$K$250,0)</f>
        <v>0</v>
      </c>
      <c r="E117" s="4158">
        <f>IF(E107&lt;=+'Part VI-Revenues &amp; Expenses'!$N$250,-'Part VI-Revenues &amp; Expenses'!$K$250,0)</f>
        <v>0</v>
      </c>
      <c r="F117" s="4158">
        <f>IF(F107&lt;=+'Part VI-Revenues &amp; Expenses'!$N$250,-'Part VI-Revenues &amp; Expenses'!$K$250,0)</f>
        <v>0</v>
      </c>
      <c r="G117" s="17"/>
      <c r="H117" s="17"/>
      <c r="I117" s="17"/>
      <c r="J117" s="17"/>
      <c r="K117" s="17"/>
      <c r="N117" s="4046"/>
      <c r="O117" s="4048"/>
    </row>
    <row r="118" spans="1:19" ht="13.35" customHeight="1">
      <c r="A118" s="21" t="s">
        <v>1177</v>
      </c>
      <c r="B118" s="22">
        <f>SUM(B113:B117)</f>
        <v>-30413.023110253325</v>
      </c>
      <c r="C118" s="22">
        <f>SUM(C113:C117)</f>
        <v>-36683.564647766558</v>
      </c>
      <c r="D118" s="22">
        <f>SUM(D113:D117)</f>
        <v>-43249.039848288638</v>
      </c>
      <c r="E118" s="22">
        <f>SUM(E113:E117)</f>
        <v>-50120.939870048605</v>
      </c>
      <c r="F118" s="1482">
        <f>SUM(F113:F117)</f>
        <v>-57310.083468987475</v>
      </c>
      <c r="G118" s="17"/>
      <c r="H118" s="17"/>
      <c r="I118" s="17"/>
      <c r="J118" s="17"/>
      <c r="K118" s="17"/>
      <c r="N118" s="4046"/>
      <c r="O118" s="4048"/>
    </row>
    <row r="119" spans="1:19" ht="13.35" customHeight="1">
      <c r="A119" s="21" t="str">
        <f>$A89</f>
        <v>Mortgage A</v>
      </c>
      <c r="B119" s="4159">
        <f>IF('Part III-Sources of Funds'!$P$38="", 0,-'Part III-Sources of Funds'!$P$38)</f>
        <v>0</v>
      </c>
      <c r="C119" s="4159">
        <f>IF('Part III-Sources of Funds'!$P$38="", 0,-'Part III-Sources of Funds'!$P$38)</f>
        <v>0</v>
      </c>
      <c r="D119" s="4159">
        <f>IF('Part III-Sources of Funds'!$P$38="", 0,-'Part III-Sources of Funds'!$P$38)</f>
        <v>0</v>
      </c>
      <c r="E119" s="4159">
        <f>IF('Part III-Sources of Funds'!$P$38="", 0,-'Part III-Sources of Funds'!$P$38)</f>
        <v>0</v>
      </c>
      <c r="F119" s="4159">
        <f>IF('Part III-Sources of Funds'!$P$38="", 0,-'Part III-Sources of Funds'!$P$38)</f>
        <v>0</v>
      </c>
      <c r="G119" s="17"/>
      <c r="H119" s="17"/>
      <c r="I119" s="17"/>
      <c r="J119" s="17"/>
      <c r="K119" s="17"/>
      <c r="N119" s="4046"/>
      <c r="O119" s="4048"/>
    </row>
    <row r="120" spans="1:19" ht="13.35" customHeight="1">
      <c r="A120" s="21" t="str">
        <f>$A90</f>
        <v>Mortgage B</v>
      </c>
      <c r="B120" s="4160">
        <f>IF('Part III-Sources of Funds'!$P$39="", 0,-'Part III-Sources of Funds'!$P$39)</f>
        <v>0</v>
      </c>
      <c r="C120" s="4160">
        <f>IF('Part III-Sources of Funds'!$P$39="", 0,-'Part III-Sources of Funds'!$P$39)</f>
        <v>0</v>
      </c>
      <c r="D120" s="4160">
        <f>IF('Part III-Sources of Funds'!$P$39="", 0,-'Part III-Sources of Funds'!$P$39)</f>
        <v>0</v>
      </c>
      <c r="E120" s="4160">
        <f>IF('Part III-Sources of Funds'!$P$39="", 0,-'Part III-Sources of Funds'!$P$39)</f>
        <v>0</v>
      </c>
      <c r="F120" s="4160">
        <f>IF('Part III-Sources of Funds'!$P$39="", 0,-'Part III-Sources of Funds'!$P$39)</f>
        <v>0</v>
      </c>
      <c r="G120" s="17"/>
      <c r="H120" s="17"/>
      <c r="I120" s="17"/>
      <c r="J120" s="17"/>
      <c r="K120" s="17"/>
      <c r="N120" s="4046"/>
      <c r="O120" s="4048"/>
    </row>
    <row r="121" spans="1:19" ht="13.35" customHeight="1">
      <c r="A121" s="21" t="str">
        <f>$A91</f>
        <v>Mortgage C</v>
      </c>
      <c r="B121" s="4160">
        <f>IF('Part III-Sources of Funds'!$P$40="", 0,-'Part III-Sources of Funds'!$P$40)</f>
        <v>0</v>
      </c>
      <c r="C121" s="4160">
        <f>IF('Part III-Sources of Funds'!$P$40="", 0,-'Part III-Sources of Funds'!$P$40)</f>
        <v>0</v>
      </c>
      <c r="D121" s="4160">
        <f>IF('Part III-Sources of Funds'!$P$40="", 0,-'Part III-Sources of Funds'!$P$40)</f>
        <v>0</v>
      </c>
      <c r="E121" s="4160">
        <f>IF('Part III-Sources of Funds'!$P$40="", 0,-'Part III-Sources of Funds'!$P$40)</f>
        <v>0</v>
      </c>
      <c r="F121" s="4160">
        <f>IF('Part III-Sources of Funds'!$P$40="", 0,-'Part III-Sources of Funds'!$P$40)</f>
        <v>0</v>
      </c>
      <c r="G121" s="17"/>
      <c r="H121" s="17"/>
      <c r="I121" s="17"/>
      <c r="J121" s="17"/>
      <c r="K121" s="17"/>
      <c r="N121" s="4046"/>
      <c r="O121" s="4048"/>
    </row>
    <row r="122" spans="1:19" ht="13.35" customHeight="1">
      <c r="A122" s="21" t="str">
        <f>$A92</f>
        <v>D/S Other Source,not DDF</v>
      </c>
      <c r="B122" s="4160">
        <f>IF('Part III-Sources of Funds'!$P$41="", 0,-'Part III-Sources of Funds'!$P$41)</f>
        <v>0</v>
      </c>
      <c r="C122" s="4160">
        <f>IF('Part III-Sources of Funds'!$P$41="", 0,-'Part III-Sources of Funds'!$P$41)</f>
        <v>0</v>
      </c>
      <c r="D122" s="4160">
        <f>IF('Part III-Sources of Funds'!$P$41="", 0,-'Part III-Sources of Funds'!$P$41)</f>
        <v>0</v>
      </c>
      <c r="E122" s="4160">
        <f>IF('Part III-Sources of Funds'!$P$41="", 0,-'Part III-Sources of Funds'!$P$41)</f>
        <v>0</v>
      </c>
      <c r="F122" s="4160">
        <f>IF('Part III-Sources of Funds'!$P$41="", 0,-'Part III-Sources of Funds'!$P$41)</f>
        <v>0</v>
      </c>
      <c r="G122" s="17"/>
      <c r="H122" s="17"/>
      <c r="I122" s="17"/>
      <c r="J122" s="17"/>
      <c r="K122" s="17"/>
      <c r="N122" s="4046"/>
      <c r="O122" s="4048"/>
    </row>
    <row r="123" spans="1:19" ht="13.35" customHeight="1">
      <c r="A123" s="21" t="s">
        <v>745</v>
      </c>
      <c r="B123" s="4161"/>
      <c r="C123" s="4161"/>
      <c r="D123" s="4161"/>
      <c r="E123" s="4161"/>
      <c r="F123" s="4161"/>
      <c r="G123" s="17"/>
      <c r="H123" s="17"/>
      <c r="I123" s="17"/>
      <c r="J123" s="17"/>
      <c r="K123" s="17"/>
      <c r="N123" s="4046"/>
      <c r="O123" s="4048"/>
    </row>
    <row r="124" spans="1:19" ht="13.35" customHeight="1">
      <c r="A124" s="21" t="s">
        <v>1141</v>
      </c>
      <c r="B124" s="4163">
        <f>+K94</f>
        <v>-5000</v>
      </c>
      <c r="C124" s="4163">
        <f>+B124</f>
        <v>-5000</v>
      </c>
      <c r="D124" s="4163">
        <f>+C124</f>
        <v>-5000</v>
      </c>
      <c r="E124" s="4163">
        <f>+D124</f>
        <v>-5000</v>
      </c>
      <c r="F124" s="4163">
        <f>+E124</f>
        <v>-5000</v>
      </c>
      <c r="G124" s="17"/>
      <c r="H124" s="17"/>
      <c r="I124" s="17"/>
      <c r="J124" s="17"/>
      <c r="K124" s="17"/>
      <c r="N124" s="4046"/>
      <c r="O124" s="4048"/>
    </row>
    <row r="125" spans="1:19" ht="13.35" customHeight="1">
      <c r="A125" s="21" t="s">
        <v>1142</v>
      </c>
      <c r="B125" s="22">
        <f>SUM(B118:B124)</f>
        <v>-35413.023110253329</v>
      </c>
      <c r="C125" s="22">
        <f>SUM(C118:C124)</f>
        <v>-41683.564647766558</v>
      </c>
      <c r="D125" s="22">
        <f>SUM(D118:D124)</f>
        <v>-48249.039848288638</v>
      </c>
      <c r="E125" s="22">
        <f>SUM(E118:E124)</f>
        <v>-55120.939870048605</v>
      </c>
      <c r="F125" s="23">
        <f>SUM(F118:F124)</f>
        <v>-62310.083468987475</v>
      </c>
      <c r="G125" s="17"/>
      <c r="H125" s="17"/>
      <c r="I125" s="17"/>
      <c r="J125" s="17"/>
      <c r="K125" s="17"/>
      <c r="N125" s="4046"/>
      <c r="O125" s="4048"/>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46"/>
      <c r="O126" s="404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46"/>
      <c r="O127" s="404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46"/>
      <c r="O128" s="404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46"/>
      <c r="O129" s="4048"/>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46"/>
      <c r="O130" s="4048"/>
    </row>
    <row r="131" spans="1:19" ht="13.35" customHeight="1">
      <c r="A131" s="21" t="s">
        <v>752</v>
      </c>
      <c r="B131" s="265">
        <f>IF(OR(B115="Choose mgt fee",B115="Choose One!"),"",(B108+B109+B110+B111+B112) / -(B114+B115+B116))</f>
        <v>0.94628573413225725</v>
      </c>
      <c r="C131" s="265">
        <f>IF(OR(C115="Choose mgt fee",C115="Choose One!"),"",(C108+C109+C110+C111+C112) / -(C114+C115+C116))</f>
        <v>0.93709804407443764</v>
      </c>
      <c r="D131" s="265">
        <f>IF(OR(D115="Choose mgt fee",D115="Choose One!"),"",(D108+D109+D110+D111+D112) / -(D114+D115+D116))</f>
        <v>0.92800009750622903</v>
      </c>
      <c r="E131" s="265">
        <f>IF(OR(E115="Choose mgt fee",E115="Choose One!"),"",(E108+E109+E110+E111+E112) / -(E114+E115+E116))</f>
        <v>0.91899023928659607</v>
      </c>
      <c r="F131" s="597">
        <f>IF(OR(F115="Choose mgt fee",F115="Choose One!"),"",(F108+F109+F110+F111+F112) / -(F114+F115+F116))</f>
        <v>0.91006843238011514</v>
      </c>
      <c r="G131" s="17"/>
      <c r="H131" s="17"/>
      <c r="I131" s="17"/>
      <c r="J131" s="17"/>
      <c r="K131" s="17"/>
      <c r="N131" s="4046"/>
      <c r="O131" s="4048"/>
    </row>
    <row r="132" spans="1:19" ht="13.35" customHeight="1">
      <c r="A132" s="417" t="s">
        <v>2549</v>
      </c>
      <c r="B132" s="4164" t="str">
        <f>IF('Part III-Sources of Funds'!$I$38="","",-FV('Part III-Sources of Funds'!$K$38/12,12,B119/12,K102))</f>
        <v/>
      </c>
      <c r="C132" s="4164" t="str">
        <f>IF('Part III-Sources of Funds'!$I$38="","",-FV('Part III-Sources of Funds'!$K$38/12,12,C119/12,B132))</f>
        <v/>
      </c>
      <c r="D132" s="4164" t="str">
        <f>IF('Part III-Sources of Funds'!$I$38="","",-FV('Part III-Sources of Funds'!$K$38/12,12,D119/12,C132))</f>
        <v/>
      </c>
      <c r="E132" s="4164" t="str">
        <f>IF('Part III-Sources of Funds'!$I$38="","",-FV('Part III-Sources of Funds'!$K$38/12,12,E119/12,D132))</f>
        <v/>
      </c>
      <c r="F132" s="4164" t="str">
        <f>IF('Part III-Sources of Funds'!$I$38="","",-FV('Part III-Sources of Funds'!$K$38/12,12,F119/12,E132))</f>
        <v/>
      </c>
      <c r="G132" s="17"/>
      <c r="H132" s="17"/>
      <c r="I132" s="17"/>
      <c r="J132" s="17"/>
      <c r="K132" s="17"/>
      <c r="N132" s="4046"/>
      <c r="O132" s="4048"/>
    </row>
    <row r="133" spans="1:19" ht="13.35" customHeight="1">
      <c r="A133" s="417" t="s">
        <v>2550</v>
      </c>
      <c r="B133" s="4160" t="str">
        <f>IF('Part III-Sources of Funds'!$I$39="","",-FV('Part III-Sources of Funds'!$K$39/12,12,B120/12,K103))</f>
        <v/>
      </c>
      <c r="C133" s="4160" t="str">
        <f>IF('Part III-Sources of Funds'!$I$39="","",-FV('Part III-Sources of Funds'!$K$39/12,12,C120/12,B133))</f>
        <v/>
      </c>
      <c r="D133" s="4160" t="str">
        <f>IF('Part III-Sources of Funds'!$I$39="","",-FV('Part III-Sources of Funds'!$K$39/12,12,D120/12,C133))</f>
        <v/>
      </c>
      <c r="E133" s="4160" t="str">
        <f>IF('Part III-Sources of Funds'!$I$39="","",-FV('Part III-Sources of Funds'!$K$39/12,12,E120/12,D133))</f>
        <v/>
      </c>
      <c r="F133" s="4160" t="str">
        <f>IF('Part III-Sources of Funds'!$I$39="","",-FV('Part III-Sources of Funds'!$K$39/12,12,F120/12,E133))</f>
        <v/>
      </c>
      <c r="G133" s="17"/>
      <c r="H133" s="17"/>
      <c r="I133" s="17"/>
      <c r="J133" s="17"/>
      <c r="K133" s="17"/>
      <c r="N133" s="4046"/>
      <c r="O133" s="4048"/>
    </row>
    <row r="134" spans="1:19" ht="13.35" customHeight="1">
      <c r="A134" s="417" t="s">
        <v>2551</v>
      </c>
      <c r="B134" s="4160" t="str">
        <f>IF('Part III-Sources of Funds'!$I$40="","",-FV('Part III-Sources of Funds'!$K$40/12,12,B121/12,K104))</f>
        <v/>
      </c>
      <c r="C134" s="4160" t="str">
        <f>IF('Part III-Sources of Funds'!$I$40="","",-FV('Part III-Sources of Funds'!$K$40/12,12,C121/12,B134))</f>
        <v/>
      </c>
      <c r="D134" s="4160" t="str">
        <f>IF('Part III-Sources of Funds'!$I$40="","",-FV('Part III-Sources of Funds'!$K$40/12,12,D121/12,C134))</f>
        <v/>
      </c>
      <c r="E134" s="4160" t="str">
        <f>IF('Part III-Sources of Funds'!$I$40="","",-FV('Part III-Sources of Funds'!$K$40/12,12,E121/12,D134))</f>
        <v/>
      </c>
      <c r="F134" s="4160" t="str">
        <f>IF('Part III-Sources of Funds'!$I$40="","",-FV('Part III-Sources of Funds'!$K$40/12,12,F121/12,E134))</f>
        <v/>
      </c>
      <c r="G134" s="17"/>
      <c r="H134" s="17"/>
      <c r="I134" s="17"/>
      <c r="J134" s="17"/>
      <c r="K134" s="17"/>
      <c r="N134" s="4046"/>
      <c r="O134" s="4048"/>
    </row>
    <row r="135" spans="1:19" ht="13.35" customHeight="1">
      <c r="A135" s="26" t="s">
        <v>764</v>
      </c>
      <c r="B135" s="4163" t="str">
        <f>IF('Part III-Sources of Funds'!$I$41="","",-FV('Part III-Sources of Funds'!$K$41/12,12,B122/12,K105))</f>
        <v/>
      </c>
      <c r="C135" s="4163" t="str">
        <f>IF('Part III-Sources of Funds'!$I$41="","",-FV('Part III-Sources of Funds'!$K$41/12,12,C122/12,B135))</f>
        <v/>
      </c>
      <c r="D135" s="4163" t="str">
        <f>IF('Part III-Sources of Funds'!$I$41="","",-FV('Part III-Sources of Funds'!$K$41/12,12,D122/12,C135))</f>
        <v/>
      </c>
      <c r="E135" s="4163" t="str">
        <f>IF('Part III-Sources of Funds'!$I$41="","",-FV('Part III-Sources of Funds'!$K$41/12,12,E122/12,D135))</f>
        <v/>
      </c>
      <c r="F135" s="4163" t="str">
        <f>IF('Part III-Sources of Funds'!$I$41="","",-FV('Part III-Sources of Funds'!$K$41/12,12,F122/12,E135))</f>
        <v/>
      </c>
      <c r="G135" s="17"/>
      <c r="H135" s="17"/>
      <c r="I135" s="17"/>
      <c r="J135" s="17"/>
      <c r="K135" s="17"/>
      <c r="N135" s="4077"/>
      <c r="O135" s="4079"/>
    </row>
    <row r="136" spans="1:19" ht="4.3499999999999996" customHeight="1"/>
    <row r="137" spans="1:19" ht="12" customHeight="1">
      <c r="A137" s="13" t="s">
        <v>554</v>
      </c>
      <c r="B137" s="13"/>
      <c r="G137" s="13" t="s">
        <v>1009</v>
      </c>
    </row>
    <row r="138" spans="1:19" ht="12" customHeight="1">
      <c r="B138" s="31"/>
    </row>
    <row r="139" spans="1:19" ht="409.5" customHeight="1">
      <c r="A139" s="3771" t="s">
        <v>7096</v>
      </c>
      <c r="B139" s="4165"/>
      <c r="C139" s="4165"/>
      <c r="D139" s="4165"/>
      <c r="E139" s="4165"/>
      <c r="F139" s="4166"/>
      <c r="G139" s="4167"/>
      <c r="H139" s="4168"/>
      <c r="I139" s="4168"/>
      <c r="J139" s="4168"/>
      <c r="K139" s="4169"/>
      <c r="N139" s="2490" t="s">
        <v>2613</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2020-059 Dulles Park II, Gray, Jones County</v>
      </c>
      <c r="B1" s="2527"/>
      <c r="C1" s="2527"/>
      <c r="D1" s="2527"/>
      <c r="E1" s="2527"/>
      <c r="F1" s="2527"/>
      <c r="G1" s="2527"/>
      <c r="H1" s="2527"/>
      <c r="I1" s="2527"/>
      <c r="J1" s="2527"/>
      <c r="K1" s="2527"/>
      <c r="L1" s="2527"/>
      <c r="M1" s="2527"/>
      <c r="N1" s="2527"/>
      <c r="O1" s="2527"/>
      <c r="P1" s="2527"/>
      <c r="Q1" s="2527"/>
      <c r="R1" s="2787" t="str">
        <f>'Part I-Project Information'!$B$6</f>
        <v>May 26, 2020 Version</v>
      </c>
      <c r="S1" s="2787"/>
    </row>
    <row r="2" spans="1:32" s="27" customFormat="1" ht="3" customHeight="1">
      <c r="R2" s="2787"/>
      <c r="S2" s="2787"/>
      <c r="AE2" s="116"/>
      <c r="AF2" s="116"/>
    </row>
    <row r="3" spans="1:32" ht="13.5" customHeight="1">
      <c r="A3" s="277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75"/>
      <c r="C3" s="2775"/>
      <c r="D3" s="2775"/>
      <c r="E3" s="2775"/>
      <c r="F3" s="2775"/>
      <c r="G3" s="2775"/>
      <c r="H3" s="277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75"/>
      <c r="J3" s="2775"/>
      <c r="K3" s="2775"/>
      <c r="L3" s="2775"/>
      <c r="M3" s="2775"/>
      <c r="N3" s="2776"/>
      <c r="O3" s="2777" t="s">
        <v>913</v>
      </c>
      <c r="P3" s="2778"/>
      <c r="Q3" s="1508" t="s">
        <v>1796</v>
      </c>
      <c r="R3" s="2787"/>
      <c r="S3" s="2787"/>
    </row>
    <row r="4" spans="1:32" ht="3" customHeight="1">
      <c r="A4" s="2374"/>
      <c r="B4" s="2779"/>
      <c r="C4" s="2779"/>
      <c r="D4" s="2779"/>
      <c r="E4" s="2374"/>
      <c r="F4" s="2374"/>
      <c r="G4" s="2374"/>
      <c r="H4" s="2374"/>
      <c r="I4" s="2374"/>
      <c r="J4" s="2374"/>
      <c r="K4" s="2374"/>
      <c r="L4" s="2374"/>
      <c r="M4" s="2374"/>
      <c r="N4" s="2374"/>
      <c r="P4" s="2374"/>
      <c r="Q4" s="2374"/>
      <c r="R4" s="2787"/>
      <c r="S4" s="2787"/>
    </row>
    <row r="5" spans="1:32" ht="11.1" hidden="1" customHeight="1">
      <c r="A5" s="2374"/>
      <c r="B5" s="2374"/>
      <c r="C5" s="2374"/>
      <c r="D5" s="2374"/>
      <c r="E5" s="2374"/>
      <c r="F5" s="2374"/>
      <c r="G5" s="2374"/>
      <c r="H5" s="2374"/>
      <c r="I5" s="2374"/>
      <c r="J5" s="2374"/>
      <c r="K5" s="2374"/>
      <c r="L5" s="2374"/>
      <c r="M5" s="2374"/>
      <c r="N5" s="2374"/>
      <c r="P5" s="2374"/>
      <c r="Q5" s="2374"/>
      <c r="R5" s="2787"/>
      <c r="S5" s="2787"/>
    </row>
    <row r="6" spans="1:32" ht="17.25" customHeight="1">
      <c r="A6" s="125" t="s">
        <v>550</v>
      </c>
      <c r="J6" s="2782" t="s">
        <v>3630</v>
      </c>
      <c r="K6" s="2782"/>
      <c r="L6" s="2782"/>
      <c r="M6" s="2782"/>
      <c r="N6" s="2782"/>
      <c r="O6" s="2783"/>
      <c r="P6" s="2780"/>
      <c r="Q6" s="2781"/>
      <c r="R6" s="2787"/>
      <c r="S6" s="2787"/>
    </row>
    <row r="7" spans="1:32" ht="12.6" customHeight="1">
      <c r="A7" s="126" t="s">
        <v>3336</v>
      </c>
      <c r="C7" s="127"/>
      <c r="D7" s="127"/>
      <c r="H7" s="1210"/>
      <c r="I7" s="1210"/>
      <c r="J7" s="1210"/>
      <c r="K7" s="1210"/>
      <c r="L7" s="1210"/>
      <c r="M7" s="2374"/>
      <c r="N7" s="2374"/>
    </row>
    <row r="8" spans="1:32" ht="24.6" customHeight="1">
      <c r="A8" s="2784" t="s">
        <v>1381</v>
      </c>
      <c r="B8" s="2785"/>
      <c r="C8" s="2785"/>
      <c r="D8" s="2785"/>
      <c r="E8" s="2785"/>
      <c r="F8" s="2785"/>
      <c r="G8" s="2785"/>
      <c r="H8" s="2785"/>
      <c r="I8" s="2785"/>
      <c r="J8" s="2785"/>
      <c r="K8" s="2785"/>
      <c r="L8" s="2785"/>
      <c r="M8" s="2785"/>
      <c r="N8" s="2785"/>
      <c r="O8" s="2785"/>
      <c r="P8" s="2785"/>
      <c r="Q8" s="2786"/>
      <c r="R8" s="2642" t="s">
        <v>1983</v>
      </c>
      <c r="S8" s="2401"/>
    </row>
    <row r="9" spans="1:32" ht="24.6" customHeight="1">
      <c r="A9" s="2756" t="s">
        <v>221</v>
      </c>
      <c r="B9" s="2757"/>
      <c r="C9" s="2757"/>
      <c r="D9" s="2757"/>
      <c r="E9" s="2757"/>
      <c r="F9" s="2757"/>
      <c r="G9" s="2757"/>
      <c r="H9" s="2757"/>
      <c r="I9" s="2757"/>
      <c r="J9" s="2757"/>
      <c r="K9" s="2757"/>
      <c r="L9" s="2757"/>
      <c r="M9" s="2757"/>
      <c r="N9" s="2757"/>
      <c r="O9" s="2757"/>
      <c r="P9" s="2757"/>
      <c r="Q9" s="2758"/>
      <c r="R9" s="2642"/>
      <c r="S9" s="2401"/>
    </row>
    <row r="10" spans="1:32" ht="24.6" customHeight="1">
      <c r="A10" s="2756" t="s">
        <v>1377</v>
      </c>
      <c r="B10" s="2757"/>
      <c r="C10" s="2757"/>
      <c r="D10" s="2757"/>
      <c r="E10" s="2757"/>
      <c r="F10" s="2757"/>
      <c r="G10" s="2757"/>
      <c r="H10" s="2757"/>
      <c r="I10" s="2757"/>
      <c r="J10" s="2757"/>
      <c r="K10" s="2757"/>
      <c r="L10" s="2757"/>
      <c r="M10" s="2757"/>
      <c r="N10" s="2757"/>
      <c r="O10" s="2757"/>
      <c r="P10" s="2757"/>
      <c r="Q10" s="2758"/>
      <c r="R10" s="2642"/>
      <c r="S10" s="2401"/>
    </row>
    <row r="11" spans="1:32" ht="24.6" customHeight="1">
      <c r="A11" s="2756" t="s">
        <v>1378</v>
      </c>
      <c r="B11" s="2757"/>
      <c r="C11" s="2757"/>
      <c r="D11" s="2757"/>
      <c r="E11" s="2757"/>
      <c r="F11" s="2757"/>
      <c r="G11" s="2757"/>
      <c r="H11" s="2757"/>
      <c r="I11" s="2757"/>
      <c r="J11" s="2757"/>
      <c r="K11" s="2757"/>
      <c r="L11" s="2757"/>
      <c r="M11" s="2757"/>
      <c r="N11" s="2757"/>
      <c r="O11" s="2757"/>
      <c r="P11" s="2757"/>
      <c r="Q11" s="2758"/>
      <c r="R11" s="2642"/>
      <c r="S11" s="2401"/>
    </row>
    <row r="12" spans="1:32" ht="24" customHeight="1">
      <c r="A12" s="2756" t="s">
        <v>1379</v>
      </c>
      <c r="B12" s="2757"/>
      <c r="C12" s="2757"/>
      <c r="D12" s="2757"/>
      <c r="E12" s="2757"/>
      <c r="F12" s="2757"/>
      <c r="G12" s="2757"/>
      <c r="H12" s="2757"/>
      <c r="I12" s="2757"/>
      <c r="J12" s="2757"/>
      <c r="K12" s="2757"/>
      <c r="L12" s="2757"/>
      <c r="M12" s="2757"/>
      <c r="N12" s="2757"/>
      <c r="O12" s="2757"/>
      <c r="P12" s="2757"/>
      <c r="Q12" s="2758"/>
      <c r="R12" s="2344"/>
      <c r="S12" s="2344"/>
    </row>
    <row r="13" spans="1:32" ht="11.25" customHeight="1">
      <c r="A13" s="2756" t="s">
        <v>1380</v>
      </c>
      <c r="B13" s="2757"/>
      <c r="C13" s="2757"/>
      <c r="D13" s="2757"/>
      <c r="E13" s="2757"/>
      <c r="F13" s="2757"/>
      <c r="G13" s="2757"/>
      <c r="H13" s="2757"/>
      <c r="I13" s="2757"/>
      <c r="J13" s="2757"/>
      <c r="K13" s="2757"/>
      <c r="L13" s="2757"/>
      <c r="M13" s="2757"/>
      <c r="N13" s="2757"/>
      <c r="O13" s="2757"/>
      <c r="P13" s="2757"/>
      <c r="Q13" s="2758"/>
      <c r="R13" s="2344"/>
      <c r="S13" s="2344"/>
    </row>
    <row r="14" spans="1:32" ht="11.25" customHeight="1">
      <c r="A14" s="2756" t="s">
        <v>1382</v>
      </c>
      <c r="B14" s="2757"/>
      <c r="C14" s="2757"/>
      <c r="D14" s="2757"/>
      <c r="E14" s="2757"/>
      <c r="F14" s="2757"/>
      <c r="G14" s="2757"/>
      <c r="H14" s="2757"/>
      <c r="I14" s="2757"/>
      <c r="J14" s="2757"/>
      <c r="K14" s="2757"/>
      <c r="L14" s="2757"/>
      <c r="M14" s="2757"/>
      <c r="N14" s="2757"/>
      <c r="O14" s="2757"/>
      <c r="P14" s="2757"/>
      <c r="Q14" s="2758"/>
    </row>
    <row r="15" spans="1:32" ht="11.25" customHeight="1">
      <c r="A15" s="2756" t="s">
        <v>1970</v>
      </c>
      <c r="B15" s="2757"/>
      <c r="C15" s="2757"/>
      <c r="D15" s="2757"/>
      <c r="E15" s="2757"/>
      <c r="F15" s="2757"/>
      <c r="G15" s="2757"/>
      <c r="H15" s="2757"/>
      <c r="I15" s="2757"/>
      <c r="J15" s="2757"/>
      <c r="K15" s="2757"/>
      <c r="L15" s="2757"/>
      <c r="M15" s="2757"/>
      <c r="N15" s="2757"/>
      <c r="O15" s="2757"/>
      <c r="P15" s="2757"/>
      <c r="Q15" s="2758"/>
      <c r="R15" s="2642" t="s">
        <v>1983</v>
      </c>
      <c r="S15" s="2474"/>
    </row>
    <row r="16" spans="1:32" ht="11.25" customHeight="1">
      <c r="A16" s="2756" t="s">
        <v>1971</v>
      </c>
      <c r="B16" s="2757"/>
      <c r="C16" s="2757"/>
      <c r="D16" s="2757"/>
      <c r="E16" s="2757"/>
      <c r="F16" s="2757"/>
      <c r="G16" s="2757"/>
      <c r="H16" s="2757"/>
      <c r="I16" s="2757"/>
      <c r="J16" s="2757"/>
      <c r="K16" s="2757"/>
      <c r="L16" s="2757"/>
      <c r="M16" s="2757"/>
      <c r="N16" s="2757"/>
      <c r="O16" s="2757"/>
      <c r="P16" s="2757"/>
      <c r="Q16" s="2758"/>
      <c r="R16" s="2642"/>
      <c r="S16" s="2474"/>
    </row>
    <row r="17" spans="1:31" ht="11.25" customHeight="1">
      <c r="A17" s="2756" t="s">
        <v>1972</v>
      </c>
      <c r="B17" s="2757"/>
      <c r="C17" s="2757"/>
      <c r="D17" s="2757"/>
      <c r="E17" s="2757"/>
      <c r="F17" s="2757"/>
      <c r="G17" s="2757"/>
      <c r="H17" s="2757"/>
      <c r="I17" s="2757"/>
      <c r="J17" s="2757"/>
      <c r="K17" s="2757"/>
      <c r="L17" s="2757"/>
      <c r="M17" s="2757"/>
      <c r="N17" s="2757"/>
      <c r="O17" s="2757"/>
      <c r="P17" s="2757"/>
      <c r="Q17" s="2758"/>
      <c r="R17" s="2642"/>
      <c r="S17" s="2474"/>
    </row>
    <row r="18" spans="1:31" ht="11.25" customHeight="1">
      <c r="A18" s="2756" t="s">
        <v>1973</v>
      </c>
      <c r="B18" s="2757"/>
      <c r="C18" s="2757"/>
      <c r="D18" s="2757"/>
      <c r="E18" s="2757"/>
      <c r="F18" s="2757"/>
      <c r="G18" s="2757"/>
      <c r="H18" s="2757"/>
      <c r="I18" s="2757"/>
      <c r="J18" s="2757"/>
      <c r="K18" s="2757"/>
      <c r="L18" s="2757"/>
      <c r="M18" s="2757"/>
      <c r="N18" s="2757"/>
      <c r="O18" s="2757"/>
      <c r="P18" s="2757"/>
      <c r="Q18" s="2758"/>
      <c r="R18" s="2642"/>
      <c r="S18" s="2474"/>
    </row>
    <row r="19" spans="1:31" ht="11.25" customHeight="1">
      <c r="A19" s="2756" t="s">
        <v>1974</v>
      </c>
      <c r="B19" s="2757"/>
      <c r="C19" s="2757"/>
      <c r="D19" s="2757"/>
      <c r="E19" s="2757"/>
      <c r="F19" s="2757"/>
      <c r="G19" s="2757"/>
      <c r="H19" s="2757"/>
      <c r="I19" s="2757"/>
      <c r="J19" s="2757"/>
      <c r="K19" s="2757"/>
      <c r="L19" s="2757"/>
      <c r="M19" s="2757"/>
      <c r="N19" s="2757"/>
      <c r="O19" s="2757"/>
      <c r="P19" s="2757"/>
      <c r="Q19" s="2758"/>
      <c r="R19" s="2642"/>
      <c r="S19" s="2474"/>
    </row>
    <row r="20" spans="1:31" ht="11.25" customHeight="1">
      <c r="A20" s="2756" t="s">
        <v>1975</v>
      </c>
      <c r="B20" s="2757"/>
      <c r="C20" s="2757"/>
      <c r="D20" s="2757"/>
      <c r="E20" s="2757"/>
      <c r="F20" s="2757"/>
      <c r="G20" s="2757"/>
      <c r="H20" s="2757"/>
      <c r="I20" s="2757"/>
      <c r="J20" s="2757"/>
      <c r="K20" s="2757"/>
      <c r="L20" s="2757"/>
      <c r="M20" s="2757"/>
      <c r="N20" s="2757"/>
      <c r="O20" s="2757"/>
      <c r="P20" s="2757"/>
      <c r="Q20" s="2758"/>
      <c r="R20" s="2642"/>
      <c r="S20" s="2474"/>
    </row>
    <row r="21" spans="1:31" ht="11.25" customHeight="1">
      <c r="A21" s="2756" t="s">
        <v>1976</v>
      </c>
      <c r="B21" s="2757"/>
      <c r="C21" s="2757"/>
      <c r="D21" s="2757"/>
      <c r="E21" s="2757"/>
      <c r="F21" s="2757"/>
      <c r="G21" s="2757"/>
      <c r="H21" s="2757"/>
      <c r="I21" s="2757"/>
      <c r="J21" s="2757"/>
      <c r="K21" s="2757"/>
      <c r="L21" s="2757"/>
      <c r="M21" s="2757"/>
      <c r="N21" s="2757"/>
      <c r="O21" s="2757"/>
      <c r="P21" s="2757"/>
      <c r="Q21" s="2758"/>
    </row>
    <row r="22" spans="1:31" ht="11.25" customHeight="1">
      <c r="A22" s="2756" t="s">
        <v>1977</v>
      </c>
      <c r="B22" s="2757"/>
      <c r="C22" s="2757"/>
      <c r="D22" s="2757"/>
      <c r="E22" s="2757"/>
      <c r="F22" s="2757"/>
      <c r="G22" s="2757"/>
      <c r="H22" s="2757"/>
      <c r="I22" s="2757"/>
      <c r="J22" s="2757"/>
      <c r="K22" s="2757"/>
      <c r="L22" s="2757"/>
      <c r="M22" s="2757"/>
      <c r="N22" s="2757"/>
      <c r="O22" s="2757"/>
      <c r="P22" s="2757"/>
      <c r="Q22" s="2758"/>
      <c r="R22" s="2642" t="s">
        <v>1983</v>
      </c>
      <c r="S22" s="2474"/>
    </row>
    <row r="23" spans="1:31" ht="11.25" customHeight="1">
      <c r="A23" s="2756" t="s">
        <v>1978</v>
      </c>
      <c r="B23" s="2757"/>
      <c r="C23" s="2757"/>
      <c r="D23" s="2757"/>
      <c r="E23" s="2757"/>
      <c r="F23" s="2757"/>
      <c r="G23" s="2757"/>
      <c r="H23" s="2757"/>
      <c r="I23" s="2757"/>
      <c r="J23" s="2757"/>
      <c r="K23" s="2757"/>
      <c r="L23" s="2757"/>
      <c r="M23" s="2757"/>
      <c r="N23" s="2757"/>
      <c r="O23" s="2757"/>
      <c r="P23" s="2757"/>
      <c r="Q23" s="2758"/>
      <c r="R23" s="2642"/>
      <c r="S23" s="2474"/>
    </row>
    <row r="24" spans="1:31" ht="11.25" customHeight="1">
      <c r="A24" s="2756" t="s">
        <v>1979</v>
      </c>
      <c r="B24" s="2757"/>
      <c r="C24" s="2757"/>
      <c r="D24" s="2757"/>
      <c r="E24" s="2757"/>
      <c r="F24" s="2757"/>
      <c r="G24" s="2757"/>
      <c r="H24" s="2757"/>
      <c r="I24" s="2757"/>
      <c r="J24" s="2757"/>
      <c r="K24" s="2757"/>
      <c r="L24" s="2757"/>
      <c r="M24" s="2757"/>
      <c r="N24" s="2757"/>
      <c r="O24" s="2757"/>
      <c r="P24" s="2757"/>
      <c r="Q24" s="2758"/>
      <c r="R24" s="2642"/>
      <c r="S24" s="2474"/>
    </row>
    <row r="25" spans="1:31" ht="11.25" customHeight="1">
      <c r="A25" s="2756" t="s">
        <v>1980</v>
      </c>
      <c r="B25" s="2757"/>
      <c r="C25" s="2757"/>
      <c r="D25" s="2757"/>
      <c r="E25" s="2757"/>
      <c r="F25" s="2757"/>
      <c r="G25" s="2757"/>
      <c r="H25" s="2757"/>
      <c r="I25" s="2757"/>
      <c r="J25" s="2757"/>
      <c r="K25" s="2757"/>
      <c r="L25" s="2757"/>
      <c r="M25" s="2757"/>
      <c r="N25" s="2757"/>
      <c r="O25" s="2757"/>
      <c r="P25" s="2757"/>
      <c r="Q25" s="2758"/>
      <c r="R25" s="2642"/>
      <c r="S25" s="2474"/>
    </row>
    <row r="26" spans="1:31" ht="11.25" customHeight="1">
      <c r="A26" s="2756" t="s">
        <v>1981</v>
      </c>
      <c r="B26" s="2757"/>
      <c r="C26" s="2757"/>
      <c r="D26" s="2757"/>
      <c r="E26" s="2757"/>
      <c r="F26" s="2757"/>
      <c r="G26" s="2757"/>
      <c r="H26" s="2757"/>
      <c r="I26" s="2757"/>
      <c r="J26" s="2757"/>
      <c r="K26" s="2757"/>
      <c r="L26" s="2757"/>
      <c r="M26" s="2757"/>
      <c r="N26" s="2757"/>
      <c r="O26" s="2757"/>
      <c r="P26" s="2757"/>
      <c r="Q26" s="2758"/>
      <c r="R26" s="2642"/>
      <c r="S26" s="2474"/>
    </row>
    <row r="27" spans="1:31" ht="11.25" customHeight="1">
      <c r="A27" s="2790" t="s">
        <v>1982</v>
      </c>
      <c r="B27" s="2791"/>
      <c r="C27" s="2791"/>
      <c r="D27" s="2791"/>
      <c r="E27" s="2791"/>
      <c r="F27" s="2791"/>
      <c r="G27" s="2791"/>
      <c r="H27" s="2791"/>
      <c r="I27" s="2791"/>
      <c r="J27" s="2791"/>
      <c r="K27" s="2791"/>
      <c r="L27" s="2791"/>
      <c r="M27" s="2791"/>
      <c r="N27" s="2791"/>
      <c r="O27" s="2791"/>
      <c r="P27" s="2791"/>
      <c r="Q27" s="2792"/>
      <c r="R27" s="2642"/>
      <c r="S27" s="2474"/>
    </row>
    <row r="28" spans="1:31" ht="6" customHeight="1"/>
    <row r="29" spans="1:31" ht="14.1" customHeight="1">
      <c r="A29" s="128" t="s">
        <v>598</v>
      </c>
      <c r="B29" s="129" t="s">
        <v>2578</v>
      </c>
      <c r="C29" s="130"/>
      <c r="D29" s="86"/>
      <c r="E29" s="86"/>
      <c r="F29" s="86"/>
      <c r="G29" s="86"/>
      <c r="I29" s="2397"/>
      <c r="J29" s="2397"/>
      <c r="K29" s="2397"/>
      <c r="L29" s="2374"/>
      <c r="M29" s="2374"/>
      <c r="O29" s="131" t="s">
        <v>1820</v>
      </c>
      <c r="P29" s="2793"/>
      <c r="Q29" s="2794"/>
    </row>
    <row r="30" spans="1:31" ht="3" customHeight="1"/>
    <row r="31" spans="1:31" ht="11.25" customHeight="1">
      <c r="B31" s="66" t="s">
        <v>3566</v>
      </c>
      <c r="C31" s="66"/>
      <c r="D31" s="66"/>
      <c r="E31" s="66"/>
      <c r="F31" s="66"/>
      <c r="G31" s="2397"/>
      <c r="H31" s="2397"/>
      <c r="I31" s="2397"/>
      <c r="J31" s="2397"/>
      <c r="K31" s="2374"/>
      <c r="L31" s="2374"/>
      <c r="M31" s="2374"/>
      <c r="N31" s="2374"/>
      <c r="O31" s="2374"/>
      <c r="P31" s="855"/>
      <c r="S31" s="157"/>
      <c r="T31" s="157"/>
    </row>
    <row r="32" spans="1:31" ht="108.75" customHeight="1">
      <c r="A32" s="2910" t="s">
        <v>7053</v>
      </c>
      <c r="B32" s="2911"/>
      <c r="C32" s="2911"/>
      <c r="D32" s="2911"/>
      <c r="E32" s="2911"/>
      <c r="F32" s="2911"/>
      <c r="G32" s="2911"/>
      <c r="H32" s="2911"/>
      <c r="I32" s="2911"/>
      <c r="J32" s="2911"/>
      <c r="K32" s="2911"/>
      <c r="L32" s="2911"/>
      <c r="M32" s="2911"/>
      <c r="N32" s="2911"/>
      <c r="O32" s="2911"/>
      <c r="P32" s="2911"/>
      <c r="Q32" s="2912"/>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795"/>
      <c r="B34" s="2795"/>
      <c r="C34" s="2795"/>
      <c r="D34" s="2795"/>
      <c r="E34" s="2795"/>
      <c r="F34" s="2795"/>
      <c r="G34" s="2795"/>
      <c r="H34" s="2795"/>
      <c r="I34" s="2795"/>
      <c r="J34" s="2795"/>
      <c r="K34" s="2795"/>
      <c r="L34" s="2795"/>
      <c r="M34" s="2795"/>
      <c r="N34" s="2795"/>
      <c r="O34" s="2795"/>
      <c r="P34" s="2795"/>
      <c r="Q34" s="2795"/>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2630</v>
      </c>
      <c r="C36" s="4"/>
      <c r="D36" s="4"/>
      <c r="E36" s="2380"/>
      <c r="G36" s="585"/>
      <c r="H36" s="585"/>
      <c r="I36" s="585"/>
      <c r="J36" s="42"/>
      <c r="L36" s="586"/>
      <c r="M36" s="586"/>
      <c r="N36" s="586"/>
      <c r="O36" s="131" t="s">
        <v>1820</v>
      </c>
      <c r="P36" s="2793"/>
      <c r="Q36" s="2794"/>
    </row>
    <row r="37" spans="1:295" ht="11.25" customHeight="1">
      <c r="A37" s="2931"/>
      <c r="B37" s="2931"/>
      <c r="C37" s="2931"/>
      <c r="D37" s="2931"/>
      <c r="E37" s="2931"/>
      <c r="F37" s="1511"/>
      <c r="G37" s="2796" t="s">
        <v>2634</v>
      </c>
      <c r="H37" s="2797"/>
      <c r="I37" s="589"/>
      <c r="J37" s="42"/>
      <c r="K37" s="2798" t="s">
        <v>3467</v>
      </c>
      <c r="L37" s="2799"/>
      <c r="M37" s="2799"/>
      <c r="N37" s="2800"/>
    </row>
    <row r="38" spans="1:295" ht="11.25" customHeight="1">
      <c r="A38" s="2931"/>
      <c r="B38" s="2931"/>
      <c r="C38" s="2931"/>
      <c r="D38" s="2931"/>
      <c r="E38" s="2931"/>
      <c r="F38" s="1511"/>
      <c r="G38" s="2801" t="s">
        <v>341</v>
      </c>
      <c r="H38" s="2802"/>
      <c r="I38" s="589"/>
      <c r="J38" s="42"/>
      <c r="K38" s="2803" t="s">
        <v>3468</v>
      </c>
      <c r="L38" s="2804"/>
      <c r="M38" s="2804"/>
      <c r="N38" s="2805"/>
      <c r="P38" s="509" t="s">
        <v>2649</v>
      </c>
      <c r="Q38" s="2254"/>
    </row>
    <row r="39" spans="1:295" ht="4.5" customHeight="1">
      <c r="A39" s="1511"/>
      <c r="B39" s="1511"/>
      <c r="C39" s="1511"/>
      <c r="D39" s="1511"/>
      <c r="E39" s="1511"/>
      <c r="F39" s="1511"/>
      <c r="G39" s="213"/>
      <c r="H39" s="213"/>
      <c r="I39" s="213"/>
      <c r="J39" s="42"/>
      <c r="K39" s="2734"/>
      <c r="L39" s="2734"/>
      <c r="M39" s="2734"/>
      <c r="N39" s="2734"/>
      <c r="P39" s="2929" t="s">
        <v>4530</v>
      </c>
      <c r="Q39" s="2929"/>
    </row>
    <row r="40" spans="1:295" s="82" customFormat="1" ht="10.5" customHeight="1">
      <c r="D40" s="590" t="s">
        <v>2633</v>
      </c>
      <c r="E40" s="35"/>
      <c r="F40" s="591" t="s">
        <v>3337</v>
      </c>
      <c r="G40" s="2806" t="s">
        <v>4454</v>
      </c>
      <c r="H40" s="2806"/>
      <c r="I40" s="2806"/>
      <c r="J40" s="35"/>
      <c r="K40" s="591" t="s">
        <v>3337</v>
      </c>
      <c r="L40" s="2806" t="s">
        <v>4453</v>
      </c>
      <c r="M40" s="2806"/>
      <c r="N40" s="2806"/>
      <c r="O40" s="35"/>
      <c r="P40" s="2929"/>
      <c r="Q40" s="2929"/>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89" t="s">
        <v>3251</v>
      </c>
      <c r="B41" s="2789"/>
      <c r="C41" s="2789"/>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0" t="str">
        <f>IF(F41="","",F41*G41)</f>
        <v/>
      </c>
      <c r="J41" s="42"/>
      <c r="K41" s="1509" t="str">
        <f>IF('Part VI-Revenues &amp; Expenses'!$K$150 =0,"",'Part VI-Revenues &amp; Expenses'!$K$150)</f>
        <v/>
      </c>
      <c r="L41" s="824">
        <f>G41*(1+'DCA Underwriting Assumptions'!$Q$12)</f>
        <v>189615.36000000002</v>
      </c>
      <c r="M41" s="40" t="str">
        <f>CONCATENATE("x ", K41," units = ")</f>
        <v xml:space="preserve">x  units = </v>
      </c>
      <c r="N41" s="1510" t="str">
        <f>IF(K41="","",K41*L41)</f>
        <v/>
      </c>
      <c r="O41" s="2380"/>
      <c r="P41" s="2930"/>
      <c r="Q41" s="2930"/>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89"/>
      <c r="B42" s="2789"/>
      <c r="C42" s="2789"/>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0" t="str">
        <f>IF(F42="","",F42*G42)</f>
        <v/>
      </c>
      <c r="J42" s="42"/>
      <c r="K42" s="1509" t="str">
        <f>IF('Part VI-Revenues &amp; Expenses'!$L$150 =0,"",'Part VI-Revenues &amp; Expenses'!$L$150)</f>
        <v/>
      </c>
      <c r="L42" s="824">
        <f>G42*(1+'DCA Underwriting Assumptions'!$Q$12)</f>
        <v>235133.14</v>
      </c>
      <c r="M42" s="40" t="str">
        <f>CONCATENATE("x ", K42," units = ")</f>
        <v xml:space="preserve">x  units = </v>
      </c>
      <c r="N42" s="1510" t="str">
        <f>IF(K42="","",K42*L42)</f>
        <v/>
      </c>
      <c r="O42" s="2380"/>
      <c r="P42" s="2807" t="str">
        <f>IF('Part I-Project Information'!$F$38="","",VLOOKUP('Part I-Project Information'!$J$39,'DCA Underwriting Assumptions'!$G$173:$N$332,8,FALSE))</f>
        <v>Macon</v>
      </c>
      <c r="Q42" s="2808"/>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89"/>
      <c r="B43" s="2789"/>
      <c r="C43" s="2789"/>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281373.95</v>
      </c>
      <c r="M43" s="40" t="str">
        <f>CONCATENATE("x ", K43," units = ")</f>
        <v xml:space="preserve">x  units = </v>
      </c>
      <c r="N43" s="1510" t="str">
        <f>IF(K43="","",K43*L43)</f>
        <v/>
      </c>
      <c r="O43" s="2380"/>
      <c r="P43" s="2809"/>
      <c r="Q43" s="2810"/>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89"/>
      <c r="B44" s="2789"/>
      <c r="C44" s="2789"/>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320914.99000000005</v>
      </c>
      <c r="M44" s="40" t="str">
        <f>CONCATENATE("x ", K44," units = ")</f>
        <v xml:space="preserve">x  units = </v>
      </c>
      <c r="N44" s="1510" t="str">
        <f>IF(K44="","",K44*L44)</f>
        <v/>
      </c>
      <c r="O44" s="2380"/>
      <c r="P44" s="2788" t="s">
        <v>4531</v>
      </c>
      <c r="Q44" s="278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0" t="str">
        <f>IF(F45="","",F45*G45)</f>
        <v/>
      </c>
      <c r="J45" s="42"/>
      <c r="K45" s="1509" t="str">
        <f>IF('Part VI-Revenues &amp; Expenses'!$O$150 =0,"",'Part VI-Revenues &amp; Expenses'!$O$150)</f>
        <v/>
      </c>
      <c r="L45" s="824">
        <f>G45*(1+'DCA Underwriting Assumptions'!$Q$12)</f>
        <v>378185.50000000006</v>
      </c>
      <c r="M45" s="40" t="str">
        <f>CONCATENATE("x ", K45," units = ")</f>
        <v xml:space="preserve">x  units = </v>
      </c>
      <c r="N45" s="1510" t="str">
        <f>IF(K45="","",K45*L45)</f>
        <v/>
      </c>
      <c r="O45" s="2380"/>
      <c r="P45" s="2831">
        <f>'Part IV-A-Uses of Funds'!$G$132</f>
        <v>10740700</v>
      </c>
      <c r="Q45" s="2832"/>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0"/>
      <c r="P46" s="2788" t="s">
        <v>4516</v>
      </c>
      <c r="Q46" s="2788"/>
      <c r="R46" s="2935" t="s">
        <v>4532</v>
      </c>
      <c r="S46" s="2935"/>
      <c r="T46" s="2935"/>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5"/>
      <c r="J47" s="127"/>
      <c r="K47" s="593"/>
      <c r="L47" s="127"/>
      <c r="M47" s="2380"/>
      <c r="N47" s="2385"/>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89" t="s">
        <v>3246</v>
      </c>
      <c r="B48" s="2789"/>
      <c r="C48" s="2789"/>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162975.12</v>
      </c>
      <c r="M48" s="40" t="str">
        <f>CONCATENATE("x ", K48," units = ")</f>
        <v xml:space="preserve">x  units = </v>
      </c>
      <c r="N48" s="1510" t="str">
        <f>IF(K48="","",K48*L48)</f>
        <v/>
      </c>
      <c r="P48" s="2831">
        <f>'Part IV-A-Uses of Funds'!$G$132-'Part IV-A-Uses of Funds'!$G$83-'Part IV-A-Uses of Funds'!$G$105-'Part IV-A-Uses of Funds'!$G$121-'Part IV-A-Uses of Funds'!$G$122-'Part IV-A-Uses of Funds'!$G$123</f>
        <v>10235437</v>
      </c>
      <c r="Q48" s="2832"/>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89"/>
      <c r="B49" s="2789"/>
      <c r="C49" s="2789"/>
      <c r="D49" s="822" t="s">
        <v>2376</v>
      </c>
      <c r="E49" s="823">
        <v>1</v>
      </c>
      <c r="F49" s="1509">
        <f>IF('Part VI-Revenues &amp; Expenses'!$L$151 =0,"",'Part VI-Revenues &amp; Expenses'!$L$151)</f>
        <v>14</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14 units = </v>
      </c>
      <c r="I49" s="1510">
        <f>IF(F49="","",F49*G49)</f>
        <v>2596430.8999999994</v>
      </c>
      <c r="J49" s="42"/>
      <c r="K49" s="1509" t="str">
        <f>IF('Part VI-Revenues &amp; Expenses'!$L$152 =0,"",'Part VI-Revenues &amp; Expenses'!$L$152)</f>
        <v/>
      </c>
      <c r="L49" s="824">
        <f>G49*(1+'DCA Underwriting Assumptions'!$Q$12)</f>
        <v>204005.285</v>
      </c>
      <c r="M49" s="40" t="str">
        <f>CONCATENATE("x ", K49," units = ")</f>
        <v xml:space="preserve">x  units = </v>
      </c>
      <c r="N49" s="1510" t="str">
        <f>IF(K49="","",K49*L49)</f>
        <v/>
      </c>
      <c r="P49" s="2545" t="s">
        <v>3774</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89"/>
      <c r="B50" s="2789"/>
      <c r="C50" s="2789"/>
      <c r="D50" s="822" t="s">
        <v>2377</v>
      </c>
      <c r="E50" s="823">
        <v>2</v>
      </c>
      <c r="F50" s="1509">
        <f>IF('Part VI-Revenues &amp; Expenses'!$M$151 =0,"",'Part VI-Revenues &amp; Expenses'!$M$151)</f>
        <v>34</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34 units = </v>
      </c>
      <c r="I50" s="1510">
        <f>IF(F50="","",F50*G50)</f>
        <v>7643346.1999999993</v>
      </c>
      <c r="J50" s="42"/>
      <c r="K50" s="1509" t="str">
        <f>IF('Part VI-Revenues &amp; Expenses'!$M$152 =0,"",'Part VI-Revenues &amp; Expenses'!$M$152)</f>
        <v/>
      </c>
      <c r="L50" s="824">
        <f>G50*(1+'DCA Underwriting Assumptions'!$Q$12)</f>
        <v>247284.73</v>
      </c>
      <c r="M50" s="40" t="str">
        <f>CONCATENATE("x ", K50," units = ")</f>
        <v xml:space="preserve">x  units = </v>
      </c>
      <c r="N50" s="1510" t="str">
        <f>IF(K50="","",K50*L50)</f>
        <v/>
      </c>
      <c r="O50" s="540"/>
      <c r="P50" s="2811"/>
      <c r="Q50" s="2812"/>
      <c r="R50" s="404"/>
      <c r="S50" s="2759" t="s">
        <v>4519</v>
      </c>
      <c r="T50" s="2760"/>
      <c r="U50" s="2760"/>
      <c r="V50" s="2761"/>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288794.33000000007</v>
      </c>
      <c r="M51" s="40" t="str">
        <f>CONCATENATE("x ", K51," units = ")</f>
        <v xml:space="preserve">x  units = </v>
      </c>
      <c r="N51" s="1510" t="str">
        <f>IF(K51="","",K51*L51)</f>
        <v/>
      </c>
      <c r="O51" s="540"/>
      <c r="P51" s="2813"/>
      <c r="Q51" s="2814"/>
      <c r="S51" s="2762"/>
      <c r="T51" s="2763"/>
      <c r="U51" s="2763"/>
      <c r="V51" s="2764"/>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0" t="str">
        <f>IF(F52="","",F52*G52)</f>
        <v/>
      </c>
      <c r="J52" s="42"/>
      <c r="K52" s="1509" t="str">
        <f>IF('Part VI-Revenues &amp; Expenses'!$O$152 =0,"",'Part VI-Revenues &amp; Expenses'!$O$152)</f>
        <v/>
      </c>
      <c r="L52" s="824">
        <f>G52*(1+'DCA Underwriting Assumptions'!$Q$12)</f>
        <v>342632.07000000007</v>
      </c>
      <c r="M52" s="40" t="str">
        <f>CONCATENATE("x ", K52," units = ")</f>
        <v xml:space="preserve">x  units = </v>
      </c>
      <c r="N52" s="1510" t="str">
        <f>IF(K52="","",K52*L52)</f>
        <v/>
      </c>
      <c r="O52" s="540"/>
      <c r="P52" s="2826" t="s">
        <v>3463</v>
      </c>
      <c r="Q52" s="2826"/>
      <c r="S52" s="2762"/>
      <c r="T52" s="2763"/>
      <c r="U52" s="2763"/>
      <c r="V52" s="2764"/>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48</v>
      </c>
      <c r="G53" s="592"/>
      <c r="H53" s="1045"/>
      <c r="I53" s="1046">
        <f>SUM(I48:I52)</f>
        <v>10239777.099999998</v>
      </c>
      <c r="J53" s="1047"/>
      <c r="K53" s="1044">
        <f>SUM(K48:K52)</f>
        <v>0</v>
      </c>
      <c r="L53" s="1047"/>
      <c r="M53" s="1045"/>
      <c r="N53" s="1046">
        <f>SUM(N48:N52)</f>
        <v>0</v>
      </c>
      <c r="O53" s="540"/>
      <c r="P53" s="1052" t="s">
        <v>3140</v>
      </c>
      <c r="Q53" s="1052" t="s">
        <v>251</v>
      </c>
      <c r="R53" s="404"/>
      <c r="S53" s="2762"/>
      <c r="T53" s="2763"/>
      <c r="U53" s="2763"/>
      <c r="V53" s="2764"/>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5"/>
      <c r="J54" s="35"/>
      <c r="K54" s="593"/>
      <c r="L54" s="35"/>
      <c r="M54" s="2380"/>
      <c r="N54" s="2385"/>
      <c r="O54" s="540"/>
      <c r="R54" s="404"/>
      <c r="S54" s="2762"/>
      <c r="T54" s="2763"/>
      <c r="U54" s="2763"/>
      <c r="V54" s="2764"/>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0" t="str">
        <f>IF(F55="","",F55*G55)</f>
        <v/>
      </c>
      <c r="J55" s="42"/>
      <c r="K55" s="1509" t="str">
        <f>IF('Part VI-Revenues &amp; Expenses'!$K$154 =0,"",'Part VI-Revenues &amp; Expenses'!$K$154)</f>
        <v/>
      </c>
      <c r="L55" s="824">
        <f>G55*(1+'DCA Underwriting Assumptions'!$Q$12)</f>
        <v>143018.04</v>
      </c>
      <c r="M55" s="40" t="str">
        <f>CONCATENATE("x ", K55," units = ")</f>
        <v xml:space="preserve">x  units = </v>
      </c>
      <c r="N55" s="1510" t="str">
        <f>IF(K55="","",K55*L55)</f>
        <v/>
      </c>
      <c r="O55" s="540"/>
      <c r="P55" s="1051">
        <f>'Part IX Scoring Criteria'!O415</f>
        <v>0</v>
      </c>
      <c r="Q55" s="1051">
        <f>'Part IX Scoring Criteria'!P415</f>
        <v>0</v>
      </c>
      <c r="R55" s="404"/>
      <c r="S55" s="2762"/>
      <c r="T55" s="2763"/>
      <c r="U55" s="2763"/>
      <c r="V55" s="2764"/>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0" t="str">
        <f>IF(F56="","",F56*G56)</f>
        <v/>
      </c>
      <c r="J56" s="42"/>
      <c r="K56" s="1509" t="str">
        <f>IF('Part VI-Revenues &amp; Expenses'!$L$154 =0,"",'Part VI-Revenues &amp; Expenses'!$L$154)</f>
        <v/>
      </c>
      <c r="L56" s="824">
        <f>G56*(1+'DCA Underwriting Assumptions'!$Q$12)</f>
        <v>187099.82500000001</v>
      </c>
      <c r="M56" s="40" t="str">
        <f>CONCATENATE("x ", K56," units = ")</f>
        <v xml:space="preserve">x  units = </v>
      </c>
      <c r="N56" s="1510" t="str">
        <f>IF(K56="","",K56*L56)</f>
        <v/>
      </c>
      <c r="P56" s="2826" t="s">
        <v>3464</v>
      </c>
      <c r="Q56" s="2826"/>
      <c r="S56" s="2762"/>
      <c r="T56" s="2763"/>
      <c r="U56" s="2763"/>
      <c r="V56" s="2764"/>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0" t="str">
        <f>IF(F57="","",F57*G57)</f>
        <v/>
      </c>
      <c r="J57" s="42"/>
      <c r="K57" s="1509" t="str">
        <f>IF('Part VI-Revenues &amp; Expenses'!$M$154 =0,"",'Part VI-Revenues &amp; Expenses'!$M$154)</f>
        <v/>
      </c>
      <c r="L57" s="824">
        <f>G57*(1+'DCA Underwriting Assumptions'!$Q$12)</f>
        <v>236781.435</v>
      </c>
      <c r="M57" s="40" t="str">
        <f>CONCATENATE("x ", K57," units = ")</f>
        <v xml:space="preserve">x  units = </v>
      </c>
      <c r="N57" s="1510" t="str">
        <f>IF(K57="","",K57*L57)</f>
        <v/>
      </c>
      <c r="P57" s="1052" t="s">
        <v>3140</v>
      </c>
      <c r="Q57" s="1052" t="s">
        <v>251</v>
      </c>
      <c r="S57" s="2762"/>
      <c r="T57" s="2763"/>
      <c r="U57" s="2763"/>
      <c r="V57" s="2764"/>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0" t="str">
        <f>IF(F58="","",F58*G58)</f>
        <v/>
      </c>
      <c r="J58" s="42"/>
      <c r="K58" s="1509" t="str">
        <f>IF('Part VI-Revenues &amp; Expenses'!$N$154 =0,"",'Part VI-Revenues &amp; Expenses'!$N$154)</f>
        <v/>
      </c>
      <c r="L58" s="824">
        <f>G58*(1+'DCA Underwriting Assumptions'!$Q$12)</f>
        <v>298383.58000000007</v>
      </c>
      <c r="M58" s="40" t="str">
        <f>CONCATENATE("x ", K58," units = ")</f>
        <v xml:space="preserve">x  units = </v>
      </c>
      <c r="N58" s="1510" t="str">
        <f>IF(K58="","",K58*L58)</f>
        <v/>
      </c>
      <c r="O58" s="540"/>
      <c r="P58" s="1051">
        <f>'Part IX Scoring Criteria'!O74</f>
        <v>1</v>
      </c>
      <c r="Q58" s="1051">
        <f>'Part IX Scoring Criteria'!P74</f>
        <v>0</v>
      </c>
      <c r="S58" s="2762"/>
      <c r="T58" s="2763"/>
      <c r="U58" s="2763"/>
      <c r="V58" s="2764"/>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369803.83000000007</v>
      </c>
      <c r="M59" s="40" t="str">
        <f>CONCATENATE("x ", K59," units = ")</f>
        <v xml:space="preserve">x  units = </v>
      </c>
      <c r="N59" s="1510" t="str">
        <f>IF(K59="","",K59*L59)</f>
        <v/>
      </c>
      <c r="O59" s="540"/>
      <c r="P59" s="2815" t="s">
        <v>2678</v>
      </c>
      <c r="Q59" s="2815"/>
      <c r="S59" s="2762"/>
      <c r="T59" s="2763"/>
      <c r="U59" s="2763"/>
      <c r="V59" s="2764"/>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15"/>
      <c r="Q60" s="2815"/>
      <c r="S60" s="2762"/>
      <c r="T60" s="2763"/>
      <c r="U60" s="2763"/>
      <c r="V60" s="2764"/>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5"/>
      <c r="J61" s="35"/>
      <c r="K61" s="593"/>
      <c r="L61" s="35"/>
      <c r="M61" s="2380"/>
      <c r="N61" s="2385"/>
      <c r="O61" s="540"/>
      <c r="P61" s="2815"/>
      <c r="Q61" s="2815"/>
      <c r="R61" s="404"/>
      <c r="S61" s="2762"/>
      <c r="T61" s="2763"/>
      <c r="U61" s="2763"/>
      <c r="V61" s="2764"/>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147825.48000000001</v>
      </c>
      <c r="M62" s="40" t="str">
        <f>CONCATENATE("x ", K62," units = ")</f>
        <v xml:space="preserve">x  units = </v>
      </c>
      <c r="N62" s="1510" t="str">
        <f>IF(K62="","",K62*L62)</f>
        <v/>
      </c>
      <c r="O62" s="540"/>
      <c r="P62" s="2816"/>
      <c r="Q62" s="2816"/>
      <c r="R62" s="404"/>
      <c r="S62" s="2765"/>
      <c r="T62" s="2766"/>
      <c r="U62" s="2766"/>
      <c r="V62" s="2767"/>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198331.75999999998</v>
      </c>
      <c r="M63" s="40" t="str">
        <f>CONCATENATE("x ", K63," units = ")</f>
        <v xml:space="preserve">x  units = </v>
      </c>
      <c r="N63" s="1510" t="str">
        <f>IF(K63="","",K63*L63)</f>
        <v/>
      </c>
      <c r="O63" s="540"/>
      <c r="P63" s="2817">
        <f>IF(P50&gt;1,P50, IF(OR('Part IX Scoring Criteria'!$O$74='Part IX Scoring Criteria'!$M$74,AND('Part IV-A-Uses of Funds'!$T$172="Yes",'Part IX Scoring Criteria'!$O$415&gt;0)),H69+M69,H69))</f>
        <v>10239777.099999998</v>
      </c>
      <c r="Q63" s="2818"/>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254997.435</v>
      </c>
      <c r="M64" s="40" t="str">
        <f>CONCATENATE("x ", K64," units = ")</f>
        <v xml:space="preserve">x  units = </v>
      </c>
      <c r="N64" s="1510" t="str">
        <f>IF(K64="","",K64*L64)</f>
        <v/>
      </c>
      <c r="P64" s="2819"/>
      <c r="Q64" s="2820"/>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325215.33000000007</v>
      </c>
      <c r="M65" s="40" t="str">
        <f>CONCATENATE("x ", K65," units = ")</f>
        <v xml:space="preserve">x  units = </v>
      </c>
      <c r="N65" s="1510" t="str">
        <f>IF(K65="","",K65*L65)</f>
        <v/>
      </c>
      <c r="P65" s="2772" t="s">
        <v>3879</v>
      </c>
      <c r="Q65" s="2772"/>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406518.86000000004</v>
      </c>
      <c r="M66" s="40" t="str">
        <f>CONCATENATE("x ", K66," units = ")</f>
        <v xml:space="preserve">x  units = </v>
      </c>
      <c r="N66" s="1510" t="str">
        <f>IF(K66="","",K66*L66)</f>
        <v/>
      </c>
      <c r="O66" s="540"/>
      <c r="P66" s="2773"/>
      <c r="Q66" s="2773"/>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2773"/>
      <c r="Q67" s="2773"/>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773"/>
      <c r="Q68" s="2773"/>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48</v>
      </c>
      <c r="G69" s="329"/>
      <c r="H69" s="2825">
        <f>I46+I53+I60+I67</f>
        <v>10239777.099999998</v>
      </c>
      <c r="I69" s="2825"/>
      <c r="J69" s="2825"/>
      <c r="K69" s="583">
        <f>K46+K53+K60+K67</f>
        <v>0</v>
      </c>
      <c r="L69" s="584"/>
      <c r="M69" s="2825">
        <f>N46+N53+N60+N67</f>
        <v>0</v>
      </c>
      <c r="N69" s="2825"/>
      <c r="O69" s="2825"/>
      <c r="P69" s="2773"/>
      <c r="Q69" s="2773"/>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7"/>
      <c r="J70" s="2397"/>
      <c r="K70" s="136" t="s">
        <v>1819</v>
      </c>
      <c r="L70" s="2374"/>
      <c r="M70" s="2374"/>
      <c r="N70" s="2374"/>
      <c r="O70" s="2374"/>
      <c r="P70" s="2774"/>
      <c r="Q70" s="2774"/>
    </row>
    <row r="71" spans="1:295" ht="10.5" customHeight="1">
      <c r="A71" s="2913" t="s">
        <v>7054</v>
      </c>
      <c r="B71" s="2914"/>
      <c r="C71" s="2914"/>
      <c r="D71" s="2914"/>
      <c r="E71" s="2914"/>
      <c r="F71" s="2914"/>
      <c r="G71" s="2914"/>
      <c r="H71" s="2914"/>
      <c r="I71" s="2914"/>
      <c r="J71" s="2915"/>
      <c r="K71" s="2822"/>
      <c r="L71" s="2823"/>
      <c r="M71" s="2823"/>
      <c r="N71" s="2823"/>
      <c r="O71" s="2823"/>
      <c r="P71" s="2823"/>
      <c r="Q71" s="2824"/>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4555</v>
      </c>
      <c r="H73" s="2380"/>
      <c r="J73" s="2827" t="str">
        <f>'Part I-Project Information'!$H$82</f>
        <v>HFOP</v>
      </c>
      <c r="K73" s="2827"/>
      <c r="L73" s="2827"/>
      <c r="O73" s="131" t="s">
        <v>1820</v>
      </c>
      <c r="P73" s="2793"/>
      <c r="Q73" s="2794"/>
    </row>
    <row r="74" spans="1:295" ht="10.5" customHeight="1">
      <c r="B74" s="95" t="s">
        <v>3566</v>
      </c>
      <c r="D74" s="95"/>
      <c r="E74" s="95"/>
      <c r="F74" s="95"/>
      <c r="G74" s="95"/>
      <c r="H74" s="40"/>
      <c r="I74" s="2397"/>
      <c r="J74" s="2397"/>
      <c r="K74" s="136" t="s">
        <v>1819</v>
      </c>
      <c r="L74" s="2374"/>
      <c r="M74" s="2374"/>
      <c r="N74" s="2374"/>
      <c r="O74" s="2374"/>
      <c r="P74" s="2374"/>
      <c r="Q74" s="855"/>
    </row>
    <row r="75" spans="1:295" ht="10.5" customHeight="1">
      <c r="A75" s="2916" t="s">
        <v>7055</v>
      </c>
      <c r="B75" s="2917"/>
      <c r="C75" s="2917"/>
      <c r="D75" s="2917"/>
      <c r="E75" s="2917"/>
      <c r="F75" s="2917"/>
      <c r="G75" s="2917"/>
      <c r="H75" s="2917"/>
      <c r="I75" s="2917"/>
      <c r="J75" s="2918"/>
      <c r="K75" s="2822"/>
      <c r="L75" s="2823"/>
      <c r="M75" s="2823"/>
      <c r="N75" s="2823"/>
      <c r="O75" s="2823"/>
      <c r="P75" s="2823"/>
      <c r="Q75" s="2824"/>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4" t="s">
        <v>4251</v>
      </c>
      <c r="M77" s="1595" t="s">
        <v>4252</v>
      </c>
      <c r="O77" s="131" t="s">
        <v>1820</v>
      </c>
      <c r="P77" s="2793"/>
      <c r="Q77" s="2794"/>
    </row>
    <row r="78" spans="1:295" ht="1.5" customHeight="1"/>
    <row r="79" spans="1:295" ht="12" customHeight="1">
      <c r="A79" s="141" t="s">
        <v>1935</v>
      </c>
      <c r="B79" s="2713" t="s">
        <v>4244</v>
      </c>
      <c r="C79" s="2713"/>
      <c r="D79" s="2713"/>
      <c r="E79" s="2713"/>
      <c r="F79" s="2713"/>
      <c r="G79" s="2713"/>
      <c r="H79" s="2713"/>
      <c r="I79" s="2713"/>
      <c r="J79" s="2713"/>
      <c r="K79" s="147"/>
      <c r="L79" s="429" t="s">
        <v>2807</v>
      </c>
      <c r="M79" s="1463">
        <v>2</v>
      </c>
      <c r="N79" s="389" t="s">
        <v>4700</v>
      </c>
      <c r="P79" s="2932" t="s">
        <v>7056</v>
      </c>
      <c r="Q79" s="2936"/>
    </row>
    <row r="80" spans="1:295" ht="12" customHeight="1">
      <c r="A80" s="141"/>
      <c r="B80" s="2713"/>
      <c r="C80" s="2713"/>
      <c r="D80" s="2713"/>
      <c r="E80" s="2713"/>
      <c r="F80" s="2713"/>
      <c r="G80" s="2713"/>
      <c r="H80" s="2713"/>
      <c r="I80" s="2713"/>
      <c r="J80" s="2713"/>
      <c r="K80" s="147"/>
      <c r="L80" s="429" t="s">
        <v>4250</v>
      </c>
      <c r="M80" s="1464">
        <v>4</v>
      </c>
      <c r="O80" s="142"/>
      <c r="P80" s="2933"/>
      <c r="Q80" s="2937"/>
    </row>
    <row r="81" spans="1:31" ht="12" customHeight="1">
      <c r="A81" s="47" t="s">
        <v>1937</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4701</v>
      </c>
      <c r="O82" s="897"/>
      <c r="P82" s="2256"/>
      <c r="Q82" s="518"/>
    </row>
    <row r="83" spans="1:31" ht="12" customHeight="1">
      <c r="A83" s="1412"/>
      <c r="B83" s="1488" t="s">
        <v>1695</v>
      </c>
      <c r="C83" s="389" t="s">
        <v>4254</v>
      </c>
      <c r="D83" s="1414"/>
      <c r="E83" s="1414"/>
      <c r="F83" s="1414"/>
      <c r="G83" s="1414"/>
      <c r="H83" s="1414"/>
      <c r="I83" s="1414"/>
      <c r="J83" s="1414"/>
      <c r="K83" s="1413"/>
      <c r="L83" s="896"/>
      <c r="N83" s="389" t="s">
        <v>4702</v>
      </c>
      <c r="O83" s="897"/>
      <c r="P83" s="2257" t="s">
        <v>7056</v>
      </c>
      <c r="Q83" s="519"/>
    </row>
    <row r="84" spans="1:31" ht="12" customHeight="1">
      <c r="A84" s="1411"/>
      <c r="B84" s="468" t="s">
        <v>1696</v>
      </c>
      <c r="C84" s="389" t="s">
        <v>4255</v>
      </c>
      <c r="E84" s="1414"/>
      <c r="F84" s="1414"/>
      <c r="G84" s="1414"/>
      <c r="H84" s="1414"/>
      <c r="I84" s="1414"/>
      <c r="J84" s="1414"/>
      <c r="K84" s="1413"/>
      <c r="L84" s="896"/>
      <c r="M84" s="897"/>
      <c r="N84" s="389" t="s">
        <v>4703</v>
      </c>
      <c r="O84" s="897"/>
      <c r="P84" s="2257" t="s">
        <v>7056</v>
      </c>
      <c r="Q84" s="519"/>
    </row>
    <row r="85" spans="1:31" ht="11.1" customHeight="1">
      <c r="A85" s="143"/>
      <c r="B85" s="468" t="s">
        <v>2304</v>
      </c>
      <c r="C85" s="468" t="s">
        <v>4258</v>
      </c>
      <c r="D85" s="133"/>
      <c r="E85" s="133"/>
      <c r="F85" s="133"/>
      <c r="G85" s="133"/>
      <c r="H85" s="133"/>
      <c r="I85" s="42"/>
      <c r="J85" s="42"/>
      <c r="N85" s="389" t="s">
        <v>4704</v>
      </c>
      <c r="O85" s="897"/>
      <c r="P85" s="2258"/>
      <c r="Q85" s="520"/>
    </row>
    <row r="86" spans="1:31" ht="11.1" customHeight="1">
      <c r="A86" s="143"/>
      <c r="B86" s="468"/>
      <c r="C86" s="389" t="s">
        <v>4259</v>
      </c>
      <c r="D86" s="133"/>
      <c r="E86" s="133"/>
      <c r="F86" s="133"/>
      <c r="G86" s="133"/>
      <c r="H86" s="133"/>
      <c r="I86" s="42"/>
      <c r="J86" s="42"/>
      <c r="L86" s="2751"/>
      <c r="M86" s="2752"/>
      <c r="N86" s="2752"/>
      <c r="O86" s="2752"/>
      <c r="P86" s="2752"/>
      <c r="Q86" s="2753"/>
    </row>
    <row r="87" spans="1:31" ht="11.25" customHeight="1">
      <c r="A87" s="143"/>
      <c r="B87" s="468" t="s">
        <v>1516</v>
      </c>
      <c r="C87" s="2713" t="s">
        <v>4256</v>
      </c>
      <c r="D87" s="2713"/>
      <c r="E87" s="2713"/>
      <c r="F87" s="2713"/>
      <c r="G87" s="2713"/>
      <c r="H87" s="2713"/>
      <c r="I87" s="2713"/>
      <c r="J87" s="2713"/>
      <c r="K87" s="2713"/>
      <c r="L87" s="2713"/>
      <c r="M87" s="515"/>
      <c r="N87" s="389" t="s">
        <v>4705</v>
      </c>
      <c r="O87" s="897"/>
      <c r="P87" s="2259" t="s">
        <v>7056</v>
      </c>
      <c r="Q87" s="517"/>
    </row>
    <row r="88" spans="1:31" ht="11.25" customHeight="1">
      <c r="A88" s="47"/>
      <c r="C88" s="2713"/>
      <c r="D88" s="2713"/>
      <c r="E88" s="2713"/>
      <c r="F88" s="2713"/>
      <c r="G88" s="2713"/>
      <c r="H88" s="2713"/>
      <c r="I88" s="2713"/>
      <c r="J88" s="2713"/>
      <c r="K88" s="2713"/>
      <c r="L88" s="2713"/>
      <c r="M88" s="515"/>
    </row>
    <row r="89" spans="1:31" ht="10.5" customHeight="1">
      <c r="B89" s="95" t="s">
        <v>3566</v>
      </c>
      <c r="D89" s="95"/>
      <c r="E89" s="95"/>
      <c r="F89" s="95"/>
      <c r="G89" s="95"/>
      <c r="H89" s="40"/>
      <c r="I89" s="2397"/>
      <c r="J89" s="2397"/>
      <c r="K89" s="136" t="s">
        <v>1819</v>
      </c>
      <c r="L89" s="2374"/>
      <c r="M89" s="2374"/>
      <c r="N89" s="2374"/>
      <c r="O89" s="2374"/>
      <c r="P89" s="2374"/>
      <c r="Q89" s="855"/>
    </row>
    <row r="90" spans="1:31" ht="23.25" customHeight="1">
      <c r="A90" s="2919" t="s">
        <v>7057</v>
      </c>
      <c r="B90" s="2920"/>
      <c r="C90" s="2920"/>
      <c r="D90" s="2920"/>
      <c r="E90" s="2920"/>
      <c r="F90" s="2920"/>
      <c r="G90" s="2920"/>
      <c r="H90" s="2920"/>
      <c r="I90" s="2920"/>
      <c r="J90" s="2921"/>
      <c r="K90" s="2822"/>
      <c r="L90" s="2823"/>
      <c r="M90" s="2823"/>
      <c r="N90" s="2823"/>
      <c r="O90" s="2823"/>
      <c r="P90" s="2823"/>
      <c r="Q90" s="2824"/>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4694</v>
      </c>
      <c r="C92" s="2372"/>
      <c r="D92" s="2380"/>
      <c r="E92" s="2380"/>
      <c r="F92" s="2380"/>
      <c r="G92" s="2380"/>
      <c r="H92" s="1627" t="str">
        <f>'Part I-Project Information'!$K$40</f>
        <v>Rural</v>
      </c>
      <c r="J92" s="47" t="s">
        <v>4699</v>
      </c>
      <c r="K92" s="587" t="str">
        <f>'Part I-Project Information'!$H$105</f>
        <v>Rural</v>
      </c>
      <c r="L92" s="63" t="s">
        <v>4310</v>
      </c>
      <c r="M92" s="1466" t="str">
        <f>'Part I-Project Information'!$H$82</f>
        <v>HFOP</v>
      </c>
      <c r="O92" s="131" t="s">
        <v>1820</v>
      </c>
      <c r="P92" s="2793"/>
      <c r="Q92" s="2794"/>
    </row>
    <row r="93" spans="1:31" ht="3" customHeight="1"/>
    <row r="94" spans="1:31" ht="10.5" customHeight="1">
      <c r="A94" s="47" t="s">
        <v>1935</v>
      </c>
      <c r="B94" s="39" t="s">
        <v>2395</v>
      </c>
      <c r="D94" s="133"/>
      <c r="E94" s="133"/>
      <c r="F94" s="133"/>
      <c r="G94" s="133"/>
      <c r="H94" s="133"/>
      <c r="I94" s="42"/>
      <c r="J94" s="42"/>
      <c r="K94" s="42"/>
      <c r="L94" s="455" t="s">
        <v>1935</v>
      </c>
      <c r="M94" s="2922" t="s">
        <v>7058</v>
      </c>
      <c r="N94" s="2923"/>
      <c r="O94" s="2923"/>
      <c r="P94" s="2924"/>
      <c r="Q94" s="518"/>
    </row>
    <row r="95" spans="1:31" ht="10.5" customHeight="1">
      <c r="A95" s="47" t="s">
        <v>1937</v>
      </c>
      <c r="B95" s="52" t="s">
        <v>4556</v>
      </c>
      <c r="D95" s="133"/>
      <c r="E95" s="133"/>
      <c r="F95" s="133"/>
      <c r="L95" s="455" t="s">
        <v>1937</v>
      </c>
      <c r="M95" s="2839" t="s">
        <v>7059</v>
      </c>
      <c r="N95" s="2840"/>
      <c r="O95" s="2840"/>
      <c r="P95" s="2841"/>
      <c r="Q95" s="519"/>
    </row>
    <row r="96" spans="1:31" ht="10.5" customHeight="1">
      <c r="A96" s="47" t="s">
        <v>731</v>
      </c>
      <c r="B96" s="52" t="s">
        <v>2778</v>
      </c>
      <c r="D96" s="133"/>
      <c r="E96" s="133"/>
      <c r="F96" s="133"/>
      <c r="L96" s="455" t="s">
        <v>731</v>
      </c>
      <c r="M96" s="2768">
        <v>0.99199999999999999</v>
      </c>
      <c r="N96" s="2769"/>
      <c r="O96" s="2769"/>
      <c r="P96" s="2770"/>
      <c r="Q96" s="519"/>
    </row>
    <row r="97" spans="1:32" ht="10.5" customHeight="1">
      <c r="A97" s="47" t="s">
        <v>2064</v>
      </c>
      <c r="B97" s="52" t="s">
        <v>3666</v>
      </c>
      <c r="D97" s="133"/>
      <c r="E97" s="133"/>
      <c r="F97" s="133"/>
      <c r="L97" s="455" t="s">
        <v>3667</v>
      </c>
      <c r="M97" s="2260">
        <v>0.14299999999999999</v>
      </c>
      <c r="N97" s="1053"/>
      <c r="O97" s="1054" t="s">
        <v>3806</v>
      </c>
      <c r="P97" s="2261" t="s">
        <v>948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6" t="s">
        <v>2316</v>
      </c>
      <c r="E99" s="856" t="s">
        <v>599</v>
      </c>
      <c r="F99" s="856"/>
      <c r="H99" s="52"/>
      <c r="I99" s="2386" t="s">
        <v>2316</v>
      </c>
      <c r="J99" s="856" t="s">
        <v>599</v>
      </c>
      <c r="K99" s="856"/>
      <c r="M99" s="52"/>
      <c r="N99" s="2386" t="s">
        <v>2316</v>
      </c>
      <c r="O99" s="856" t="s">
        <v>599</v>
      </c>
      <c r="P99" s="856"/>
      <c r="Q99" s="455"/>
    </row>
    <row r="100" spans="1:32" ht="10.5" customHeight="1">
      <c r="C100" s="455" t="s">
        <v>1694</v>
      </c>
      <c r="D100" s="2262" t="s">
        <v>7118</v>
      </c>
      <c r="E100" s="2821" t="s">
        <v>7119</v>
      </c>
      <c r="F100" s="2821"/>
      <c r="G100" s="2821"/>
      <c r="H100" s="65" t="s">
        <v>1696</v>
      </c>
      <c r="I100" s="2262" t="s">
        <v>7122</v>
      </c>
      <c r="J100" s="2821" t="s">
        <v>7123</v>
      </c>
      <c r="K100" s="2821"/>
      <c r="L100" s="2821"/>
      <c r="M100" s="64" t="s">
        <v>1516</v>
      </c>
      <c r="N100" s="2262" t="s">
        <v>7126</v>
      </c>
      <c r="O100" s="2821" t="s">
        <v>7127</v>
      </c>
      <c r="P100" s="2821"/>
      <c r="Q100" s="2821"/>
    </row>
    <row r="101" spans="1:32" ht="10.5" customHeight="1">
      <c r="C101" s="65" t="s">
        <v>1695</v>
      </c>
      <c r="D101" s="2263" t="s">
        <v>7120</v>
      </c>
      <c r="E101" s="2934" t="s">
        <v>7121</v>
      </c>
      <c r="F101" s="2934"/>
      <c r="G101" s="2934"/>
      <c r="H101" s="455" t="s">
        <v>2304</v>
      </c>
      <c r="I101" s="2263" t="s">
        <v>7124</v>
      </c>
      <c r="J101" s="2934" t="s">
        <v>7125</v>
      </c>
      <c r="K101" s="2934"/>
      <c r="L101" s="2934"/>
      <c r="M101" s="64" t="s">
        <v>1517</v>
      </c>
      <c r="N101" s="2263" t="s">
        <v>7128</v>
      </c>
      <c r="O101" s="2934" t="s">
        <v>7129</v>
      </c>
      <c r="P101" s="2934"/>
      <c r="Q101" s="2934"/>
    </row>
    <row r="102" spans="1:32" ht="10.5" customHeight="1">
      <c r="A102" s="47" t="s">
        <v>1693</v>
      </c>
      <c r="B102" s="52" t="s">
        <v>0</v>
      </c>
      <c r="D102" s="133"/>
      <c r="E102" s="133"/>
      <c r="F102" s="133"/>
      <c r="G102" s="133"/>
      <c r="H102" s="133"/>
      <c r="I102" s="42"/>
      <c r="J102" s="42"/>
      <c r="K102" s="133"/>
      <c r="L102" s="2392"/>
      <c r="M102" s="2392"/>
      <c r="O102" s="455" t="s">
        <v>1693</v>
      </c>
      <c r="P102" s="2264" t="s">
        <v>2885</v>
      </c>
      <c r="Q102" s="1553"/>
    </row>
    <row r="103" spans="1:32" s="132" customFormat="1" ht="43.35" customHeight="1">
      <c r="A103" s="141" t="s">
        <v>1899</v>
      </c>
      <c r="B103" s="2703" t="s">
        <v>4791</v>
      </c>
      <c r="C103" s="2703"/>
      <c r="D103" s="2703"/>
      <c r="E103" s="2703"/>
      <c r="F103" s="2703"/>
      <c r="G103" s="2703"/>
      <c r="H103" s="2703"/>
      <c r="I103" s="2703"/>
      <c r="J103" s="2703"/>
      <c r="K103" s="2703"/>
      <c r="L103" s="2703"/>
      <c r="M103" s="2703"/>
      <c r="N103" s="2703"/>
      <c r="O103" s="1725" t="s">
        <v>4789</v>
      </c>
      <c r="P103" s="2390" t="s">
        <v>2885</v>
      </c>
      <c r="Q103" s="2393"/>
      <c r="AE103" s="458"/>
      <c r="AF103" s="458"/>
    </row>
    <row r="104" spans="1:32" s="42" customFormat="1" ht="10.5" customHeight="1">
      <c r="A104" s="47"/>
      <c r="B104" s="1488" t="s">
        <v>1695</v>
      </c>
      <c r="C104" s="52" t="s">
        <v>4790</v>
      </c>
      <c r="D104" s="133"/>
      <c r="E104" s="133"/>
      <c r="F104" s="133"/>
      <c r="G104" s="133"/>
      <c r="H104" s="133"/>
      <c r="K104" s="133"/>
      <c r="L104" s="2392"/>
      <c r="M104" s="2392"/>
      <c r="O104" s="455" t="s">
        <v>1695</v>
      </c>
      <c r="P104" s="2258" t="s">
        <v>2888</v>
      </c>
      <c r="Q104" s="520"/>
      <c r="AE104" s="50"/>
      <c r="AF104" s="50"/>
    </row>
    <row r="105" spans="1:32" ht="9.75" customHeight="1">
      <c r="B105" s="140" t="s">
        <v>3566</v>
      </c>
      <c r="D105" s="140"/>
      <c r="E105" s="140"/>
      <c r="F105" s="140"/>
      <c r="G105" s="140"/>
      <c r="H105" s="40"/>
      <c r="I105" s="2397"/>
      <c r="J105" s="2397"/>
      <c r="K105" s="2397"/>
      <c r="L105" s="2374"/>
      <c r="M105" s="2374"/>
      <c r="N105" s="2374"/>
      <c r="O105" s="2374"/>
      <c r="P105" s="2374"/>
      <c r="Q105" s="855"/>
    </row>
    <row r="106" spans="1:32" ht="63" customHeight="1">
      <c r="A106" s="2925" t="s">
        <v>7130</v>
      </c>
      <c r="B106" s="2926"/>
      <c r="C106" s="2926"/>
      <c r="D106" s="2926"/>
      <c r="E106" s="2926"/>
      <c r="F106" s="2926"/>
      <c r="G106" s="2926"/>
      <c r="H106" s="2926"/>
      <c r="I106" s="2926"/>
      <c r="J106" s="2926"/>
      <c r="K106" s="2926"/>
      <c r="L106" s="2926"/>
      <c r="M106" s="2926"/>
      <c r="N106" s="2926"/>
      <c r="O106" s="2926"/>
      <c r="P106" s="2926"/>
      <c r="Q106" s="2927"/>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22"/>
      <c r="B108" s="2823"/>
      <c r="C108" s="2823"/>
      <c r="D108" s="2823"/>
      <c r="E108" s="2823"/>
      <c r="F108" s="2823"/>
      <c r="G108" s="2823"/>
      <c r="H108" s="2823"/>
      <c r="I108" s="2823"/>
      <c r="J108" s="2823"/>
      <c r="K108" s="2823"/>
      <c r="L108" s="2823"/>
      <c r="M108" s="2823"/>
      <c r="N108" s="2823"/>
      <c r="O108" s="2823"/>
      <c r="P108" s="2823"/>
      <c r="Q108" s="2824"/>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2793"/>
      <c r="Q109" s="2794"/>
    </row>
    <row r="110" spans="1:32" ht="3" customHeight="1"/>
    <row r="111" spans="1:32" ht="10.5" customHeight="1">
      <c r="A111" s="47" t="s">
        <v>1935</v>
      </c>
      <c r="B111" s="52" t="s">
        <v>4706</v>
      </c>
      <c r="C111" s="52"/>
      <c r="E111" s="52"/>
      <c r="F111" s="52"/>
      <c r="G111" s="52"/>
      <c r="H111" s="52"/>
      <c r="I111" s="52"/>
      <c r="J111" s="52"/>
      <c r="K111" s="52"/>
      <c r="L111" s="856"/>
      <c r="M111" s="856"/>
      <c r="O111" s="455" t="s">
        <v>1935</v>
      </c>
      <c r="P111" s="2259" t="s">
        <v>2888</v>
      </c>
      <c r="Q111" s="1553"/>
    </row>
    <row r="112" spans="1:32" ht="10.5" customHeight="1">
      <c r="B112" s="1488" t="s">
        <v>1694</v>
      </c>
      <c r="C112" s="39" t="s">
        <v>538</v>
      </c>
      <c r="E112" s="42"/>
      <c r="F112" s="42"/>
      <c r="G112" s="42"/>
      <c r="H112" s="42"/>
      <c r="I112" s="42"/>
      <c r="L112" s="65" t="s">
        <v>539</v>
      </c>
      <c r="M112" s="2751"/>
      <c r="N112" s="2752"/>
      <c r="O112" s="2752"/>
      <c r="P112" s="2928"/>
      <c r="Q112" s="519"/>
    </row>
    <row r="113" spans="1:32" s="42" customFormat="1" ht="9.75" customHeight="1">
      <c r="B113" s="145" t="s">
        <v>1695</v>
      </c>
      <c r="C113" s="36" t="s">
        <v>4375</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7"/>
      <c r="B115" s="468" t="s">
        <v>2304</v>
      </c>
      <c r="C115" s="856" t="s">
        <v>4260</v>
      </c>
      <c r="D115" s="984"/>
      <c r="E115" s="984"/>
      <c r="F115" s="984"/>
      <c r="G115" s="984"/>
      <c r="H115" s="984"/>
      <c r="I115" s="984"/>
      <c r="J115" s="984"/>
      <c r="K115" s="984"/>
      <c r="L115" s="984"/>
      <c r="M115" s="984"/>
      <c r="O115" s="160" t="s">
        <v>2304</v>
      </c>
      <c r="P115" s="2266"/>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7"/>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7"/>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03" t="s">
        <v>4559</v>
      </c>
      <c r="D119" s="2703"/>
      <c r="E119" s="2703"/>
      <c r="F119" s="2703"/>
      <c r="G119" s="2703"/>
      <c r="H119" s="2703"/>
      <c r="I119" s="2703"/>
      <c r="J119" s="2703"/>
      <c r="K119" s="2703"/>
      <c r="L119" s="2703"/>
      <c r="M119" s="2703"/>
      <c r="N119" s="2703"/>
      <c r="O119" s="160" t="s">
        <v>500</v>
      </c>
      <c r="P119" s="2391"/>
      <c r="Q119" s="2251"/>
      <c r="AE119" s="458"/>
      <c r="AF119" s="458"/>
    </row>
    <row r="120" spans="1:32" ht="10.5" customHeight="1">
      <c r="A120" s="47" t="s">
        <v>1937</v>
      </c>
      <c r="B120" s="52" t="s">
        <v>4558</v>
      </c>
      <c r="C120" s="52"/>
      <c r="E120" s="52"/>
      <c r="F120" s="52"/>
      <c r="G120" s="52"/>
      <c r="H120" s="52"/>
      <c r="I120" s="52"/>
      <c r="J120" s="52"/>
      <c r="K120" s="52"/>
      <c r="L120" s="52"/>
      <c r="M120" s="52"/>
      <c r="O120" s="455" t="s">
        <v>1937</v>
      </c>
      <c r="P120" s="2264" t="s">
        <v>2888</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81"/>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2888</v>
      </c>
      <c r="Q124" s="518"/>
    </row>
    <row r="125" spans="1:32" ht="10.5" customHeight="1">
      <c r="B125" s="145" t="s">
        <v>1695</v>
      </c>
      <c r="C125" s="52" t="s">
        <v>1402</v>
      </c>
      <c r="E125" s="52"/>
      <c r="F125" s="52"/>
      <c r="G125" s="52"/>
      <c r="H125" s="52"/>
      <c r="I125" s="52"/>
      <c r="J125" s="52"/>
      <c r="K125" s="52"/>
      <c r="L125" s="856"/>
      <c r="M125" s="856"/>
      <c r="O125" s="65" t="s">
        <v>1695</v>
      </c>
      <c r="P125" s="2257"/>
      <c r="Q125" s="519"/>
    </row>
    <row r="126" spans="1:32" ht="10.5" customHeight="1">
      <c r="B126" s="145" t="s">
        <v>1696</v>
      </c>
      <c r="C126" s="52" t="s">
        <v>1403</v>
      </c>
      <c r="E126" s="52"/>
      <c r="F126" s="52"/>
      <c r="G126" s="52"/>
      <c r="H126" s="52"/>
      <c r="I126" s="52"/>
      <c r="J126" s="52"/>
      <c r="K126" s="52"/>
      <c r="L126" s="856"/>
      <c r="M126" s="856"/>
      <c r="O126" s="65" t="s">
        <v>1696</v>
      </c>
      <c r="P126" s="2258"/>
      <c r="Q126" s="520"/>
    </row>
    <row r="127" spans="1:32" ht="10.5" customHeight="1">
      <c r="B127" s="140" t="s">
        <v>3566</v>
      </c>
      <c r="D127" s="140"/>
      <c r="E127" s="140"/>
      <c r="F127" s="140"/>
      <c r="G127" s="140"/>
      <c r="H127" s="40"/>
      <c r="I127" s="2397"/>
      <c r="J127" s="2397"/>
      <c r="K127" s="2397"/>
      <c r="L127" s="2374"/>
      <c r="M127" s="2374"/>
      <c r="N127" s="2374"/>
      <c r="O127" s="2374"/>
      <c r="P127" s="2374"/>
      <c r="Q127" s="855"/>
    </row>
    <row r="128" spans="1:32" ht="22.5" customHeight="1">
      <c r="A128" s="2698" t="s">
        <v>7060</v>
      </c>
      <c r="B128" s="2699"/>
      <c r="C128" s="2699"/>
      <c r="D128" s="2699"/>
      <c r="E128" s="2699"/>
      <c r="F128" s="2699"/>
      <c r="G128" s="2699"/>
      <c r="H128" s="2699"/>
      <c r="I128" s="2699"/>
      <c r="J128" s="2699"/>
      <c r="K128" s="2699"/>
      <c r="L128" s="2699"/>
      <c r="M128" s="2699"/>
      <c r="N128" s="2699"/>
      <c r="O128" s="2699"/>
      <c r="P128" s="2699"/>
      <c r="Q128" s="2700"/>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22"/>
      <c r="B130" s="2823"/>
      <c r="C130" s="2823"/>
      <c r="D130" s="2823"/>
      <c r="E130" s="2823"/>
      <c r="F130" s="2823"/>
      <c r="G130" s="2823"/>
      <c r="H130" s="2823"/>
      <c r="I130" s="2823"/>
      <c r="J130" s="2823"/>
      <c r="K130" s="2823"/>
      <c r="L130" s="2823"/>
      <c r="M130" s="2823"/>
      <c r="N130" s="2823"/>
      <c r="O130" s="2823"/>
      <c r="P130" s="2823"/>
      <c r="Q130" s="2824"/>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2793"/>
      <c r="Q131" s="2794"/>
    </row>
    <row r="132" spans="1:17" ht="6.6" customHeight="1"/>
    <row r="133" spans="1:17" ht="12" customHeight="1">
      <c r="A133" s="47" t="s">
        <v>1935</v>
      </c>
      <c r="B133" s="52" t="s">
        <v>3469</v>
      </c>
      <c r="D133" s="133"/>
      <c r="E133" s="133"/>
      <c r="F133" s="133"/>
      <c r="G133" s="133"/>
      <c r="H133" s="133"/>
      <c r="I133" s="42"/>
      <c r="J133" s="42"/>
      <c r="K133" s="455" t="s">
        <v>1935</v>
      </c>
      <c r="L133" s="2909" t="s">
        <v>7061</v>
      </c>
      <c r="M133" s="2909"/>
      <c r="N133" s="2909"/>
      <c r="O133" s="2909"/>
      <c r="P133" s="2909"/>
      <c r="Q133" s="517"/>
    </row>
    <row r="134" spans="1:17" ht="12" customHeight="1">
      <c r="A134" s="47" t="s">
        <v>1937</v>
      </c>
      <c r="B134" s="52" t="s">
        <v>1505</v>
      </c>
      <c r="D134" s="133"/>
      <c r="E134" s="133"/>
      <c r="F134" s="133"/>
      <c r="G134" s="133"/>
      <c r="H134" s="133"/>
      <c r="I134" s="42"/>
      <c r="J134" s="42"/>
      <c r="K134" s="133"/>
      <c r="L134" s="2392"/>
      <c r="O134" s="455" t="s">
        <v>1937</v>
      </c>
      <c r="P134" s="2266" t="s">
        <v>2888</v>
      </c>
      <c r="Q134" s="898"/>
    </row>
    <row r="135" spans="1:17" ht="12" customHeight="1">
      <c r="A135" s="47" t="s">
        <v>731</v>
      </c>
      <c r="B135" s="52" t="s">
        <v>147</v>
      </c>
      <c r="D135" s="133"/>
      <c r="E135" s="133"/>
      <c r="F135" s="133"/>
      <c r="G135" s="133"/>
      <c r="H135" s="133"/>
      <c r="I135" s="42"/>
      <c r="J135" s="42"/>
      <c r="K135" s="2392"/>
      <c r="L135" s="2392"/>
      <c r="O135" s="455" t="s">
        <v>731</v>
      </c>
      <c r="P135" s="2258" t="s">
        <v>2885</v>
      </c>
      <c r="Q135" s="862"/>
    </row>
    <row r="136" spans="1:17" ht="12" customHeight="1">
      <c r="A136" s="47"/>
      <c r="B136" s="856" t="s">
        <v>1694</v>
      </c>
      <c r="C136" s="52" t="s">
        <v>2610</v>
      </c>
      <c r="E136" s="133"/>
      <c r="F136" s="133"/>
      <c r="G136" s="133"/>
      <c r="H136" s="133"/>
      <c r="I136" s="42"/>
      <c r="J136" s="42"/>
      <c r="K136" s="65" t="s">
        <v>1694</v>
      </c>
      <c r="L136" s="2909" t="s">
        <v>7061</v>
      </c>
      <c r="M136" s="2909"/>
      <c r="N136" s="2909"/>
      <c r="O136" s="2909"/>
      <c r="P136" s="2909"/>
      <c r="Q136" s="517"/>
    </row>
    <row r="137" spans="1:17" ht="12" customHeight="1">
      <c r="A137" s="138"/>
      <c r="B137" s="145" t="s">
        <v>1695</v>
      </c>
      <c r="C137" s="36" t="s">
        <v>3354</v>
      </c>
      <c r="E137" s="42"/>
      <c r="F137" s="42"/>
      <c r="G137" s="42"/>
      <c r="H137" s="52"/>
      <c r="I137" s="42"/>
      <c r="J137" s="42"/>
      <c r="K137" s="133"/>
      <c r="L137" s="2392"/>
      <c r="M137" s="2392"/>
      <c r="O137" s="455" t="s">
        <v>1695</v>
      </c>
      <c r="P137" s="2264">
        <v>57</v>
      </c>
      <c r="Q137" s="1553"/>
    </row>
    <row r="138" spans="1:17" ht="12" customHeight="1">
      <c r="A138" s="138"/>
      <c r="B138" s="40" t="s">
        <v>1696</v>
      </c>
      <c r="C138" s="36" t="s">
        <v>4245</v>
      </c>
      <c r="D138" s="147"/>
      <c r="E138" s="42"/>
      <c r="F138" s="42"/>
      <c r="G138" s="42"/>
      <c r="H138" s="52"/>
      <c r="I138" s="42"/>
      <c r="J138" s="42"/>
      <c r="K138" s="133"/>
      <c r="L138" s="2392"/>
      <c r="M138" s="2392"/>
      <c r="O138" s="455" t="s">
        <v>1696</v>
      </c>
      <c r="P138" s="2258" t="s">
        <v>7062</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56" t="s">
        <v>2888</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2888</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c r="Q142" s="828"/>
    </row>
    <row r="143" spans="1:17" ht="12" customHeight="1">
      <c r="A143" s="47"/>
      <c r="B143" s="145"/>
      <c r="E143" s="455" t="s">
        <v>2372</v>
      </c>
      <c r="F143" s="52" t="s">
        <v>2563</v>
      </c>
      <c r="G143" s="42"/>
      <c r="H143" s="52"/>
      <c r="I143" s="42"/>
      <c r="J143" s="42"/>
      <c r="K143" s="133"/>
      <c r="L143" s="2392"/>
      <c r="M143" s="2392"/>
      <c r="O143" s="455" t="s">
        <v>2372</v>
      </c>
      <c r="P143" s="2257"/>
      <c r="Q143" s="519"/>
    </row>
    <row r="144" spans="1:17" ht="12" customHeight="1">
      <c r="A144" s="47"/>
      <c r="B144" s="145"/>
      <c r="E144" s="455" t="s">
        <v>2373</v>
      </c>
      <c r="F144" s="52" t="s">
        <v>2564</v>
      </c>
      <c r="G144" s="42"/>
      <c r="H144" s="52"/>
      <c r="I144" s="42"/>
      <c r="J144" s="42"/>
      <c r="K144" s="133"/>
      <c r="L144" s="2392"/>
      <c r="M144" s="2392"/>
      <c r="O144" s="455" t="s">
        <v>2373</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2885</v>
      </c>
      <c r="Q145" s="519"/>
    </row>
    <row r="146" spans="1:17" ht="12" customHeight="1">
      <c r="A146" s="47"/>
      <c r="B146" s="65"/>
      <c r="C146" s="52" t="s">
        <v>2561</v>
      </c>
      <c r="E146" s="455" t="s">
        <v>2371</v>
      </c>
      <c r="F146" s="52" t="s">
        <v>2565</v>
      </c>
      <c r="G146" s="42"/>
      <c r="H146" s="52"/>
      <c r="I146" s="42"/>
      <c r="J146" s="42"/>
      <c r="K146" s="133"/>
      <c r="L146" s="2392"/>
      <c r="O146" s="455" t="s">
        <v>2371</v>
      </c>
      <c r="P146" s="2267">
        <v>0.1198</v>
      </c>
      <c r="Q146" s="828"/>
    </row>
    <row r="147" spans="1:17" ht="12" customHeight="1">
      <c r="A147" s="47"/>
      <c r="B147" s="65"/>
      <c r="E147" s="455" t="s">
        <v>2372</v>
      </c>
      <c r="F147" s="52" t="s">
        <v>2566</v>
      </c>
      <c r="G147" s="42"/>
      <c r="H147" s="52"/>
      <c r="I147" s="42"/>
      <c r="J147" s="42"/>
      <c r="O147" s="455" t="s">
        <v>2372</v>
      </c>
      <c r="P147" s="2257" t="s">
        <v>2885</v>
      </c>
      <c r="Q147" s="519"/>
    </row>
    <row r="148" spans="1:17" ht="12" customHeight="1">
      <c r="A148" s="47"/>
      <c r="B148" s="65"/>
      <c r="E148" s="455" t="s">
        <v>2373</v>
      </c>
      <c r="F148" s="52" t="s">
        <v>2564</v>
      </c>
      <c r="G148" s="42"/>
      <c r="H148" s="52"/>
      <c r="I148" s="42"/>
      <c r="J148" s="42"/>
      <c r="O148" s="455" t="s">
        <v>2373</v>
      </c>
      <c r="P148" s="2258" t="s">
        <v>2885</v>
      </c>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56" t="s">
        <v>2888</v>
      </c>
      <c r="G150" s="518"/>
      <c r="H150" s="455" t="s">
        <v>4406</v>
      </c>
      <c r="I150" s="55" t="s">
        <v>2568</v>
      </c>
      <c r="L150" s="2256" t="s">
        <v>2888</v>
      </c>
      <c r="M150" s="518"/>
      <c r="N150" s="455" t="s">
        <v>4410</v>
      </c>
      <c r="O150" s="52" t="s">
        <v>1519</v>
      </c>
      <c r="P150" s="2256" t="s">
        <v>2885</v>
      </c>
      <c r="Q150" s="518"/>
    </row>
    <row r="151" spans="1:17" ht="12" customHeight="1">
      <c r="A151" s="36"/>
      <c r="B151" s="145" t="s">
        <v>1695</v>
      </c>
      <c r="C151" s="52" t="s">
        <v>2709</v>
      </c>
      <c r="E151" s="133"/>
      <c r="F151" s="2257" t="s">
        <v>2888</v>
      </c>
      <c r="G151" s="519"/>
      <c r="H151" s="455" t="s">
        <v>4407</v>
      </c>
      <c r="I151" s="55" t="s">
        <v>2569</v>
      </c>
      <c r="L151" s="2257" t="s">
        <v>2888</v>
      </c>
      <c r="M151" s="519"/>
      <c r="N151" s="455" t="s">
        <v>4411</v>
      </c>
      <c r="O151" s="52" t="s">
        <v>1518</v>
      </c>
      <c r="P151" s="2257" t="s">
        <v>2888</v>
      </c>
      <c r="Q151" s="519"/>
    </row>
    <row r="152" spans="1:17" ht="12" customHeight="1">
      <c r="A152" s="36"/>
      <c r="B152" s="145" t="s">
        <v>1696</v>
      </c>
      <c r="C152" s="52" t="s">
        <v>2567</v>
      </c>
      <c r="E152" s="133"/>
      <c r="F152" s="2257" t="s">
        <v>2885</v>
      </c>
      <c r="G152" s="519"/>
      <c r="H152" s="455" t="s">
        <v>4408</v>
      </c>
      <c r="I152" s="55" t="s">
        <v>3631</v>
      </c>
      <c r="L152" s="2257" t="s">
        <v>2888</v>
      </c>
      <c r="M152" s="519"/>
      <c r="N152" s="455" t="s">
        <v>4412</v>
      </c>
      <c r="O152" s="52" t="s">
        <v>1520</v>
      </c>
      <c r="P152" s="2258" t="s">
        <v>2888</v>
      </c>
      <c r="Q152" s="520"/>
    </row>
    <row r="153" spans="1:17" ht="12" customHeight="1">
      <c r="A153" s="36"/>
      <c r="B153" s="145" t="s">
        <v>2304</v>
      </c>
      <c r="C153" s="52" t="s">
        <v>2711</v>
      </c>
      <c r="E153" s="133"/>
      <c r="F153" s="2258" t="s">
        <v>2888</v>
      </c>
      <c r="G153" s="520"/>
      <c r="H153" s="455" t="s">
        <v>4409</v>
      </c>
      <c r="I153" s="52" t="s">
        <v>2708</v>
      </c>
      <c r="L153" s="2258" t="s">
        <v>2885</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771" t="s">
        <v>7063</v>
      </c>
      <c r="D155" s="2771"/>
      <c r="E155" s="2771"/>
      <c r="F155" s="2771"/>
      <c r="G155" s="2771"/>
      <c r="H155" s="2771"/>
      <c r="I155" s="2771"/>
      <c r="J155" s="2771"/>
      <c r="K155" s="2771"/>
      <c r="L155" s="2771"/>
      <c r="M155" s="2771"/>
      <c r="N155" s="2771"/>
      <c r="O155" s="2771"/>
      <c r="P155" s="2771"/>
      <c r="Q155" s="2771"/>
    </row>
    <row r="156" spans="1:17" ht="12" customHeight="1">
      <c r="A156" s="47" t="s">
        <v>1693</v>
      </c>
      <c r="B156" s="52" t="s">
        <v>3436</v>
      </c>
      <c r="D156" s="133"/>
      <c r="E156" s="133"/>
      <c r="F156" s="133"/>
      <c r="G156" s="133"/>
      <c r="H156" s="133"/>
      <c r="I156" s="42"/>
      <c r="J156" s="42"/>
      <c r="K156" s="133"/>
      <c r="L156" s="133"/>
      <c r="M156" s="2392"/>
    </row>
    <row r="157" spans="1:17" ht="12" customHeight="1">
      <c r="A157" s="42"/>
      <c r="B157" s="145" t="s">
        <v>1694</v>
      </c>
      <c r="C157" s="52" t="s">
        <v>2712</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c r="Q159" s="519"/>
    </row>
    <row r="160" spans="1:17" ht="12" customHeight="1">
      <c r="A160" s="2397"/>
      <c r="B160" s="40" t="s">
        <v>2304</v>
      </c>
      <c r="C160" s="52" t="s">
        <v>4392</v>
      </c>
      <c r="E160" s="52"/>
      <c r="F160" s="52"/>
      <c r="G160" s="52"/>
      <c r="H160" s="52"/>
      <c r="I160" s="42"/>
      <c r="J160" s="42"/>
      <c r="K160" s="52"/>
      <c r="L160" s="52"/>
      <c r="M160" s="52"/>
      <c r="O160" s="455" t="s">
        <v>2304</v>
      </c>
      <c r="P160" s="2258"/>
      <c r="Q160" s="520"/>
    </row>
    <row r="161" spans="1:32" ht="12" customHeight="1">
      <c r="A161" s="407" t="s">
        <v>4560</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703" t="s">
        <v>144</v>
      </c>
      <c r="C162" s="2703"/>
      <c r="D162" s="2703"/>
      <c r="E162" s="2703"/>
      <c r="F162" s="2703"/>
      <c r="G162" s="2703"/>
      <c r="H162" s="2703"/>
      <c r="I162" s="2703"/>
      <c r="J162" s="2703"/>
      <c r="K162" s="2703"/>
      <c r="L162" s="2703"/>
      <c r="M162" s="455" t="s">
        <v>1899</v>
      </c>
      <c r="N162" s="2938" t="s">
        <v>1727</v>
      </c>
      <c r="O162" s="2939"/>
      <c r="P162" s="2940" t="s">
        <v>1727</v>
      </c>
      <c r="Q162" s="2941"/>
      <c r="AE162" s="5"/>
      <c r="AF162" s="5"/>
    </row>
    <row r="163" spans="1:32" ht="11.25" customHeight="1">
      <c r="B163" s="140" t="s">
        <v>3566</v>
      </c>
      <c r="D163" s="140"/>
      <c r="E163" s="140"/>
      <c r="F163" s="140"/>
      <c r="G163" s="140"/>
      <c r="H163" s="40"/>
      <c r="I163" s="2397"/>
      <c r="J163" s="2397"/>
      <c r="K163" s="2397"/>
      <c r="L163" s="2374"/>
      <c r="M163" s="2374"/>
      <c r="N163" s="2374"/>
      <c r="O163" s="2374"/>
      <c r="P163" s="2374"/>
      <c r="Q163" s="855"/>
    </row>
    <row r="164" spans="1:32" ht="45" customHeight="1">
      <c r="A164" s="2698" t="s">
        <v>7064</v>
      </c>
      <c r="B164" s="2699"/>
      <c r="C164" s="2699"/>
      <c r="D164" s="2699"/>
      <c r="E164" s="2699"/>
      <c r="F164" s="2699"/>
      <c r="G164" s="2699"/>
      <c r="H164" s="2699"/>
      <c r="I164" s="2699"/>
      <c r="J164" s="2699"/>
      <c r="K164" s="2699"/>
      <c r="L164" s="2699"/>
      <c r="M164" s="2699"/>
      <c r="N164" s="2699"/>
      <c r="O164" s="2699"/>
      <c r="P164" s="2699"/>
      <c r="Q164" s="270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22"/>
      <c r="B167" s="2823"/>
      <c r="C167" s="2823"/>
      <c r="D167" s="2823"/>
      <c r="E167" s="2823"/>
      <c r="F167" s="2823"/>
      <c r="G167" s="2823"/>
      <c r="H167" s="2823"/>
      <c r="I167" s="2823"/>
      <c r="J167" s="2823"/>
      <c r="K167" s="2823"/>
      <c r="L167" s="2823"/>
      <c r="M167" s="2823"/>
      <c r="N167" s="2823"/>
      <c r="O167" s="2823"/>
      <c r="P167" s="2823"/>
      <c r="Q167" s="2824"/>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793"/>
      <c r="Q169" s="2794"/>
    </row>
    <row r="170" spans="1:32" ht="12" customHeight="1">
      <c r="A170" s="47" t="s">
        <v>1935</v>
      </c>
      <c r="B170" s="145" t="s">
        <v>1694</v>
      </c>
      <c r="C170" s="52" t="s">
        <v>4743</v>
      </c>
      <c r="D170" s="52"/>
      <c r="E170" s="52"/>
      <c r="F170" s="52"/>
      <c r="G170" s="52"/>
      <c r="K170" s="52" t="s">
        <v>2626</v>
      </c>
      <c r="M170" s="2833">
        <v>44196</v>
      </c>
      <c r="N170" s="2834"/>
      <c r="O170" s="65" t="s">
        <v>1694</v>
      </c>
      <c r="P170" s="2254" t="s">
        <v>2885</v>
      </c>
      <c r="Q170" s="516"/>
    </row>
    <row r="171" spans="1:32" ht="12" customHeight="1">
      <c r="A171" s="47"/>
      <c r="B171" s="145" t="s">
        <v>1695</v>
      </c>
      <c r="C171" s="52" t="s">
        <v>4744</v>
      </c>
      <c r="D171" s="52"/>
      <c r="E171" s="52"/>
      <c r="F171" s="52"/>
      <c r="G171" s="52"/>
      <c r="K171" s="52" t="s">
        <v>2626</v>
      </c>
      <c r="M171" s="2833"/>
      <c r="N171" s="2834"/>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35" t="s">
        <v>7065</v>
      </c>
      <c r="O172" s="2836"/>
      <c r="P172" s="2837" t="s">
        <v>1727</v>
      </c>
      <c r="Q172" s="2838"/>
    </row>
    <row r="173" spans="1:32" ht="12" customHeight="1">
      <c r="A173" s="47" t="s">
        <v>731</v>
      </c>
      <c r="B173" s="139" t="s">
        <v>664</v>
      </c>
      <c r="D173" s="139"/>
      <c r="E173" s="139"/>
      <c r="F173" s="139"/>
      <c r="G173" s="139"/>
      <c r="H173" s="139"/>
      <c r="J173" s="455" t="s">
        <v>731</v>
      </c>
      <c r="K173" s="2751" t="s">
        <v>7002</v>
      </c>
      <c r="L173" s="2752"/>
      <c r="M173" s="2752"/>
      <c r="N173" s="2752"/>
      <c r="O173" s="2752"/>
      <c r="P173" s="2753"/>
      <c r="Q173" s="516"/>
    </row>
    <row r="174" spans="1:32" ht="12" customHeight="1">
      <c r="B174" s="140" t="s">
        <v>3566</v>
      </c>
      <c r="D174" s="140"/>
      <c r="E174" s="140"/>
      <c r="F174" s="140"/>
      <c r="G174" s="140"/>
      <c r="H174" s="40"/>
      <c r="I174" s="2397"/>
      <c r="J174" s="2397"/>
      <c r="K174" s="2397"/>
      <c r="L174" s="2374"/>
      <c r="M174" s="2374"/>
      <c r="N174" s="2374"/>
      <c r="O174" s="2374"/>
      <c r="P174" s="2374"/>
      <c r="Q174" s="855"/>
    </row>
    <row r="175" spans="1:32" ht="11.4" customHeight="1">
      <c r="A175" s="2698" t="s">
        <v>7105</v>
      </c>
      <c r="B175" s="2699"/>
      <c r="C175" s="2699"/>
      <c r="D175" s="2699"/>
      <c r="E175" s="2699"/>
      <c r="F175" s="2699"/>
      <c r="G175" s="2699"/>
      <c r="H175" s="2699"/>
      <c r="I175" s="2699"/>
      <c r="J175" s="2699"/>
      <c r="K175" s="2699"/>
      <c r="L175" s="2699"/>
      <c r="M175" s="2699"/>
      <c r="N175" s="2699"/>
      <c r="O175" s="2699"/>
      <c r="P175" s="2699"/>
      <c r="Q175" s="2700"/>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22"/>
      <c r="B177" s="2823"/>
      <c r="C177" s="2823"/>
      <c r="D177" s="2823"/>
      <c r="E177" s="2823"/>
      <c r="F177" s="2823"/>
      <c r="G177" s="2823"/>
      <c r="H177" s="2823"/>
      <c r="I177" s="2823"/>
      <c r="J177" s="2823"/>
      <c r="K177" s="2823"/>
      <c r="L177" s="2823"/>
      <c r="M177" s="2823"/>
      <c r="N177" s="2823"/>
      <c r="O177" s="2823"/>
      <c r="P177" s="2823"/>
      <c r="Q177" s="2824"/>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793"/>
      <c r="Q179" s="2794"/>
    </row>
    <row r="180" spans="1:31" ht="21.75" customHeight="1">
      <c r="A180" s="141" t="s">
        <v>1935</v>
      </c>
      <c r="B180" s="2703" t="s">
        <v>3557</v>
      </c>
      <c r="C180" s="2703"/>
      <c r="D180" s="2703"/>
      <c r="E180" s="2703"/>
      <c r="F180" s="2703"/>
      <c r="G180" s="2703"/>
      <c r="H180" s="2703"/>
      <c r="I180" s="2703"/>
      <c r="J180" s="2703"/>
      <c r="K180" s="2703"/>
      <c r="L180" s="2703"/>
      <c r="M180" s="2703"/>
      <c r="N180" s="2703"/>
      <c r="O180" s="160" t="s">
        <v>1935</v>
      </c>
      <c r="P180" s="2268" t="s">
        <v>2885</v>
      </c>
      <c r="Q180" s="1088"/>
    </row>
    <row r="181" spans="1:31" ht="22.35" customHeight="1">
      <c r="A181" s="141" t="s">
        <v>1937</v>
      </c>
      <c r="B181" s="2703" t="s">
        <v>4261</v>
      </c>
      <c r="C181" s="2703"/>
      <c r="D181" s="2703"/>
      <c r="E181" s="2703"/>
      <c r="F181" s="2703"/>
      <c r="G181" s="2703"/>
      <c r="H181" s="2703"/>
      <c r="I181" s="2703"/>
      <c r="J181" s="2703"/>
      <c r="K181" s="2703"/>
      <c r="L181" s="2703"/>
      <c r="M181" s="2703"/>
      <c r="N181" s="2703"/>
      <c r="O181" s="160" t="s">
        <v>1937</v>
      </c>
      <c r="P181" s="2390" t="s">
        <v>7062</v>
      </c>
      <c r="Q181" s="2393"/>
    </row>
    <row r="182" spans="1:31" ht="22.35" customHeight="1">
      <c r="A182" s="141" t="s">
        <v>731</v>
      </c>
      <c r="B182" s="2703" t="s">
        <v>3558</v>
      </c>
      <c r="C182" s="2703"/>
      <c r="D182" s="2703"/>
      <c r="E182" s="2703"/>
      <c r="F182" s="2703"/>
      <c r="G182" s="2703"/>
      <c r="H182" s="2703"/>
      <c r="I182" s="2703"/>
      <c r="J182" s="2703"/>
      <c r="K182" s="2703"/>
      <c r="L182" s="2703"/>
      <c r="M182" s="2703"/>
      <c r="N182" s="2703"/>
      <c r="O182" s="160" t="s">
        <v>731</v>
      </c>
      <c r="P182" s="2390" t="s">
        <v>7062</v>
      </c>
      <c r="Q182" s="2393"/>
    </row>
    <row r="183" spans="1:31" ht="21.75" customHeight="1">
      <c r="A183" s="141" t="s">
        <v>2064</v>
      </c>
      <c r="B183" s="2703" t="s">
        <v>4353</v>
      </c>
      <c r="C183" s="2703"/>
      <c r="D183" s="2703"/>
      <c r="E183" s="2703"/>
      <c r="F183" s="2703"/>
      <c r="G183" s="2703"/>
      <c r="H183" s="2703"/>
      <c r="I183" s="2703"/>
      <c r="J183" s="2703"/>
      <c r="K183" s="2703"/>
      <c r="L183" s="2703"/>
      <c r="M183" s="2703"/>
      <c r="N183" s="2703"/>
      <c r="O183" s="160" t="s">
        <v>2064</v>
      </c>
      <c r="P183" s="2391" t="s">
        <v>7062</v>
      </c>
      <c r="Q183" s="2251"/>
    </row>
    <row r="184" spans="1:31" ht="12" customHeight="1">
      <c r="B184" s="140" t="s">
        <v>3566</v>
      </c>
      <c r="D184" s="140"/>
      <c r="E184" s="140"/>
      <c r="F184" s="140"/>
      <c r="G184" s="140"/>
      <c r="H184" s="40"/>
      <c r="I184" s="2397"/>
      <c r="J184" s="2397"/>
      <c r="K184" s="2397"/>
      <c r="L184" s="2374"/>
      <c r="M184" s="2374"/>
      <c r="N184" s="2374"/>
      <c r="O184" s="2374"/>
      <c r="P184" s="2374"/>
      <c r="Q184" s="855"/>
    </row>
    <row r="185" spans="1:31" ht="23.25" customHeight="1">
      <c r="A185" s="2698" t="s">
        <v>7066</v>
      </c>
      <c r="B185" s="2699"/>
      <c r="C185" s="2699"/>
      <c r="D185" s="2699"/>
      <c r="E185" s="2699"/>
      <c r="F185" s="2699"/>
      <c r="G185" s="2699"/>
      <c r="H185" s="2699"/>
      <c r="I185" s="2699"/>
      <c r="J185" s="2699"/>
      <c r="K185" s="2699"/>
      <c r="L185" s="2699"/>
      <c r="M185" s="2699"/>
      <c r="N185" s="2699"/>
      <c r="O185" s="2699"/>
      <c r="P185" s="2699"/>
      <c r="Q185" s="2700"/>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22"/>
      <c r="B187" s="2823"/>
      <c r="C187" s="2823"/>
      <c r="D187" s="2823"/>
      <c r="E187" s="2823"/>
      <c r="F187" s="2823"/>
      <c r="G187" s="2823"/>
      <c r="H187" s="2823"/>
      <c r="I187" s="2823"/>
      <c r="J187" s="2823"/>
      <c r="K187" s="2823"/>
      <c r="L187" s="2823"/>
      <c r="M187" s="2823"/>
      <c r="N187" s="2823"/>
      <c r="O187" s="2823"/>
      <c r="P187" s="2823"/>
      <c r="Q187" s="2824"/>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2584</v>
      </c>
      <c r="C189" s="2641"/>
      <c r="D189" s="2641"/>
      <c r="O189" s="131" t="s">
        <v>1820</v>
      </c>
      <c r="P189" s="2793"/>
      <c r="Q189" s="2794"/>
    </row>
    <row r="190" spans="1:31" ht="12" customHeight="1">
      <c r="A190" s="141" t="s">
        <v>1935</v>
      </c>
      <c r="B190" s="842" t="s">
        <v>459</v>
      </c>
      <c r="D190" s="842"/>
      <c r="E190" s="842"/>
      <c r="F190" s="842"/>
      <c r="G190" s="842"/>
      <c r="H190" s="842"/>
      <c r="I190" s="842"/>
      <c r="J190" s="842"/>
      <c r="K190" s="842"/>
      <c r="L190" s="842"/>
      <c r="M190" s="842"/>
      <c r="O190" s="160" t="s">
        <v>1935</v>
      </c>
      <c r="P190" s="2256"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2885</v>
      </c>
      <c r="Q191" s="519"/>
    </row>
    <row r="192" spans="1:31" ht="12" customHeight="1">
      <c r="A192" s="141" t="s">
        <v>731</v>
      </c>
      <c r="B192" s="842" t="s">
        <v>2571</v>
      </c>
      <c r="D192" s="842"/>
      <c r="E192" s="842"/>
      <c r="F192" s="842"/>
      <c r="G192" s="842"/>
      <c r="H192" s="842"/>
      <c r="I192" s="842"/>
      <c r="J192" s="139" t="s">
        <v>4365</v>
      </c>
      <c r="L192" s="842"/>
      <c r="M192" s="842"/>
      <c r="O192" s="160" t="s">
        <v>731</v>
      </c>
      <c r="P192" s="2257" t="s">
        <v>2885</v>
      </c>
      <c r="Q192" s="519"/>
    </row>
    <row r="193" spans="1:32" ht="12" customHeight="1">
      <c r="B193" s="40" t="s">
        <v>1694</v>
      </c>
      <c r="C193" s="856" t="s">
        <v>2572</v>
      </c>
      <c r="G193" s="842"/>
      <c r="H193" s="842"/>
      <c r="J193" s="842"/>
      <c r="K193" s="842"/>
      <c r="L193" s="842"/>
      <c r="M193" s="842"/>
      <c r="O193" s="438" t="s">
        <v>1694</v>
      </c>
      <c r="P193" s="2257" t="s">
        <v>2885</v>
      </c>
      <c r="Q193" s="519"/>
    </row>
    <row r="194" spans="1:32" ht="12" customHeight="1">
      <c r="A194" s="139"/>
      <c r="B194" s="40" t="s">
        <v>1695</v>
      </c>
      <c r="C194" s="856" t="s">
        <v>2573</v>
      </c>
      <c r="G194" s="842"/>
      <c r="H194" s="842"/>
      <c r="I194" s="842"/>
      <c r="J194" s="842"/>
      <c r="K194" s="842"/>
      <c r="L194" s="842"/>
      <c r="M194" s="842"/>
      <c r="O194" s="438" t="s">
        <v>1695</v>
      </c>
      <c r="P194" s="2257" t="s">
        <v>2885</v>
      </c>
      <c r="Q194" s="519"/>
    </row>
    <row r="195" spans="1:32" s="132" customFormat="1" ht="21.75" customHeight="1">
      <c r="A195" s="141"/>
      <c r="B195" s="468" t="s">
        <v>1696</v>
      </c>
      <c r="C195" s="2703" t="s">
        <v>3559</v>
      </c>
      <c r="D195" s="2703"/>
      <c r="E195" s="2703"/>
      <c r="F195" s="2703"/>
      <c r="G195" s="2703"/>
      <c r="H195" s="2703"/>
      <c r="I195" s="2703"/>
      <c r="J195" s="2703"/>
      <c r="K195" s="2703"/>
      <c r="L195" s="2703"/>
      <c r="M195" s="2703"/>
      <c r="N195" s="2703"/>
      <c r="O195" s="160" t="s">
        <v>1696</v>
      </c>
      <c r="P195" s="2390" t="s">
        <v>2885</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2885</v>
      </c>
      <c r="Q196" s="519"/>
    </row>
    <row r="197" spans="1:32" s="132" customFormat="1" ht="21.75" customHeight="1">
      <c r="A197" s="141"/>
      <c r="B197" s="468" t="s">
        <v>1516</v>
      </c>
      <c r="C197" s="2703" t="s">
        <v>2575</v>
      </c>
      <c r="D197" s="2703"/>
      <c r="E197" s="2703"/>
      <c r="F197" s="2703"/>
      <c r="G197" s="2703"/>
      <c r="H197" s="2703"/>
      <c r="I197" s="2703"/>
      <c r="J197" s="2703"/>
      <c r="K197" s="2703"/>
      <c r="L197" s="2703"/>
      <c r="M197" s="2703"/>
      <c r="N197" s="2703"/>
      <c r="O197" s="160" t="s">
        <v>1516</v>
      </c>
      <c r="P197" s="2390" t="s">
        <v>7062</v>
      </c>
      <c r="Q197" s="2393"/>
      <c r="AE197" s="458"/>
      <c r="AF197" s="458"/>
    </row>
    <row r="198" spans="1:32" s="132" customFormat="1" ht="21.75" customHeight="1">
      <c r="A198" s="141"/>
      <c r="B198" s="468" t="s">
        <v>1517</v>
      </c>
      <c r="C198" s="2703" t="s">
        <v>3668</v>
      </c>
      <c r="D198" s="2703"/>
      <c r="E198" s="2703"/>
      <c r="F198" s="2703"/>
      <c r="G198" s="2703"/>
      <c r="H198" s="2703"/>
      <c r="I198" s="2703"/>
      <c r="J198" s="2703"/>
      <c r="K198" s="2703"/>
      <c r="L198" s="2703"/>
      <c r="M198" s="2703"/>
      <c r="N198" s="2703"/>
      <c r="O198" s="160" t="s">
        <v>1517</v>
      </c>
      <c r="P198" s="2390" t="s">
        <v>7062</v>
      </c>
      <c r="Q198" s="2393"/>
      <c r="AE198" s="458"/>
      <c r="AF198" s="458"/>
    </row>
    <row r="199" spans="1:32" ht="21.75" customHeight="1">
      <c r="A199" s="141" t="s">
        <v>2064</v>
      </c>
      <c r="B199" s="2703" t="s">
        <v>2576</v>
      </c>
      <c r="C199" s="2703"/>
      <c r="D199" s="2703"/>
      <c r="E199" s="2703"/>
      <c r="F199" s="2703"/>
      <c r="G199" s="2703"/>
      <c r="H199" s="2703"/>
      <c r="I199" s="2703"/>
      <c r="J199" s="2703"/>
      <c r="K199" s="2703"/>
      <c r="L199" s="2703"/>
      <c r="M199" s="2703"/>
      <c r="N199" s="2703"/>
      <c r="O199" s="160" t="s">
        <v>2064</v>
      </c>
      <c r="P199" s="2390" t="s">
        <v>2885</v>
      </c>
      <c r="Q199" s="2393"/>
    </row>
    <row r="200" spans="1:32" ht="12" customHeight="1">
      <c r="A200" s="141" t="s">
        <v>1692</v>
      </c>
      <c r="B200" s="842" t="s">
        <v>2317</v>
      </c>
      <c r="D200" s="842"/>
      <c r="E200" s="842"/>
      <c r="F200" s="842"/>
      <c r="G200" s="842"/>
      <c r="H200" s="842"/>
      <c r="I200" s="842"/>
      <c r="J200" s="842"/>
      <c r="K200" s="842"/>
      <c r="L200" s="842"/>
      <c r="M200" s="842"/>
      <c r="O200" s="160" t="s">
        <v>1692</v>
      </c>
      <c r="P200" s="2258" t="s">
        <v>2885</v>
      </c>
      <c r="Q200" s="520"/>
    </row>
    <row r="201" spans="1:32" ht="12" customHeight="1">
      <c r="B201" s="140" t="s">
        <v>3566</v>
      </c>
      <c r="D201" s="140"/>
      <c r="E201" s="140"/>
      <c r="F201" s="140"/>
      <c r="G201" s="140"/>
      <c r="H201" s="40"/>
      <c r="I201" s="2397"/>
      <c r="J201" s="2397"/>
      <c r="K201" s="2397"/>
      <c r="L201" s="2374"/>
      <c r="M201" s="2374"/>
      <c r="N201" s="2374"/>
      <c r="O201" s="2374"/>
      <c r="P201" s="2374"/>
      <c r="Q201" s="855"/>
    </row>
    <row r="202" spans="1:32" ht="11.4" customHeight="1">
      <c r="A202" s="2698" t="s">
        <v>7107</v>
      </c>
      <c r="B202" s="2699"/>
      <c r="C202" s="2699"/>
      <c r="D202" s="2699"/>
      <c r="E202" s="2699"/>
      <c r="F202" s="2699"/>
      <c r="G202" s="2699"/>
      <c r="H202" s="2699"/>
      <c r="I202" s="2699"/>
      <c r="J202" s="2699"/>
      <c r="K202" s="2699"/>
      <c r="L202" s="2699"/>
      <c r="M202" s="2699"/>
      <c r="N202" s="2699"/>
      <c r="O202" s="2699"/>
      <c r="P202" s="2699"/>
      <c r="Q202" s="2700"/>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22"/>
      <c r="B204" s="2823"/>
      <c r="C204" s="2823"/>
      <c r="D204" s="2823"/>
      <c r="E204" s="2823"/>
      <c r="F204" s="2823"/>
      <c r="G204" s="2823"/>
      <c r="H204" s="2823"/>
      <c r="I204" s="2823"/>
      <c r="J204" s="2823"/>
      <c r="K204" s="2823"/>
      <c r="L204" s="2823"/>
      <c r="M204" s="2823"/>
      <c r="N204" s="2823"/>
      <c r="O204" s="2823"/>
      <c r="P204" s="2823"/>
      <c r="Q204" s="2824"/>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793"/>
      <c r="Q206" s="2794"/>
    </row>
    <row r="207" spans="1:32" ht="22.5" customHeight="1">
      <c r="A207" s="2880" t="s">
        <v>4483</v>
      </c>
      <c r="B207" s="2880"/>
      <c r="C207" s="2880"/>
      <c r="D207" s="2880"/>
      <c r="E207" s="2880"/>
      <c r="F207" s="2880"/>
      <c r="G207" s="2880"/>
      <c r="H207" s="2880"/>
      <c r="I207" s="2880"/>
      <c r="J207" s="2880"/>
      <c r="K207" s="2880"/>
      <c r="L207" s="2880"/>
      <c r="M207" s="2880"/>
      <c r="N207" s="2880"/>
      <c r="O207" s="2880"/>
      <c r="P207" s="2880"/>
      <c r="Q207" s="2880"/>
    </row>
    <row r="208" spans="1:32" ht="11.25" customHeight="1">
      <c r="A208" s="138"/>
      <c r="B208" s="139" t="s">
        <v>95</v>
      </c>
      <c r="D208" s="139"/>
      <c r="E208" s="139"/>
      <c r="F208" s="139"/>
      <c r="G208" s="139"/>
      <c r="H208" s="65" t="s">
        <v>1694</v>
      </c>
      <c r="I208" s="52" t="s">
        <v>148</v>
      </c>
      <c r="J208" s="2877"/>
      <c r="K208" s="2878"/>
      <c r="L208" s="2878"/>
      <c r="M208" s="2878"/>
      <c r="N208" s="2879"/>
      <c r="O208" s="65" t="s">
        <v>1694</v>
      </c>
      <c r="P208" s="2256"/>
      <c r="Q208" s="518"/>
    </row>
    <row r="209" spans="1:31" ht="11.25" customHeight="1">
      <c r="A209" s="138"/>
      <c r="B209" s="140" t="s">
        <v>3566</v>
      </c>
      <c r="C209" s="104"/>
      <c r="D209" s="104"/>
      <c r="E209" s="104"/>
      <c r="F209" s="104"/>
      <c r="H209" s="65" t="s">
        <v>1695</v>
      </c>
      <c r="I209" s="52" t="s">
        <v>1563</v>
      </c>
      <c r="J209" s="2746" t="s">
        <v>7068</v>
      </c>
      <c r="K209" s="2891"/>
      <c r="L209" s="2891"/>
      <c r="M209" s="2891"/>
      <c r="N209" s="2747"/>
      <c r="O209" s="65" t="s">
        <v>1695</v>
      </c>
      <c r="P209" s="2258" t="s">
        <v>2885</v>
      </c>
      <c r="Q209" s="520"/>
    </row>
    <row r="210" spans="1:31" ht="11.4" customHeight="1">
      <c r="A210" s="2698" t="s">
        <v>7067</v>
      </c>
      <c r="B210" s="2699"/>
      <c r="C210" s="2699"/>
      <c r="D210" s="2699"/>
      <c r="E210" s="2699"/>
      <c r="F210" s="2699"/>
      <c r="G210" s="2699"/>
      <c r="H210" s="2699"/>
      <c r="I210" s="2699"/>
      <c r="J210" s="2699"/>
      <c r="K210" s="2699"/>
      <c r="L210" s="2699"/>
      <c r="M210" s="2699"/>
      <c r="N210" s="2699"/>
      <c r="O210" s="2699"/>
      <c r="P210" s="2699"/>
      <c r="Q210" s="2700"/>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22"/>
      <c r="B212" s="2823"/>
      <c r="C212" s="2823"/>
      <c r="D212" s="2823"/>
      <c r="E212" s="2823"/>
      <c r="F212" s="2823"/>
      <c r="G212" s="2823"/>
      <c r="H212" s="2823"/>
      <c r="I212" s="2823"/>
      <c r="J212" s="2823"/>
      <c r="K212" s="2823"/>
      <c r="L212" s="2823"/>
      <c r="M212" s="2823"/>
      <c r="N212" s="2823"/>
      <c r="O212" s="2823"/>
      <c r="P212" s="2823"/>
      <c r="Q212" s="2824"/>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793"/>
      <c r="Q214" s="2794"/>
    </row>
    <row r="215" spans="1:31" ht="11.4" customHeight="1">
      <c r="A215" s="141" t="s">
        <v>1935</v>
      </c>
      <c r="B215" s="2703" t="s">
        <v>1802</v>
      </c>
      <c r="C215" s="2703"/>
      <c r="D215" s="2703"/>
      <c r="E215" s="2703"/>
      <c r="F215" s="2703"/>
      <c r="G215" s="2703"/>
      <c r="H215" s="65" t="s">
        <v>1694</v>
      </c>
      <c r="I215" s="52" t="s">
        <v>617</v>
      </c>
      <c r="J215" s="2877" t="s">
        <v>6994</v>
      </c>
      <c r="K215" s="2878"/>
      <c r="L215" s="2878"/>
      <c r="M215" s="2878"/>
      <c r="N215" s="2879"/>
      <c r="O215" s="160" t="s">
        <v>1455</v>
      </c>
      <c r="P215" s="2264" t="s">
        <v>2885</v>
      </c>
      <c r="Q215" s="1553"/>
    </row>
    <row r="216" spans="1:31" ht="11.4" customHeight="1">
      <c r="A216" s="149"/>
      <c r="B216" s="2703"/>
      <c r="C216" s="2703"/>
      <c r="D216" s="2703"/>
      <c r="E216" s="2703"/>
      <c r="F216" s="2703"/>
      <c r="G216" s="2703"/>
      <c r="H216" s="65" t="s">
        <v>1695</v>
      </c>
      <c r="I216" s="52" t="s">
        <v>113</v>
      </c>
      <c r="J216" s="2877" t="s">
        <v>6994</v>
      </c>
      <c r="K216" s="2878"/>
      <c r="L216" s="2878"/>
      <c r="M216" s="2878"/>
      <c r="N216" s="2879"/>
      <c r="O216" s="160" t="s">
        <v>1695</v>
      </c>
      <c r="P216" s="2257" t="s">
        <v>2885</v>
      </c>
      <c r="Q216" s="519"/>
    </row>
    <row r="217" spans="1:31" ht="12" customHeight="1">
      <c r="A217" s="141" t="s">
        <v>1937</v>
      </c>
      <c r="B217" s="52" t="s">
        <v>3673</v>
      </c>
      <c r="D217" s="52"/>
      <c r="E217" s="52"/>
      <c r="F217" s="52"/>
      <c r="G217" s="52"/>
      <c r="H217" s="52"/>
      <c r="I217" s="52"/>
      <c r="J217" s="52"/>
      <c r="K217" s="42"/>
      <c r="L217" s="52"/>
      <c r="M217" s="52"/>
      <c r="O217" s="455" t="s">
        <v>1937</v>
      </c>
      <c r="P217" s="2257" t="s">
        <v>2888</v>
      </c>
      <c r="Q217" s="519"/>
    </row>
    <row r="218" spans="1:31" ht="12" customHeight="1">
      <c r="A218" s="47" t="s">
        <v>731</v>
      </c>
      <c r="B218" s="52" t="s">
        <v>3674</v>
      </c>
      <c r="D218" s="52"/>
      <c r="E218" s="52"/>
      <c r="F218" s="52"/>
      <c r="G218" s="52"/>
      <c r="H218" s="52"/>
      <c r="I218" s="52"/>
      <c r="J218" s="52"/>
      <c r="K218" s="42"/>
      <c r="L218" s="52"/>
      <c r="M218" s="52"/>
      <c r="O218" s="455" t="s">
        <v>731</v>
      </c>
      <c r="P218" s="2258" t="s">
        <v>2888</v>
      </c>
      <c r="Q218" s="520"/>
    </row>
    <row r="219" spans="1:31" ht="11.25" customHeight="1">
      <c r="B219" s="140" t="s">
        <v>3566</v>
      </c>
      <c r="D219" s="140"/>
      <c r="E219" s="140"/>
      <c r="F219" s="140"/>
      <c r="G219" s="140"/>
      <c r="H219" s="40"/>
      <c r="I219" s="2397"/>
      <c r="J219" s="2397"/>
      <c r="K219" s="2397"/>
      <c r="L219" s="2374"/>
      <c r="M219" s="2374"/>
      <c r="N219" s="2374"/>
      <c r="O219" s="2374"/>
      <c r="P219" s="2374"/>
      <c r="Q219" s="855"/>
    </row>
    <row r="220" spans="1:31" ht="11.4" customHeight="1">
      <c r="A220" s="2698" t="s">
        <v>7106</v>
      </c>
      <c r="B220" s="2699"/>
      <c r="C220" s="2699"/>
      <c r="D220" s="2699"/>
      <c r="E220" s="2699"/>
      <c r="F220" s="2699"/>
      <c r="G220" s="2699"/>
      <c r="H220" s="2699"/>
      <c r="I220" s="2699"/>
      <c r="J220" s="2699"/>
      <c r="K220" s="2699"/>
      <c r="L220" s="2699"/>
      <c r="M220" s="2699"/>
      <c r="N220" s="2699"/>
      <c r="O220" s="2699"/>
      <c r="P220" s="2699"/>
      <c r="Q220" s="2700"/>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22"/>
      <c r="B222" s="2823"/>
      <c r="C222" s="2823"/>
      <c r="D222" s="2823"/>
      <c r="E222" s="2823"/>
      <c r="F222" s="2823"/>
      <c r="G222" s="2823"/>
      <c r="H222" s="2823"/>
      <c r="I222" s="2823"/>
      <c r="J222" s="2823"/>
      <c r="K222" s="2823"/>
      <c r="L222" s="2823"/>
      <c r="M222" s="2823"/>
      <c r="N222" s="2823"/>
      <c r="O222" s="2823"/>
      <c r="P222" s="2823"/>
      <c r="Q222" s="2824"/>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2793"/>
      <c r="Q224" s="2794"/>
    </row>
    <row r="225" spans="1:32" s="27" customFormat="1" ht="11.4" customHeight="1">
      <c r="B225" s="144" t="s">
        <v>1167</v>
      </c>
      <c r="N225" s="120"/>
      <c r="P225" s="2254" t="s">
        <v>2888</v>
      </c>
      <c r="Q225" s="516"/>
      <c r="AE225" s="116"/>
      <c r="AF225" s="116"/>
    </row>
    <row r="226" spans="1:32" ht="12" customHeight="1">
      <c r="A226" s="47" t="s">
        <v>1935</v>
      </c>
      <c r="B226" s="36" t="s">
        <v>4707</v>
      </c>
      <c r="D226" s="42"/>
      <c r="E226" s="42"/>
      <c r="F226" s="42"/>
      <c r="G226" s="42"/>
      <c r="H226" s="42"/>
      <c r="I226" s="42"/>
      <c r="J226" s="42"/>
      <c r="K226" s="42"/>
      <c r="L226" s="42"/>
      <c r="M226" s="42"/>
      <c r="O226" s="455" t="s">
        <v>1935</v>
      </c>
      <c r="P226" s="2254" t="s">
        <v>7056</v>
      </c>
      <c r="Q226" s="518"/>
    </row>
    <row r="227" spans="1:32" ht="11.4" customHeight="1">
      <c r="A227" s="47"/>
      <c r="B227" s="145" t="s">
        <v>1694</v>
      </c>
      <c r="C227" s="52" t="s">
        <v>1883</v>
      </c>
      <c r="E227" s="52"/>
      <c r="F227" s="52"/>
      <c r="G227" s="52"/>
      <c r="H227" s="52"/>
      <c r="I227" s="42"/>
      <c r="J227" s="65" t="s">
        <v>1455</v>
      </c>
      <c r="K227" s="2877" t="s">
        <v>7069</v>
      </c>
      <c r="L227" s="2879"/>
      <c r="Q227" s="519"/>
    </row>
    <row r="228" spans="1:32" ht="11.4" customHeight="1">
      <c r="A228" s="47"/>
      <c r="B228" s="145" t="s">
        <v>1695</v>
      </c>
      <c r="C228" s="856" t="s">
        <v>4246</v>
      </c>
      <c r="E228" s="856"/>
      <c r="F228" s="856"/>
      <c r="G228" s="856"/>
      <c r="H228" s="856"/>
      <c r="I228" s="42"/>
      <c r="J228" s="65" t="s">
        <v>1456</v>
      </c>
      <c r="K228" s="2884" t="s">
        <v>7070</v>
      </c>
      <c r="L228" s="2885"/>
      <c r="M228" s="2881" t="s">
        <v>2641</v>
      </c>
      <c r="N228" s="2882"/>
      <c r="O228" s="2882"/>
      <c r="P228" s="2883"/>
      <c r="Q228" s="519"/>
    </row>
    <row r="229" spans="1:32" ht="11.4" customHeight="1">
      <c r="A229" s="47"/>
      <c r="B229" s="40" t="s">
        <v>1696</v>
      </c>
      <c r="C229" s="856" t="s">
        <v>4249</v>
      </c>
      <c r="D229" s="147"/>
      <c r="E229" s="856"/>
      <c r="F229" s="856"/>
      <c r="G229" s="856"/>
      <c r="H229" s="856"/>
      <c r="I229" s="94"/>
      <c r="J229" s="455" t="s">
        <v>1457</v>
      </c>
      <c r="K229" s="2898" t="s">
        <v>7071</v>
      </c>
      <c r="L229" s="2899"/>
      <c r="M229" s="2899"/>
      <c r="N229" s="2900"/>
      <c r="O229" s="1409"/>
      <c r="P229" s="1107"/>
      <c r="Q229" s="519"/>
      <c r="R229" s="42"/>
    </row>
    <row r="230" spans="1:32" ht="11.4" customHeight="1">
      <c r="A230" s="47"/>
      <c r="B230" s="40" t="s">
        <v>2304</v>
      </c>
      <c r="C230" s="856" t="s">
        <v>4248</v>
      </c>
      <c r="D230" s="147"/>
      <c r="E230" s="856"/>
      <c r="F230" s="856"/>
      <c r="G230" s="856"/>
      <c r="H230" s="856"/>
      <c r="I230" s="94"/>
      <c r="J230" s="455" t="s">
        <v>4247</v>
      </c>
      <c r="K230" s="2746" t="s">
        <v>7072</v>
      </c>
      <c r="L230" s="2891"/>
      <c r="M230" s="2891"/>
      <c r="N230" s="2747"/>
      <c r="O230" s="127"/>
      <c r="P230" s="1408"/>
      <c r="Q230" s="520"/>
      <c r="R230" s="42"/>
    </row>
    <row r="231" spans="1:32" ht="11.25" customHeight="1">
      <c r="A231" s="47" t="s">
        <v>1937</v>
      </c>
      <c r="B231" s="52" t="s">
        <v>4708</v>
      </c>
      <c r="D231" s="52"/>
      <c r="E231" s="52"/>
      <c r="F231" s="52"/>
      <c r="G231" s="52"/>
      <c r="H231" s="52"/>
      <c r="I231" s="52"/>
      <c r="J231" s="52"/>
      <c r="K231" s="42"/>
      <c r="L231" s="42"/>
      <c r="M231" s="42"/>
      <c r="N231" s="42"/>
      <c r="O231" s="455" t="s">
        <v>1937</v>
      </c>
      <c r="P231" s="2254" t="s">
        <v>7056</v>
      </c>
      <c r="Q231" s="516"/>
    </row>
    <row r="232" spans="1:32" ht="11.1" customHeight="1">
      <c r="A232" s="47"/>
      <c r="B232" s="52" t="s">
        <v>4401</v>
      </c>
      <c r="D232" s="52"/>
      <c r="E232" s="52"/>
      <c r="F232" s="52"/>
      <c r="G232" s="52"/>
      <c r="H232" s="52"/>
      <c r="I232" s="52"/>
      <c r="J232" s="52"/>
      <c r="K232" s="42"/>
      <c r="L232" s="42"/>
      <c r="M232" s="42"/>
      <c r="N232" s="455" t="s">
        <v>3451</v>
      </c>
      <c r="O232" s="1495">
        <f>'Part VI-Revenues &amp; Expenses'!$P$67</f>
        <v>48</v>
      </c>
      <c r="P232" s="2901" t="s">
        <v>4403</v>
      </c>
      <c r="Q232" s="2902"/>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2065</v>
      </c>
      <c r="C234" s="2828" t="s">
        <v>4477</v>
      </c>
      <c r="D234" s="2829"/>
      <c r="E234" s="2829"/>
      <c r="F234" s="2829"/>
      <c r="G234" s="2830"/>
      <c r="H234" s="455" t="s">
        <v>2065</v>
      </c>
      <c r="I234" s="2892" t="s">
        <v>3828</v>
      </c>
      <c r="J234" s="2893"/>
      <c r="K234" s="2893"/>
      <c r="L234" s="2893"/>
      <c r="M234" s="2893"/>
      <c r="N234" s="2893"/>
      <c r="O234" s="2894"/>
      <c r="P234" s="518"/>
      <c r="Q234" s="4170"/>
      <c r="AE234" s="54"/>
      <c r="AF234" s="54"/>
    </row>
    <row r="235" spans="1:32" s="43" customFormat="1" ht="11.4" customHeight="1">
      <c r="A235" s="51"/>
      <c r="B235" s="455" t="s">
        <v>2066</v>
      </c>
      <c r="C235" s="2895" t="s">
        <v>4399</v>
      </c>
      <c r="D235" s="2896"/>
      <c r="E235" s="2896"/>
      <c r="F235" s="2896"/>
      <c r="G235" s="2897"/>
      <c r="H235" s="455" t="s">
        <v>2066</v>
      </c>
      <c r="I235" s="2888"/>
      <c r="J235" s="2889"/>
      <c r="K235" s="2889"/>
      <c r="L235" s="2889"/>
      <c r="M235" s="2889"/>
      <c r="N235" s="2889"/>
      <c r="O235" s="2890"/>
      <c r="P235" s="519"/>
      <c r="Q235" s="4171"/>
      <c r="AE235" s="54"/>
      <c r="AF235" s="54"/>
    </row>
    <row r="236" spans="1:32" s="43" customFormat="1" ht="11.4" customHeight="1">
      <c r="A236" s="51"/>
      <c r="B236" s="455" t="s">
        <v>1691</v>
      </c>
      <c r="C236" s="2895" t="s">
        <v>2054</v>
      </c>
      <c r="D236" s="2896"/>
      <c r="E236" s="2896"/>
      <c r="F236" s="2896"/>
      <c r="G236" s="2897"/>
      <c r="H236" s="455" t="s">
        <v>1691</v>
      </c>
      <c r="I236" s="2888" t="s">
        <v>3828</v>
      </c>
      <c r="J236" s="2889"/>
      <c r="K236" s="2889"/>
      <c r="L236" s="2889"/>
      <c r="M236" s="2889"/>
      <c r="N236" s="2889"/>
      <c r="O236" s="2890"/>
      <c r="P236" s="519"/>
      <c r="Q236" s="4171"/>
      <c r="AE236" s="54"/>
      <c r="AF236" s="54"/>
    </row>
    <row r="237" spans="1:32" s="43" customFormat="1" ht="11.4" customHeight="1">
      <c r="A237" s="51"/>
      <c r="B237" s="455" t="s">
        <v>4413</v>
      </c>
      <c r="C237" s="2716" t="s">
        <v>4397</v>
      </c>
      <c r="D237" s="2717"/>
      <c r="E237" s="2717"/>
      <c r="F237" s="2717"/>
      <c r="G237" s="2718"/>
      <c r="H237" s="455" t="s">
        <v>4413</v>
      </c>
      <c r="I237" s="2722"/>
      <c r="J237" s="2886"/>
      <c r="K237" s="2886"/>
      <c r="L237" s="2886"/>
      <c r="M237" s="2886"/>
      <c r="N237" s="2886"/>
      <c r="O237" s="2887"/>
      <c r="P237" s="520"/>
      <c r="Q237" s="4172"/>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7056</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2713</v>
      </c>
      <c r="E240" s="856"/>
      <c r="F240" s="856"/>
      <c r="L240" s="33"/>
      <c r="M240" s="33"/>
      <c r="O240" s="65" t="s">
        <v>1695</v>
      </c>
      <c r="P240" s="2257" t="s">
        <v>2885</v>
      </c>
      <c r="Q240" s="519"/>
    </row>
    <row r="241" spans="1:31" ht="11.4" customHeight="1">
      <c r="B241" s="145" t="s">
        <v>1696</v>
      </c>
      <c r="C241" s="856" t="s">
        <v>4562</v>
      </c>
      <c r="E241" s="856"/>
      <c r="F241" s="856"/>
      <c r="G241" s="856"/>
      <c r="H241" s="856"/>
      <c r="I241" s="42"/>
      <c r="J241" s="33"/>
      <c r="K241" s="42"/>
      <c r="L241" s="33"/>
      <c r="M241" s="33"/>
      <c r="O241" s="65" t="s">
        <v>1696</v>
      </c>
      <c r="P241" s="2257" t="s">
        <v>2885</v>
      </c>
      <c r="Q241" s="519"/>
    </row>
    <row r="242" spans="1:31" ht="11.4" customHeight="1">
      <c r="A242" s="47"/>
      <c r="B242" s="145" t="s">
        <v>2304</v>
      </c>
      <c r="C242" s="856" t="s">
        <v>2714</v>
      </c>
      <c r="E242" s="856"/>
      <c r="F242" s="856"/>
      <c r="G242" s="856"/>
      <c r="H242" s="856"/>
      <c r="I242" s="42"/>
      <c r="J242" s="33"/>
      <c r="K242" s="42"/>
      <c r="L242" s="33"/>
      <c r="M242" s="33"/>
      <c r="O242" s="65" t="s">
        <v>2304</v>
      </c>
      <c r="P242" s="2257" t="s">
        <v>2885</v>
      </c>
      <c r="Q242" s="519"/>
    </row>
    <row r="243" spans="1:31" ht="11.4" customHeight="1">
      <c r="A243" s="47"/>
      <c r="B243" s="145" t="s">
        <v>1516</v>
      </c>
      <c r="C243" s="856" t="s">
        <v>2715</v>
      </c>
      <c r="E243" s="856"/>
      <c r="F243" s="856"/>
      <c r="G243" s="856"/>
      <c r="H243" s="856"/>
      <c r="I243" s="42"/>
      <c r="J243" s="33"/>
      <c r="K243" s="42"/>
      <c r="L243" s="33"/>
      <c r="M243" s="33"/>
      <c r="O243" s="65" t="s">
        <v>1516</v>
      </c>
      <c r="P243" s="2257" t="s">
        <v>2885</v>
      </c>
      <c r="Q243" s="519"/>
    </row>
    <row r="244" spans="1:31" ht="11.4" customHeight="1">
      <c r="A244" s="47"/>
      <c r="B244" s="40" t="s">
        <v>1517</v>
      </c>
      <c r="C244" s="52" t="s">
        <v>4638</v>
      </c>
      <c r="E244" s="52"/>
      <c r="F244" s="52"/>
      <c r="G244" s="52"/>
      <c r="H244" s="52"/>
      <c r="I244" s="42"/>
      <c r="J244" s="33"/>
      <c r="K244" s="42"/>
      <c r="L244" s="33"/>
      <c r="M244" s="33"/>
      <c r="O244" s="455" t="s">
        <v>2705</v>
      </c>
      <c r="P244" s="2257" t="s">
        <v>2885</v>
      </c>
      <c r="Q244" s="519"/>
    </row>
    <row r="245" spans="1:31" ht="11.4" customHeight="1">
      <c r="A245" s="47"/>
      <c r="B245" s="65"/>
      <c r="C245" s="52" t="s">
        <v>1458</v>
      </c>
      <c r="E245" s="52"/>
      <c r="F245" s="52"/>
      <c r="G245" s="52"/>
      <c r="H245" s="52"/>
      <c r="I245" s="42"/>
      <c r="J245" s="33"/>
      <c r="K245" s="42"/>
      <c r="L245" s="33"/>
      <c r="M245" s="33"/>
      <c r="O245" s="455" t="s">
        <v>2706</v>
      </c>
      <c r="P245" s="2258"/>
      <c r="Q245" s="520"/>
    </row>
    <row r="246" spans="1:31" ht="11.25" customHeight="1">
      <c r="A246" s="47" t="s">
        <v>2064</v>
      </c>
      <c r="B246" s="52" t="s">
        <v>4561</v>
      </c>
      <c r="C246" s="52"/>
      <c r="E246" s="52"/>
      <c r="F246" s="52"/>
      <c r="G246" s="52"/>
      <c r="H246" s="52"/>
      <c r="I246" s="52"/>
      <c r="J246" s="52"/>
      <c r="K246" s="42"/>
      <c r="M246" s="64"/>
      <c r="N246" s="1466" t="str">
        <f>'Part I-Project Information'!$H$82</f>
        <v>HFOP</v>
      </c>
      <c r="O246" s="455" t="s">
        <v>2064</v>
      </c>
      <c r="P246" s="2256" t="s">
        <v>7056</v>
      </c>
      <c r="Q246" s="518"/>
    </row>
    <row r="247" spans="1:31" ht="11.4" customHeight="1">
      <c r="B247" s="145" t="s">
        <v>1694</v>
      </c>
      <c r="C247" s="39" t="s">
        <v>1229</v>
      </c>
      <c r="E247" s="42"/>
      <c r="F247" s="42"/>
      <c r="G247" s="39"/>
      <c r="H247" s="856"/>
      <c r="I247" s="42"/>
      <c r="J247" s="856"/>
      <c r="K247" s="42"/>
      <c r="L247" s="856"/>
      <c r="M247" s="856"/>
      <c r="O247" s="65" t="s">
        <v>1694</v>
      </c>
      <c r="P247" s="2257" t="s">
        <v>2888</v>
      </c>
      <c r="Q247" s="519"/>
    </row>
    <row r="248" spans="1:31" ht="11.4" customHeight="1">
      <c r="B248" s="145" t="s">
        <v>1695</v>
      </c>
      <c r="C248" s="36" t="s">
        <v>4262</v>
      </c>
      <c r="E248" s="42"/>
      <c r="F248" s="42"/>
      <c r="G248" s="856"/>
      <c r="H248" s="856"/>
      <c r="I248" s="42"/>
      <c r="J248" s="856"/>
      <c r="K248" s="42"/>
      <c r="L248" s="856"/>
      <c r="M248" s="856"/>
      <c r="O248" s="65" t="s">
        <v>1695</v>
      </c>
      <c r="P248" s="2258" t="s">
        <v>2888</v>
      </c>
      <c r="Q248" s="520"/>
    </row>
    <row r="249" spans="1:31" ht="11.25" customHeight="1">
      <c r="B249" s="140" t="s">
        <v>3566</v>
      </c>
      <c r="D249" s="140"/>
      <c r="E249" s="140"/>
      <c r="F249" s="140"/>
      <c r="G249" s="140"/>
      <c r="H249" s="40"/>
      <c r="I249" s="2397"/>
      <c r="J249" s="2397"/>
      <c r="K249" s="2397"/>
      <c r="L249" s="2374"/>
      <c r="M249" s="2374"/>
      <c r="N249" s="2374"/>
      <c r="O249" s="2374"/>
      <c r="P249" s="2374"/>
      <c r="Q249" s="855"/>
    </row>
    <row r="250" spans="1:31" ht="11.4" customHeight="1">
      <c r="A250" s="2698" t="s">
        <v>7131</v>
      </c>
      <c r="B250" s="2699"/>
      <c r="C250" s="2699"/>
      <c r="D250" s="2699"/>
      <c r="E250" s="2699"/>
      <c r="F250" s="2699"/>
      <c r="G250" s="2699"/>
      <c r="H250" s="2699"/>
      <c r="I250" s="2699"/>
      <c r="J250" s="2699"/>
      <c r="K250" s="2699"/>
      <c r="L250" s="2699"/>
      <c r="M250" s="2699"/>
      <c r="N250" s="2699"/>
      <c r="O250" s="2699"/>
      <c r="P250" s="2699"/>
      <c r="Q250" s="2700"/>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22"/>
      <c r="B252" s="2823"/>
      <c r="C252" s="2823"/>
      <c r="D252" s="2823"/>
      <c r="E252" s="2823"/>
      <c r="F252" s="2823"/>
      <c r="G252" s="2823"/>
      <c r="H252" s="2823"/>
      <c r="I252" s="2823"/>
      <c r="J252" s="2823"/>
      <c r="K252" s="2823"/>
      <c r="L252" s="2823"/>
      <c r="M252" s="2823"/>
      <c r="N252" s="2823"/>
      <c r="O252" s="2823"/>
      <c r="P252" s="2823"/>
      <c r="Q252" s="2824"/>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2690</v>
      </c>
      <c r="B254" s="4" t="s">
        <v>4563</v>
      </c>
      <c r="C254" s="4"/>
      <c r="D254" s="86"/>
      <c r="E254" s="86"/>
      <c r="F254" s="86"/>
      <c r="G254" s="86"/>
      <c r="H254" s="2380"/>
      <c r="I254" s="2380"/>
      <c r="J254" s="2380"/>
      <c r="K254" s="2380"/>
      <c r="L254" s="1536"/>
      <c r="M254" s="1537"/>
      <c r="O254" s="131" t="s">
        <v>1820</v>
      </c>
      <c r="P254" s="2793"/>
      <c r="Q254" s="2794"/>
    </row>
    <row r="255" spans="1:31" ht="11.4" customHeight="1">
      <c r="A255" s="47" t="s">
        <v>1935</v>
      </c>
      <c r="B255" s="52" t="s">
        <v>1242</v>
      </c>
      <c r="D255" s="42"/>
      <c r="E255" s="52"/>
      <c r="F255" s="52"/>
      <c r="J255" s="455" t="s">
        <v>1935</v>
      </c>
      <c r="K255" s="2751" t="s">
        <v>1727</v>
      </c>
      <c r="L255" s="2752"/>
      <c r="M255" s="2752"/>
      <c r="N255" s="2752"/>
      <c r="O255" s="2753"/>
      <c r="P255" s="4173" t="s">
        <v>1727</v>
      </c>
      <c r="Q255" s="4174"/>
    </row>
    <row r="256" spans="1:31" ht="11.4" customHeight="1">
      <c r="A256" s="47" t="s">
        <v>1937</v>
      </c>
      <c r="B256" s="52" t="s">
        <v>2716</v>
      </c>
      <c r="D256" s="52"/>
      <c r="E256" s="52"/>
      <c r="F256" s="52"/>
      <c r="J256" s="455" t="s">
        <v>1937</v>
      </c>
      <c r="K256" s="2906"/>
      <c r="L256" s="2907"/>
      <c r="M256" s="2907"/>
      <c r="N256" s="2907"/>
      <c r="O256" s="2908"/>
      <c r="P256" s="4175"/>
      <c r="Q256" s="4176"/>
    </row>
    <row r="257" spans="1:32" s="147" customFormat="1" ht="11.4" customHeight="1">
      <c r="A257" s="47"/>
      <c r="B257" s="52" t="s">
        <v>1897</v>
      </c>
      <c r="D257" s="52"/>
      <c r="E257" s="52"/>
      <c r="F257" s="52"/>
      <c r="K257" s="2746"/>
      <c r="L257" s="2891"/>
      <c r="M257" s="2891"/>
      <c r="N257" s="2891"/>
      <c r="O257" s="2747"/>
      <c r="P257" s="4177"/>
      <c r="Q257" s="4178"/>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4354</v>
      </c>
      <c r="D259" s="52"/>
      <c r="E259" s="52"/>
      <c r="F259" s="52"/>
      <c r="J259" s="455" t="s">
        <v>731</v>
      </c>
      <c r="K259" s="2903"/>
      <c r="L259" s="2904"/>
      <c r="M259" s="2904"/>
      <c r="N259" s="2904"/>
      <c r="O259" s="2905"/>
      <c r="P259" s="4179"/>
      <c r="Q259" s="4180"/>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4486</v>
      </c>
      <c r="D262" s="52"/>
      <c r="E262" s="52"/>
      <c r="F262" s="52"/>
      <c r="K262" s="455" t="s">
        <v>4266</v>
      </c>
      <c r="L262" s="2270"/>
      <c r="M262" s="36"/>
      <c r="N262" s="979"/>
      <c r="O262" s="979"/>
      <c r="P262" s="2258"/>
      <c r="Q262" s="520"/>
      <c r="AE262" s="459"/>
      <c r="AF262" s="459"/>
    </row>
    <row r="263" spans="1:32" s="147" customFormat="1" ht="11.4" customHeight="1">
      <c r="A263" s="47"/>
      <c r="B263" s="52" t="s">
        <v>4263</v>
      </c>
      <c r="D263" s="52"/>
      <c r="E263" s="52"/>
      <c r="F263" s="52"/>
      <c r="K263" s="2751"/>
      <c r="L263" s="2752"/>
      <c r="M263" s="2752"/>
      <c r="N263" s="2752"/>
      <c r="O263" s="2753"/>
      <c r="P263" s="4181"/>
      <c r="Q263" s="4182"/>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703" t="s">
        <v>3572</v>
      </c>
      <c r="C265" s="2703"/>
      <c r="D265" s="2703"/>
      <c r="E265" s="2703"/>
      <c r="F265" s="2703"/>
      <c r="G265" s="2703"/>
      <c r="H265" s="427" t="s">
        <v>3797</v>
      </c>
      <c r="K265" s="94"/>
      <c r="M265" s="36"/>
      <c r="N265" s="979"/>
      <c r="O265" s="65" t="s">
        <v>1694</v>
      </c>
      <c r="P265" s="2257"/>
      <c r="Q265" s="519"/>
      <c r="AE265" s="459"/>
      <c r="AF265" s="459"/>
    </row>
    <row r="266" spans="1:32" s="147" customFormat="1" ht="11.4" customHeight="1">
      <c r="A266" s="47"/>
      <c r="B266" s="2703"/>
      <c r="C266" s="2703"/>
      <c r="D266" s="2703"/>
      <c r="E266" s="2703"/>
      <c r="F266" s="2703"/>
      <c r="G266" s="2703"/>
      <c r="H266" s="55" t="s">
        <v>3798</v>
      </c>
      <c r="K266" s="94"/>
      <c r="M266" s="36"/>
      <c r="N266" s="979"/>
      <c r="O266" s="65" t="s">
        <v>1695</v>
      </c>
      <c r="P266" s="2257"/>
      <c r="Q266" s="519"/>
      <c r="AE266" s="459"/>
      <c r="AF266" s="459"/>
    </row>
    <row r="267" spans="1:32" s="147" customFormat="1" ht="11.4" customHeight="1">
      <c r="A267" s="47"/>
      <c r="B267" s="52"/>
      <c r="D267" s="52"/>
      <c r="E267" s="52"/>
      <c r="F267" s="52"/>
      <c r="G267" s="52"/>
      <c r="H267" s="55" t="s">
        <v>3799</v>
      </c>
      <c r="K267" s="94"/>
      <c r="M267" s="36"/>
      <c r="N267" s="979"/>
      <c r="O267" s="65" t="s">
        <v>1696</v>
      </c>
      <c r="P267" s="2257"/>
      <c r="Q267" s="519"/>
      <c r="AE267" s="459"/>
      <c r="AF267" s="459"/>
    </row>
    <row r="268" spans="1:32" s="147" customFormat="1" ht="11.4" customHeight="1">
      <c r="A268" s="47"/>
      <c r="B268" s="52"/>
      <c r="D268" s="52"/>
      <c r="E268" s="52"/>
      <c r="F268" s="52"/>
      <c r="G268" s="52"/>
      <c r="H268" s="55" t="s">
        <v>3800</v>
      </c>
      <c r="K268" s="94"/>
      <c r="M268" s="36"/>
      <c r="N268" s="979"/>
      <c r="O268" s="455" t="s">
        <v>2304</v>
      </c>
      <c r="P268" s="2257"/>
      <c r="Q268" s="519"/>
      <c r="AE268" s="459"/>
      <c r="AF268" s="459"/>
    </row>
    <row r="269" spans="1:32" s="147" customFormat="1" ht="21.75" customHeight="1">
      <c r="B269" s="2703" t="s">
        <v>4709</v>
      </c>
      <c r="C269" s="2703"/>
      <c r="D269" s="2703"/>
      <c r="E269" s="2703"/>
      <c r="F269" s="2703"/>
      <c r="G269" s="2703"/>
      <c r="H269" s="2703"/>
      <c r="I269" s="2703"/>
      <c r="J269" s="2703"/>
      <c r="K269" s="2703"/>
      <c r="L269" s="2703"/>
      <c r="M269" s="2703"/>
      <c r="N269" s="2703"/>
      <c r="O269" s="160" t="s">
        <v>1516</v>
      </c>
      <c r="P269" s="2391"/>
      <c r="Q269" s="2251"/>
      <c r="T269" s="459"/>
      <c r="AE269" s="459"/>
      <c r="AF269" s="459"/>
    </row>
    <row r="270" spans="1:32" ht="11.25" customHeight="1">
      <c r="B270" s="140" t="s">
        <v>3566</v>
      </c>
      <c r="D270" s="140"/>
      <c r="E270" s="140"/>
      <c r="F270" s="140"/>
      <c r="G270" s="140"/>
      <c r="H270" s="40"/>
      <c r="I270" s="2397"/>
      <c r="J270" s="2397"/>
      <c r="K270" s="2397"/>
      <c r="L270" s="2374"/>
      <c r="M270" s="2374"/>
      <c r="N270" s="2374"/>
      <c r="O270" s="2374"/>
      <c r="P270" s="2374"/>
      <c r="Q270" s="855"/>
    </row>
    <row r="271" spans="1:32" ht="13.35" customHeight="1">
      <c r="A271" s="2698" t="s">
        <v>948</v>
      </c>
      <c r="B271" s="2699"/>
      <c r="C271" s="2699"/>
      <c r="D271" s="2699"/>
      <c r="E271" s="2699"/>
      <c r="F271" s="2699"/>
      <c r="G271" s="2699"/>
      <c r="H271" s="2699"/>
      <c r="I271" s="2699"/>
      <c r="J271" s="2699"/>
      <c r="K271" s="2699"/>
      <c r="L271" s="2699"/>
      <c r="M271" s="2699"/>
      <c r="N271" s="2699"/>
      <c r="O271" s="2699"/>
      <c r="P271" s="2699"/>
      <c r="Q271" s="2700"/>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22"/>
      <c r="B273" s="2823"/>
      <c r="C273" s="2823"/>
      <c r="D273" s="2823"/>
      <c r="E273" s="2823"/>
      <c r="F273" s="2823"/>
      <c r="G273" s="2823"/>
      <c r="H273" s="2823"/>
      <c r="I273" s="2823"/>
      <c r="J273" s="2823"/>
      <c r="K273" s="2823"/>
      <c r="L273" s="2823"/>
      <c r="M273" s="2823"/>
      <c r="N273" s="2823"/>
      <c r="O273" s="2823"/>
      <c r="P273" s="2823"/>
      <c r="Q273" s="2824"/>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793"/>
      <c r="Q275" s="2794"/>
    </row>
    <row r="276" spans="1:32" s="411" customFormat="1" ht="21.75" customHeight="1">
      <c r="A276" s="141" t="s">
        <v>1935</v>
      </c>
      <c r="B276" s="2380" t="s">
        <v>1694</v>
      </c>
      <c r="C276" s="2703" t="s">
        <v>4710</v>
      </c>
      <c r="D276" s="2703"/>
      <c r="E276" s="2703"/>
      <c r="F276" s="2703"/>
      <c r="G276" s="2703"/>
      <c r="H276" s="2703"/>
      <c r="I276" s="2703"/>
      <c r="J276" s="2703"/>
      <c r="K276" s="2703"/>
      <c r="L276" s="2703"/>
      <c r="M276" s="2703"/>
      <c r="N276" s="2703"/>
      <c r="O276" s="1725" t="s">
        <v>1455</v>
      </c>
      <c r="P276" s="2268" t="s">
        <v>2885</v>
      </c>
      <c r="Q276" s="1088"/>
      <c r="AE276" s="460"/>
      <c r="AF276" s="460"/>
    </row>
    <row r="277" spans="1:32" s="147" customFormat="1" ht="11.4" customHeight="1">
      <c r="A277" s="47"/>
      <c r="B277" s="2380" t="s">
        <v>1695</v>
      </c>
      <c r="C277" s="52" t="s">
        <v>3569</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1937</v>
      </c>
      <c r="B278" s="52" t="s">
        <v>3570</v>
      </c>
      <c r="D278" s="52"/>
      <c r="E278" s="52"/>
      <c r="F278" s="52"/>
      <c r="G278" s="52"/>
      <c r="H278" s="52"/>
      <c r="I278" s="52"/>
      <c r="J278" s="52"/>
      <c r="K278" s="52"/>
      <c r="L278" s="52"/>
      <c r="M278" s="52"/>
      <c r="O278" s="455" t="s">
        <v>1937</v>
      </c>
      <c r="P278" s="2258" t="s">
        <v>2885</v>
      </c>
      <c r="Q278" s="520"/>
      <c r="AE278" s="459"/>
      <c r="AF278" s="459"/>
    </row>
    <row r="279" spans="1:32" s="411" customFormat="1" ht="20.100000000000001" customHeight="1">
      <c r="A279" s="141" t="s">
        <v>731</v>
      </c>
      <c r="B279" s="2380" t="s">
        <v>1694</v>
      </c>
      <c r="C279" s="2703" t="s">
        <v>4746</v>
      </c>
      <c r="D279" s="2703"/>
      <c r="E279" s="2703"/>
      <c r="F279" s="2703"/>
      <c r="G279" s="2703"/>
      <c r="H279" s="2703"/>
      <c r="I279" s="2703"/>
      <c r="J279" s="2703"/>
      <c r="K279" s="2703"/>
      <c r="L279" s="2703"/>
      <c r="M279" s="2703"/>
      <c r="N279" s="2703"/>
      <c r="O279" s="1725" t="s">
        <v>4747</v>
      </c>
      <c r="P279" s="2268" t="s">
        <v>2885</v>
      </c>
      <c r="Q279" s="1088"/>
      <c r="AE279" s="460"/>
      <c r="AF279" s="460"/>
    </row>
    <row r="280" spans="1:32" s="147" customFormat="1" ht="11.4" customHeight="1">
      <c r="A280" s="47"/>
      <c r="B280" s="2380" t="s">
        <v>1695</v>
      </c>
      <c r="C280" s="52" t="s">
        <v>3571</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2064</v>
      </c>
      <c r="B281" s="2703" t="s">
        <v>4748</v>
      </c>
      <c r="C281" s="2703"/>
      <c r="D281" s="2703"/>
      <c r="E281" s="2703"/>
      <c r="F281" s="2703"/>
      <c r="G281" s="2703"/>
      <c r="H281" s="2703"/>
      <c r="I281" s="2703"/>
      <c r="J281" s="2703"/>
      <c r="K281" s="2703"/>
      <c r="L281" s="2703"/>
      <c r="M281" s="2703"/>
      <c r="N281" s="2703"/>
      <c r="O281" s="455" t="s">
        <v>2064</v>
      </c>
      <c r="P281" s="2391" t="s">
        <v>2885</v>
      </c>
      <c r="Q281" s="2251"/>
      <c r="AE281" s="459"/>
      <c r="AF281" s="459"/>
    </row>
    <row r="282" spans="1:32" ht="11.25" customHeight="1">
      <c r="B282" s="140" t="s">
        <v>3566</v>
      </c>
      <c r="D282" s="140"/>
      <c r="E282" s="140"/>
      <c r="F282" s="140"/>
      <c r="G282" s="140"/>
      <c r="H282" s="40"/>
      <c r="I282" s="2397"/>
      <c r="J282" s="2397"/>
      <c r="K282" s="2397"/>
      <c r="L282" s="2374"/>
      <c r="M282" s="2374"/>
      <c r="N282" s="2374"/>
      <c r="O282" s="2374"/>
      <c r="P282" s="2374"/>
      <c r="Q282" s="855"/>
    </row>
    <row r="283" spans="1:32" ht="13.35" customHeight="1">
      <c r="A283" s="2698" t="s">
        <v>7132</v>
      </c>
      <c r="B283" s="2699"/>
      <c r="C283" s="2699"/>
      <c r="D283" s="2699"/>
      <c r="E283" s="2699"/>
      <c r="F283" s="2699"/>
      <c r="G283" s="2699"/>
      <c r="H283" s="2699"/>
      <c r="I283" s="2699"/>
      <c r="J283" s="2699"/>
      <c r="K283" s="2699"/>
      <c r="L283" s="2699"/>
      <c r="M283" s="2699"/>
      <c r="N283" s="2699"/>
      <c r="O283" s="2699"/>
      <c r="P283" s="2699"/>
      <c r="Q283" s="2700"/>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22"/>
      <c r="B285" s="2823"/>
      <c r="C285" s="2823"/>
      <c r="D285" s="2823"/>
      <c r="E285" s="2823"/>
      <c r="F285" s="2823"/>
      <c r="G285" s="2823"/>
      <c r="H285" s="2823"/>
      <c r="I285" s="2823"/>
      <c r="J285" s="2823"/>
      <c r="K285" s="2823"/>
      <c r="L285" s="2823"/>
      <c r="M285" s="2823"/>
      <c r="N285" s="2823"/>
      <c r="O285" s="2823"/>
      <c r="P285" s="2823"/>
      <c r="Q285" s="2824"/>
    </row>
    <row r="286" spans="1:32" ht="3" customHeight="1"/>
    <row r="287" spans="1:32" ht="14.1" customHeight="1">
      <c r="A287" s="2372" t="s">
        <v>3785</v>
      </c>
      <c r="B287" s="2372" t="s">
        <v>2589</v>
      </c>
      <c r="C287" s="2372"/>
      <c r="D287" s="2380"/>
      <c r="E287" s="2380"/>
      <c r="F287" s="2380"/>
      <c r="G287" s="2380"/>
      <c r="H287" s="2380"/>
      <c r="I287" s="2380"/>
      <c r="J287" s="2380"/>
      <c r="K287" s="2380"/>
      <c r="L287" s="2380"/>
      <c r="M287" s="2380"/>
      <c r="O287" s="131" t="s">
        <v>1820</v>
      </c>
      <c r="P287" s="2793"/>
      <c r="Q287" s="2794"/>
    </row>
    <row r="288" spans="1:32" s="411" customFormat="1" ht="30" customHeight="1">
      <c r="A288" s="141" t="s">
        <v>1935</v>
      </c>
      <c r="B288" s="857" t="s">
        <v>1694</v>
      </c>
      <c r="C288" s="2703" t="s">
        <v>4393</v>
      </c>
      <c r="D288" s="2703"/>
      <c r="E288" s="2703"/>
      <c r="F288" s="2703"/>
      <c r="G288" s="2703"/>
      <c r="H288" s="2703"/>
      <c r="I288" s="2703"/>
      <c r="J288" s="2703"/>
      <c r="K288" s="2703"/>
      <c r="L288" s="2703"/>
      <c r="M288" s="2703"/>
      <c r="N288" s="2703"/>
      <c r="O288" s="160" t="s">
        <v>1935</v>
      </c>
      <c r="P288" s="2268" t="s">
        <v>7056</v>
      </c>
      <c r="Q288" s="1088"/>
      <c r="AE288" s="460"/>
      <c r="AF288" s="460"/>
    </row>
    <row r="289" spans="1:32" s="411" customFormat="1" ht="21.75" customHeight="1">
      <c r="A289" s="141"/>
      <c r="B289" s="857" t="s">
        <v>1695</v>
      </c>
      <c r="C289" s="2703" t="s">
        <v>2717</v>
      </c>
      <c r="D289" s="2703"/>
      <c r="E289" s="2703"/>
      <c r="F289" s="2703"/>
      <c r="G289" s="2703"/>
      <c r="H289" s="2703"/>
      <c r="I289" s="2703"/>
      <c r="J289" s="2703"/>
      <c r="K289" s="2703"/>
      <c r="L289" s="2703"/>
      <c r="M289" s="2703"/>
      <c r="N289" s="2703"/>
      <c r="O289" s="160"/>
      <c r="P289" s="2391" t="s">
        <v>7056</v>
      </c>
      <c r="Q289" s="2251"/>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1937</v>
      </c>
      <c r="P291" s="2271" t="s">
        <v>7056</v>
      </c>
      <c r="Q291" s="1089"/>
      <c r="R291" s="455"/>
    </row>
    <row r="292" spans="1:32" s="102" customFormat="1" ht="11.4" customHeight="1">
      <c r="A292" s="42"/>
      <c r="B292" s="140" t="s">
        <v>3566</v>
      </c>
      <c r="C292" s="42"/>
      <c r="D292" s="48"/>
      <c r="E292" s="48"/>
      <c r="F292" s="48"/>
      <c r="G292" s="48"/>
      <c r="K292" s="36"/>
      <c r="M292" s="46"/>
      <c r="N292" s="6"/>
      <c r="O292" s="3"/>
      <c r="P292" s="2373"/>
    </row>
    <row r="293" spans="1:32" s="43" customFormat="1" ht="21.75" customHeight="1">
      <c r="A293" s="2698" t="s">
        <v>7133</v>
      </c>
      <c r="B293" s="2699"/>
      <c r="C293" s="2699"/>
      <c r="D293" s="2699"/>
      <c r="E293" s="2699"/>
      <c r="F293" s="2699"/>
      <c r="G293" s="2699"/>
      <c r="H293" s="2699"/>
      <c r="I293" s="2699"/>
      <c r="J293" s="2699"/>
      <c r="K293" s="2699"/>
      <c r="L293" s="2699"/>
      <c r="M293" s="2699"/>
      <c r="N293" s="2699"/>
      <c r="O293" s="2699"/>
      <c r="P293" s="2699"/>
      <c r="Q293" s="2700"/>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22"/>
      <c r="B295" s="2823"/>
      <c r="C295" s="2823"/>
      <c r="D295" s="2823"/>
      <c r="E295" s="2823"/>
      <c r="F295" s="2823"/>
      <c r="G295" s="2823"/>
      <c r="H295" s="2823"/>
      <c r="I295" s="2823"/>
      <c r="J295" s="2823"/>
      <c r="K295" s="2823"/>
      <c r="L295" s="2823"/>
      <c r="M295" s="2823"/>
      <c r="N295" s="2823"/>
      <c r="O295" s="2823"/>
      <c r="P295" s="2823"/>
      <c r="Q295" s="2824"/>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3786</v>
      </c>
      <c r="B297" s="2372" t="s">
        <v>2590</v>
      </c>
      <c r="C297" s="2376"/>
      <c r="D297" s="2388"/>
      <c r="E297" s="2380"/>
      <c r="F297" s="2380"/>
      <c r="G297" s="2380"/>
      <c r="H297" s="2380"/>
      <c r="I297" s="2380"/>
      <c r="J297" s="2380"/>
      <c r="K297" s="2380"/>
      <c r="L297" s="2380"/>
      <c r="M297" s="2380"/>
      <c r="O297" s="131" t="s">
        <v>1820</v>
      </c>
      <c r="P297" s="2793"/>
      <c r="Q297" s="2794"/>
    </row>
    <row r="298" spans="1:32" ht="12.75" customHeight="1">
      <c r="A298" s="138" t="s">
        <v>1935</v>
      </c>
      <c r="B298" s="179" t="s">
        <v>3801</v>
      </c>
    </row>
    <row r="299" spans="1:32" s="147" customFormat="1" ht="44.25" customHeight="1">
      <c r="A299" s="141"/>
      <c r="B299" s="1488" t="s">
        <v>1694</v>
      </c>
      <c r="C299" s="2703" t="s">
        <v>3677</v>
      </c>
      <c r="D299" s="2703"/>
      <c r="E299" s="2703"/>
      <c r="F299" s="2703"/>
      <c r="G299" s="2703"/>
      <c r="H299" s="2703"/>
      <c r="I299" s="2703"/>
      <c r="J299" s="2703"/>
      <c r="K299" s="2703"/>
      <c r="L299" s="2703"/>
      <c r="M299" s="2703"/>
      <c r="N299" s="2703"/>
      <c r="O299" s="160" t="s">
        <v>2642</v>
      </c>
      <c r="P299" s="2268" t="s">
        <v>2885</v>
      </c>
      <c r="Q299" s="1088"/>
      <c r="AE299" s="459"/>
      <c r="AF299" s="459"/>
    </row>
    <row r="300" spans="1:32" s="411" customFormat="1" ht="12" customHeight="1">
      <c r="A300" s="141"/>
      <c r="B300" s="1488" t="s">
        <v>1695</v>
      </c>
      <c r="C300" s="2703" t="s">
        <v>4745</v>
      </c>
      <c r="D300" s="2703"/>
      <c r="E300" s="2703"/>
      <c r="F300" s="2703"/>
      <c r="G300" s="2703"/>
      <c r="H300" s="2703"/>
      <c r="I300" s="2703"/>
      <c r="J300" s="2703"/>
      <c r="K300" s="2703"/>
      <c r="L300" s="2703"/>
      <c r="M300" s="2703"/>
      <c r="N300" s="2703"/>
      <c r="O300" s="148" t="s">
        <v>1695</v>
      </c>
      <c r="P300" s="2390" t="s">
        <v>2885</v>
      </c>
      <c r="Q300" s="2393"/>
      <c r="AE300" s="460"/>
      <c r="AF300" s="460"/>
    </row>
    <row r="301" spans="1:32" s="411" customFormat="1" ht="21.75" customHeight="1">
      <c r="A301" s="141"/>
      <c r="B301" s="468" t="s">
        <v>1696</v>
      </c>
      <c r="C301" s="2703" t="s">
        <v>3676</v>
      </c>
      <c r="D301" s="2703"/>
      <c r="E301" s="2703"/>
      <c r="F301" s="2703"/>
      <c r="G301" s="2703"/>
      <c r="H301" s="2703"/>
      <c r="I301" s="2703"/>
      <c r="J301" s="2703"/>
      <c r="K301" s="2703"/>
      <c r="L301" s="2703"/>
      <c r="M301" s="2703"/>
      <c r="N301" s="2703"/>
      <c r="O301" s="160" t="s">
        <v>1696</v>
      </c>
      <c r="P301" s="2391" t="s">
        <v>2885</v>
      </c>
      <c r="Q301" s="2251"/>
      <c r="AE301" s="460"/>
      <c r="AF301" s="460"/>
    </row>
    <row r="302" spans="1:32" s="94" customFormat="1" ht="12.75" customHeight="1">
      <c r="A302" s="138" t="s">
        <v>1937</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03" t="s">
        <v>3563</v>
      </c>
      <c r="D303" s="2703"/>
      <c r="E303" s="2703"/>
      <c r="F303" s="2703"/>
      <c r="G303" s="2703"/>
      <c r="H303" s="2703"/>
      <c r="I303" s="139"/>
      <c r="J303" s="2696" t="s">
        <v>3602</v>
      </c>
      <c r="K303" s="2697"/>
      <c r="L303" s="2697"/>
      <c r="M303" s="2704" t="s">
        <v>3574</v>
      </c>
      <c r="N303" s="2704"/>
      <c r="AE303" s="461"/>
      <c r="AF303" s="461"/>
    </row>
    <row r="304" spans="1:32" s="293" customFormat="1" ht="10.5" customHeight="1">
      <c r="A304" s="304"/>
      <c r="B304" s="2348"/>
      <c r="C304" s="2703"/>
      <c r="D304" s="2703"/>
      <c r="E304" s="2703"/>
      <c r="F304" s="2703"/>
      <c r="G304" s="2703"/>
      <c r="H304" s="2703"/>
      <c r="I304" s="2357"/>
      <c r="J304" s="2697"/>
      <c r="K304" s="2697"/>
      <c r="L304" s="2697"/>
      <c r="M304" s="36" t="s">
        <v>3575</v>
      </c>
      <c r="N304" s="2397" t="s">
        <v>3601</v>
      </c>
      <c r="P304" s="302"/>
    </row>
    <row r="305" spans="1:33" s="293" customFormat="1" ht="13.35" customHeight="1">
      <c r="A305" s="304"/>
      <c r="B305" s="2348"/>
      <c r="C305" s="2703"/>
      <c r="D305" s="2703"/>
      <c r="E305" s="2703"/>
      <c r="F305" s="2703"/>
      <c r="G305" s="2703"/>
      <c r="H305" s="2703"/>
      <c r="I305" s="52" t="s">
        <v>3802</v>
      </c>
      <c r="K305" s="2272">
        <v>3</v>
      </c>
      <c r="L305" s="974" t="str">
        <f>IF(K305&lt;M305,"Check!!!","")</f>
        <v/>
      </c>
      <c r="M305" s="975">
        <f>ROUNDUP('Part VI-Revenues &amp; Expenses'!$P$67*'Part VIII-Threshold Criteria'!N305,0)</f>
        <v>3</v>
      </c>
      <c r="N305" s="1465">
        <f>'DCA Underwriting Assumptions'!$Q$154</f>
        <v>0.05</v>
      </c>
      <c r="O305" s="455" t="s">
        <v>3470</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03" t="s">
        <v>3564</v>
      </c>
      <c r="D306" s="2703"/>
      <c r="E306" s="2703"/>
      <c r="F306" s="2703"/>
      <c r="G306" s="2703"/>
      <c r="H306" s="2703"/>
      <c r="I306" s="843" t="s">
        <v>3803</v>
      </c>
      <c r="J306" s="293"/>
      <c r="K306" s="2272">
        <v>3</v>
      </c>
      <c r="L306" s="974" t="str">
        <f>IF(K306&lt;M306,"Check!!!","")</f>
        <v/>
      </c>
      <c r="M306" s="975">
        <f>ROUNDUP(K305*'Part VIII-Threshold Criteria'!N306,0)</f>
        <v>2</v>
      </c>
      <c r="N306" s="1465">
        <f>'DCA Underwriting Assumptions'!$Q$155</f>
        <v>0.4</v>
      </c>
      <c r="O306" s="455" t="s">
        <v>2066</v>
      </c>
      <c r="P306" s="2702" t="s">
        <v>2885</v>
      </c>
      <c r="Q306" s="2701"/>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703"/>
      <c r="D307" s="2703"/>
      <c r="E307" s="2703"/>
      <c r="F307" s="2703"/>
      <c r="G307" s="2703"/>
      <c r="H307" s="2703"/>
      <c r="O307" s="40"/>
      <c r="P307" s="2702"/>
      <c r="Q307" s="2701"/>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03" t="s">
        <v>3565</v>
      </c>
      <c r="D308" s="2703"/>
      <c r="E308" s="2703"/>
      <c r="F308" s="2703"/>
      <c r="G308" s="2703"/>
      <c r="H308" s="2703"/>
      <c r="I308" s="52" t="s">
        <v>3804</v>
      </c>
      <c r="J308" s="293"/>
      <c r="K308" s="2272">
        <v>1</v>
      </c>
      <c r="L308" s="974" t="str">
        <f>IF(K308&lt;M308,"Check!!!","")</f>
        <v/>
      </c>
      <c r="M308" s="975">
        <f>ROUNDUP('Part VI-Revenues &amp; Expenses'!$P$67*'Part VIII-Threshold Criteria'!N308,0)</f>
        <v>1</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03"/>
      <c r="D309" s="2703"/>
      <c r="E309" s="2703"/>
      <c r="F309" s="2703"/>
      <c r="G309" s="2703"/>
      <c r="H309" s="2703"/>
      <c r="J309" s="36"/>
      <c r="K309" s="36"/>
      <c r="L309" s="856"/>
      <c r="M309" s="2386"/>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703"/>
      <c r="D310" s="2703"/>
      <c r="E310" s="2703"/>
      <c r="F310" s="2703"/>
      <c r="G310" s="2703"/>
      <c r="H310" s="270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13" t="s">
        <v>3472</v>
      </c>
      <c r="C312" s="2713"/>
      <c r="D312" s="2713"/>
      <c r="E312" s="2713"/>
      <c r="F312" s="2713"/>
      <c r="G312" s="2713"/>
      <c r="H312" s="2713"/>
      <c r="I312" s="2713"/>
      <c r="J312" s="2713"/>
      <c r="K312" s="2713"/>
      <c r="L312" s="2713"/>
      <c r="M312" s="2713"/>
      <c r="N312" s="2713"/>
      <c r="O312" s="160" t="s">
        <v>731</v>
      </c>
      <c r="P312" s="2271" t="s">
        <v>2885</v>
      </c>
      <c r="Q312" s="1089"/>
      <c r="AE312" s="461"/>
      <c r="AF312" s="461"/>
    </row>
    <row r="313" spans="1:33" s="94" customFormat="1" ht="11.25" customHeight="1">
      <c r="B313" s="389" t="s">
        <v>3473</v>
      </c>
      <c r="D313" s="389"/>
      <c r="E313" s="389"/>
      <c r="F313" s="389"/>
      <c r="G313" s="389"/>
      <c r="H313" s="389"/>
      <c r="I313" s="389" t="s">
        <v>3573</v>
      </c>
      <c r="J313" s="389"/>
      <c r="K313" s="389"/>
      <c r="L313" s="2719" t="s">
        <v>7073</v>
      </c>
      <c r="M313" s="2720"/>
      <c r="N313" s="2720"/>
      <c r="O313" s="2721"/>
      <c r="P313" s="389"/>
      <c r="Q313" s="389"/>
      <c r="R313" s="389"/>
      <c r="AE313" s="461"/>
      <c r="AF313" s="461"/>
    </row>
    <row r="314" spans="1:33" s="411" customFormat="1" ht="44.25" customHeight="1">
      <c r="B314" s="1488" t="s">
        <v>1694</v>
      </c>
      <c r="C314" s="2703" t="s">
        <v>3471</v>
      </c>
      <c r="D314" s="2703"/>
      <c r="E314" s="2703"/>
      <c r="F314" s="2703"/>
      <c r="G314" s="2703"/>
      <c r="H314" s="2703"/>
      <c r="I314" s="2703"/>
      <c r="J314" s="2703"/>
      <c r="K314" s="2703"/>
      <c r="L314" s="2703"/>
      <c r="M314" s="2703"/>
      <c r="N314" s="2703"/>
      <c r="O314" s="160" t="s">
        <v>3476</v>
      </c>
      <c r="P314" s="2268" t="s">
        <v>2885</v>
      </c>
      <c r="Q314" s="1088"/>
      <c r="AE314" s="460"/>
      <c r="AF314" s="460"/>
    </row>
    <row r="315" spans="1:33" s="411" customFormat="1" ht="34.5" customHeight="1">
      <c r="B315" s="1488" t="s">
        <v>1695</v>
      </c>
      <c r="C315" s="2703" t="s">
        <v>4355</v>
      </c>
      <c r="D315" s="2703"/>
      <c r="E315" s="2703"/>
      <c r="F315" s="2703"/>
      <c r="G315" s="2703"/>
      <c r="H315" s="2703"/>
      <c r="I315" s="2703"/>
      <c r="J315" s="2703"/>
      <c r="K315" s="2703"/>
      <c r="L315" s="2703"/>
      <c r="M315" s="2703"/>
      <c r="N315" s="2703"/>
      <c r="O315" s="160" t="s">
        <v>3477</v>
      </c>
      <c r="P315" s="2390" t="s">
        <v>2885</v>
      </c>
      <c r="Q315" s="2393"/>
      <c r="AE315" s="460"/>
      <c r="AF315" s="460"/>
    </row>
    <row r="316" spans="1:33" s="411" customFormat="1" ht="22.5" customHeight="1">
      <c r="B316" s="468" t="s">
        <v>1696</v>
      </c>
      <c r="C316" s="2703" t="s">
        <v>3474</v>
      </c>
      <c r="D316" s="2703"/>
      <c r="E316" s="2703"/>
      <c r="F316" s="2703"/>
      <c r="G316" s="2703"/>
      <c r="H316" s="2703"/>
      <c r="I316" s="2703"/>
      <c r="J316" s="2703"/>
      <c r="K316" s="2703"/>
      <c r="L316" s="2703"/>
      <c r="M316" s="2703"/>
      <c r="N316" s="2703"/>
      <c r="O316" s="160" t="s">
        <v>3478</v>
      </c>
      <c r="P316" s="2390" t="s">
        <v>2885</v>
      </c>
      <c r="Q316" s="2393"/>
      <c r="AE316" s="460"/>
      <c r="AF316" s="460"/>
    </row>
    <row r="317" spans="1:33" s="411" customFormat="1" ht="32.25" customHeight="1">
      <c r="B317" s="468" t="s">
        <v>2304</v>
      </c>
      <c r="C317" s="2703" t="s">
        <v>3475</v>
      </c>
      <c r="D317" s="2703"/>
      <c r="E317" s="2703"/>
      <c r="F317" s="2703"/>
      <c r="G317" s="2703"/>
      <c r="H317" s="2703"/>
      <c r="I317" s="2703"/>
      <c r="J317" s="2703"/>
      <c r="K317" s="2703"/>
      <c r="L317" s="2703"/>
      <c r="M317" s="2703"/>
      <c r="N317" s="2703"/>
      <c r="O317" s="160" t="s">
        <v>3479</v>
      </c>
      <c r="P317" s="2391" t="s">
        <v>2885</v>
      </c>
      <c r="Q317" s="2251"/>
      <c r="AE317" s="460"/>
      <c r="AF317" s="460"/>
    </row>
    <row r="318" spans="1:33" ht="11.25" customHeight="1">
      <c r="B318" s="140" t="s">
        <v>3566</v>
      </c>
      <c r="D318" s="140"/>
      <c r="E318" s="140"/>
      <c r="F318" s="140"/>
      <c r="G318" s="140"/>
      <c r="H318" s="40"/>
      <c r="I318" s="2397"/>
      <c r="J318" s="2397"/>
      <c r="K318" s="2397"/>
      <c r="L318" s="2374"/>
      <c r="M318" s="2374"/>
      <c r="N318" s="2374"/>
      <c r="O318" s="2374"/>
      <c r="P318" s="2374"/>
      <c r="Q318" s="855"/>
    </row>
    <row r="319" spans="1:33" ht="32.25" customHeight="1">
      <c r="A319" s="2698" t="s">
        <v>7074</v>
      </c>
      <c r="B319" s="2699"/>
      <c r="C319" s="2699"/>
      <c r="D319" s="2699"/>
      <c r="E319" s="2699"/>
      <c r="F319" s="2699"/>
      <c r="G319" s="2699"/>
      <c r="H319" s="2699"/>
      <c r="I319" s="2699"/>
      <c r="J319" s="2699"/>
      <c r="K319" s="2699"/>
      <c r="L319" s="2699"/>
      <c r="M319" s="2699"/>
      <c r="N319" s="2699"/>
      <c r="O319" s="2699"/>
      <c r="P319" s="2699"/>
      <c r="Q319" s="2700"/>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2725"/>
      <c r="B321" s="2726"/>
      <c r="C321" s="2726"/>
      <c r="D321" s="2726"/>
      <c r="E321" s="2726"/>
      <c r="F321" s="2726"/>
      <c r="G321" s="2726"/>
      <c r="H321" s="2726"/>
      <c r="I321" s="2726"/>
      <c r="J321" s="2726"/>
      <c r="K321" s="2726"/>
      <c r="L321" s="2726"/>
      <c r="M321" s="2726"/>
      <c r="N321" s="2726"/>
      <c r="O321" s="2726"/>
      <c r="P321" s="2726"/>
      <c r="Q321" s="2727"/>
    </row>
    <row r="322" spans="1:256 1523:1523" ht="14.1" customHeight="1">
      <c r="A322" s="2372" t="s">
        <v>3784</v>
      </c>
      <c r="B322" s="10" t="s">
        <v>2591</v>
      </c>
      <c r="C322" s="10"/>
      <c r="D322" s="10"/>
      <c r="E322" s="10"/>
      <c r="F322" s="10"/>
      <c r="G322" s="10"/>
      <c r="H322" s="2380"/>
      <c r="I322" s="2380"/>
      <c r="J322" s="2380"/>
      <c r="K322" s="2380"/>
      <c r="L322" s="2380"/>
      <c r="M322" s="2380"/>
      <c r="O322" s="131" t="s">
        <v>1820</v>
      </c>
      <c r="P322" s="2728"/>
      <c r="Q322" s="2729"/>
    </row>
    <row r="323" spans="1:256 1523:1523" ht="11.4" customHeight="1">
      <c r="B323" s="144" t="s">
        <v>2194</v>
      </c>
      <c r="P323" s="2256" t="s">
        <v>2888</v>
      </c>
      <c r="Q323" s="518"/>
    </row>
    <row r="324" spans="1:256 1523:1523" ht="12" customHeight="1">
      <c r="B324" s="842" t="s">
        <v>2154</v>
      </c>
      <c r="C324" s="842"/>
      <c r="D324" s="842"/>
      <c r="E324" s="842"/>
      <c r="F324" s="842"/>
      <c r="G324" s="842"/>
      <c r="H324" s="842"/>
      <c r="I324" s="842"/>
      <c r="J324" s="842"/>
      <c r="K324" s="842"/>
      <c r="L324" s="842"/>
      <c r="P324" s="2258"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03" t="s">
        <v>2780</v>
      </c>
      <c r="C326" s="2703"/>
      <c r="D326" s="2703"/>
      <c r="E326" s="2703"/>
      <c r="F326" s="2703"/>
      <c r="G326" s="2703"/>
      <c r="H326" s="2703"/>
      <c r="I326" s="2703"/>
      <c r="J326" s="2703"/>
      <c r="K326" s="2703"/>
      <c r="L326" s="2703"/>
      <c r="M326" s="2703"/>
      <c r="N326" s="2703"/>
      <c r="O326" s="160" t="s">
        <v>1935</v>
      </c>
      <c r="P326" s="2273"/>
      <c r="Q326" s="4183"/>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707" t="s">
        <v>4363</v>
      </c>
      <c r="H328" s="2708"/>
      <c r="I328" s="2708"/>
      <c r="J328" s="2708"/>
      <c r="K328" s="2708"/>
      <c r="L328" s="2708"/>
      <c r="M328" s="2708"/>
      <c r="N328" s="2709"/>
      <c r="O328" s="215" t="s">
        <v>1694</v>
      </c>
      <c r="P328" s="2268" t="s">
        <v>2885</v>
      </c>
      <c r="Q328" s="1088"/>
      <c r="BFO328" s="147" t="s">
        <v>2643</v>
      </c>
    </row>
    <row r="329" spans="1:256 1523:1523" ht="23.25" customHeight="1">
      <c r="B329" s="842" t="s">
        <v>1695</v>
      </c>
      <c r="C329" s="2703" t="s">
        <v>1110</v>
      </c>
      <c r="D329" s="2703"/>
      <c r="E329" s="2703"/>
      <c r="F329" s="2730"/>
      <c r="G329" s="2722" t="s">
        <v>3576</v>
      </c>
      <c r="H329" s="2723"/>
      <c r="I329" s="2723"/>
      <c r="J329" s="2723"/>
      <c r="K329" s="2723"/>
      <c r="L329" s="2723"/>
      <c r="M329" s="2723"/>
      <c r="N329" s="2724"/>
      <c r="O329" s="215" t="s">
        <v>1695</v>
      </c>
      <c r="P329" s="2391" t="s">
        <v>2885</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15" t="s">
        <v>2595</v>
      </c>
      <c r="C331" s="2715"/>
      <c r="D331" s="2715"/>
      <c r="E331" s="2715"/>
      <c r="F331" s="2715"/>
      <c r="G331" s="2715"/>
      <c r="H331" s="2715"/>
      <c r="I331" s="2715"/>
      <c r="J331" s="2715"/>
      <c r="K331" s="2715"/>
      <c r="L331" s="2715"/>
      <c r="M331" s="2715"/>
      <c r="N331" s="2715"/>
      <c r="O331" s="438" t="s">
        <v>731</v>
      </c>
      <c r="P331" s="2374"/>
      <c r="Q331" s="855"/>
      <c r="AE331" s="458"/>
      <c r="AF331" s="458"/>
    </row>
    <row r="332" spans="1:256 1523:1523" s="132" customFormat="1" ht="11.25" customHeight="1">
      <c r="A332" s="143"/>
      <c r="B332" s="842" t="s">
        <v>1694</v>
      </c>
      <c r="C332" s="2731"/>
      <c r="D332" s="2732"/>
      <c r="E332" s="2732"/>
      <c r="F332" s="2732"/>
      <c r="G332" s="2732"/>
      <c r="H332" s="2732"/>
      <c r="I332" s="2732"/>
      <c r="J332" s="2732"/>
      <c r="K332" s="2732"/>
      <c r="L332" s="2732"/>
      <c r="M332" s="2732"/>
      <c r="N332" s="2733"/>
      <c r="O332" s="215" t="s">
        <v>1694</v>
      </c>
      <c r="P332" s="2268"/>
      <c r="Q332" s="1088"/>
      <c r="AE332" s="458"/>
      <c r="AF332" s="458"/>
    </row>
    <row r="333" spans="1:256 1523:1523" s="132" customFormat="1" ht="11.25" customHeight="1">
      <c r="A333" s="143"/>
      <c r="B333" s="842" t="s">
        <v>1695</v>
      </c>
      <c r="C333" s="2716"/>
      <c r="D333" s="2717"/>
      <c r="E333" s="2717"/>
      <c r="F333" s="2717"/>
      <c r="G333" s="2717"/>
      <c r="H333" s="2717"/>
      <c r="I333" s="2717"/>
      <c r="J333" s="2717"/>
      <c r="K333" s="2717"/>
      <c r="L333" s="2717"/>
      <c r="M333" s="2717"/>
      <c r="N333" s="2718"/>
      <c r="O333" s="215" t="s">
        <v>1695</v>
      </c>
      <c r="P333" s="2391"/>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3566</v>
      </c>
      <c r="D335" s="140"/>
      <c r="E335" s="140"/>
      <c r="F335" s="140"/>
      <c r="G335" s="140"/>
      <c r="H335" s="40"/>
      <c r="I335" s="2397"/>
      <c r="J335" s="2397"/>
      <c r="K335" s="2397"/>
      <c r="L335" s="2374"/>
      <c r="M335" s="2374"/>
      <c r="N335" s="2374"/>
      <c r="O335" s="2374"/>
      <c r="P335" s="2374"/>
      <c r="Q335" s="855"/>
    </row>
    <row r="336" spans="1:256 1523:1523" ht="11.4" customHeight="1">
      <c r="A336" s="2698" t="s">
        <v>7075</v>
      </c>
      <c r="B336" s="2699"/>
      <c r="C336" s="2699"/>
      <c r="D336" s="2699"/>
      <c r="E336" s="2699"/>
      <c r="F336" s="2699"/>
      <c r="G336" s="2699"/>
      <c r="H336" s="2699"/>
      <c r="I336" s="2699"/>
      <c r="J336" s="2699"/>
      <c r="K336" s="2699"/>
      <c r="L336" s="2699"/>
      <c r="M336" s="2699"/>
      <c r="N336" s="2699"/>
      <c r="O336" s="2699"/>
      <c r="P336" s="2699"/>
      <c r="Q336" s="2700"/>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22"/>
      <c r="B338" s="2823"/>
      <c r="C338" s="2823"/>
      <c r="D338" s="2823"/>
      <c r="E338" s="2823"/>
      <c r="F338" s="2823"/>
      <c r="G338" s="2823"/>
      <c r="H338" s="2823"/>
      <c r="I338" s="2823"/>
      <c r="J338" s="2823"/>
      <c r="K338" s="2823"/>
      <c r="L338" s="2823"/>
      <c r="M338" s="2823"/>
      <c r="N338" s="2823"/>
      <c r="O338" s="2823"/>
      <c r="P338" s="2823"/>
      <c r="Q338" s="2824"/>
    </row>
    <row r="339" spans="1:31" ht="14.1" customHeight="1">
      <c r="A339" s="2372" t="s">
        <v>3787</v>
      </c>
      <c r="B339" s="2372" t="s">
        <v>3808</v>
      </c>
      <c r="C339" s="2372"/>
      <c r="D339" s="2380"/>
      <c r="E339" s="2380"/>
      <c r="F339" s="2380"/>
      <c r="G339" s="2380"/>
      <c r="H339" s="2380"/>
      <c r="O339" s="131" t="s">
        <v>1820</v>
      </c>
      <c r="P339" s="2793"/>
      <c r="Q339" s="2794"/>
    </row>
    <row r="340" spans="1:31" ht="11.4" customHeight="1">
      <c r="A340" s="47" t="s">
        <v>1935</v>
      </c>
      <c r="B340" s="55" t="s">
        <v>4711</v>
      </c>
      <c r="O340" s="160" t="s">
        <v>1935</v>
      </c>
      <c r="P340" s="2256" t="s">
        <v>2885</v>
      </c>
      <c r="Q340" s="518"/>
    </row>
    <row r="341" spans="1:31" ht="11.4" customHeight="1">
      <c r="A341" s="141" t="s">
        <v>1937</v>
      </c>
      <c r="B341" s="55" t="s">
        <v>3775</v>
      </c>
      <c r="O341" s="160" t="s">
        <v>1937</v>
      </c>
      <c r="P341" s="2257" t="s">
        <v>2885</v>
      </c>
      <c r="Q341" s="519"/>
    </row>
    <row r="342" spans="1:31" ht="11.4" customHeight="1">
      <c r="A342" s="141" t="s">
        <v>731</v>
      </c>
      <c r="B342" s="144" t="s">
        <v>2290</v>
      </c>
      <c r="O342" s="160" t="s">
        <v>731</v>
      </c>
      <c r="P342" s="2257" t="s">
        <v>2888</v>
      </c>
      <c r="Q342" s="519"/>
    </row>
    <row r="343" spans="1:31" ht="11.4" customHeight="1">
      <c r="A343" s="47" t="s">
        <v>2064</v>
      </c>
      <c r="B343" s="55" t="s">
        <v>3628</v>
      </c>
      <c r="O343" s="455" t="s">
        <v>2064</v>
      </c>
      <c r="P343" s="2258" t="s">
        <v>2888</v>
      </c>
      <c r="Q343" s="520"/>
    </row>
    <row r="344" spans="1:31" ht="11.4" customHeight="1">
      <c r="A344" s="141" t="s">
        <v>1692</v>
      </c>
      <c r="B344" s="55" t="s">
        <v>2781</v>
      </c>
      <c r="N344" s="160" t="s">
        <v>1692</v>
      </c>
      <c r="O344" s="2710" t="s">
        <v>3626</v>
      </c>
      <c r="P344" s="2711"/>
      <c r="Q344" s="2712"/>
    </row>
    <row r="345" spans="1:31" ht="11.4" customHeight="1">
      <c r="A345" s="141" t="s">
        <v>1693</v>
      </c>
      <c r="B345" s="407" t="s">
        <v>2291</v>
      </c>
      <c r="N345" s="160" t="s">
        <v>1693</v>
      </c>
      <c r="O345" s="4184" t="s">
        <v>2782</v>
      </c>
      <c r="P345" s="4185"/>
      <c r="Q345" s="4186"/>
    </row>
    <row r="346" spans="1:31" ht="11.25" customHeight="1">
      <c r="B346" s="140" t="s">
        <v>3566</v>
      </c>
      <c r="D346" s="140"/>
      <c r="E346" s="140"/>
      <c r="F346" s="140"/>
      <c r="G346" s="140"/>
      <c r="H346" s="40"/>
      <c r="I346" s="2397"/>
      <c r="J346" s="2397"/>
      <c r="K346" s="2397"/>
      <c r="L346" s="2374"/>
      <c r="M346" s="2374"/>
      <c r="N346" s="2374"/>
      <c r="O346" s="2374"/>
      <c r="P346" s="2374"/>
      <c r="Q346" s="855"/>
    </row>
    <row r="347" spans="1:31" ht="13.35" customHeight="1">
      <c r="A347" s="2698" t="s">
        <v>7134</v>
      </c>
      <c r="B347" s="2699"/>
      <c r="C347" s="2699"/>
      <c r="D347" s="2699"/>
      <c r="E347" s="2699"/>
      <c r="F347" s="2699"/>
      <c r="G347" s="2699"/>
      <c r="H347" s="2699"/>
      <c r="I347" s="2699"/>
      <c r="J347" s="2699"/>
      <c r="K347" s="2699"/>
      <c r="L347" s="2699"/>
      <c r="M347" s="2699"/>
      <c r="N347" s="2699"/>
      <c r="O347" s="2699"/>
      <c r="P347" s="2699"/>
      <c r="Q347" s="2700"/>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22"/>
      <c r="B349" s="2823"/>
      <c r="C349" s="2823"/>
      <c r="D349" s="2823"/>
      <c r="E349" s="2823"/>
      <c r="F349" s="2823"/>
      <c r="G349" s="2823"/>
      <c r="H349" s="2823"/>
      <c r="I349" s="2823"/>
      <c r="J349" s="2823"/>
      <c r="K349" s="2823"/>
      <c r="L349" s="2823"/>
      <c r="M349" s="2823"/>
      <c r="N349" s="2823"/>
      <c r="O349" s="2823"/>
      <c r="P349" s="2823"/>
      <c r="Q349" s="2824"/>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3788</v>
      </c>
      <c r="B351" s="4" t="s">
        <v>3766</v>
      </c>
      <c r="C351" s="4"/>
      <c r="D351" s="4"/>
      <c r="E351" s="4"/>
      <c r="F351" s="4"/>
      <c r="G351" s="4"/>
      <c r="H351" s="2380"/>
      <c r="I351" s="2380"/>
      <c r="J351" s="2380"/>
      <c r="K351" s="2380"/>
      <c r="L351" s="2380"/>
      <c r="M351" s="2380"/>
      <c r="O351" s="131" t="s">
        <v>1820</v>
      </c>
      <c r="P351" s="4187"/>
      <c r="Q351" s="2794"/>
    </row>
    <row r="352" spans="1:31" ht="10.5" customHeight="1">
      <c r="A352" s="47" t="s">
        <v>1935</v>
      </c>
      <c r="B352" s="134" t="s">
        <v>3767</v>
      </c>
      <c r="D352" s="149"/>
      <c r="E352" s="149"/>
      <c r="F352" s="149"/>
      <c r="G352" s="149"/>
      <c r="H352" s="455" t="s">
        <v>1935</v>
      </c>
      <c r="I352" s="2751"/>
      <c r="J352" s="2752"/>
      <c r="K352" s="2752"/>
      <c r="L352" s="2752"/>
      <c r="M352" s="2752"/>
      <c r="N352" s="2752"/>
      <c r="O352" s="2752"/>
      <c r="P352" s="2753"/>
      <c r="Q352" s="516"/>
    </row>
    <row r="353" spans="1:32" ht="10.5" customHeight="1">
      <c r="A353" s="141" t="s">
        <v>1937</v>
      </c>
      <c r="B353" s="134" t="s">
        <v>3768</v>
      </c>
      <c r="D353" s="149"/>
      <c r="E353" s="149"/>
      <c r="F353" s="149"/>
      <c r="G353" s="149"/>
      <c r="H353" s="160" t="s">
        <v>1937</v>
      </c>
      <c r="I353" s="2751"/>
      <c r="J353" s="2752"/>
      <c r="K353" s="2752"/>
      <c r="L353" s="2752"/>
      <c r="M353" s="2752"/>
      <c r="N353" s="2752"/>
      <c r="O353" s="2752"/>
      <c r="P353" s="2753"/>
      <c r="Q353" s="516"/>
    </row>
    <row r="354" spans="1:32" ht="21.75" customHeight="1">
      <c r="A354" s="141" t="s">
        <v>731</v>
      </c>
      <c r="B354" s="2714" t="s">
        <v>3759</v>
      </c>
      <c r="C354" s="2714"/>
      <c r="D354" s="2714"/>
      <c r="E354" s="2714"/>
      <c r="F354" s="2714"/>
      <c r="G354" s="2714"/>
      <c r="H354" s="2714"/>
      <c r="I354" s="2714"/>
      <c r="J354" s="2714"/>
      <c r="K354" s="2714"/>
      <c r="L354" s="2714"/>
      <c r="M354" s="2714"/>
      <c r="N354" s="2714"/>
      <c r="O354" s="160" t="s">
        <v>731</v>
      </c>
      <c r="P354" s="2274"/>
      <c r="Q354" s="1088"/>
    </row>
    <row r="355" spans="1:32" ht="21.75" customHeight="1">
      <c r="A355" s="141" t="s">
        <v>2064</v>
      </c>
      <c r="B355" s="2703" t="s">
        <v>3760</v>
      </c>
      <c r="C355" s="2703"/>
      <c r="D355" s="2703"/>
      <c r="E355" s="2703"/>
      <c r="F355" s="2703"/>
      <c r="G355" s="2703"/>
      <c r="H355" s="2703"/>
      <c r="I355" s="2703"/>
      <c r="J355" s="2703"/>
      <c r="K355" s="2703"/>
      <c r="L355" s="2703"/>
      <c r="M355" s="2703"/>
      <c r="N355" s="2703"/>
      <c r="O355" s="455" t="s">
        <v>2064</v>
      </c>
      <c r="P355" s="2390"/>
      <c r="Q355" s="2393"/>
    </row>
    <row r="356" spans="1:32" ht="10.5" customHeight="1">
      <c r="A356" s="141" t="s">
        <v>1692</v>
      </c>
      <c r="B356" s="52" t="s">
        <v>3761</v>
      </c>
      <c r="D356" s="52"/>
      <c r="E356" s="52"/>
      <c r="F356" s="52"/>
      <c r="G356" s="52"/>
      <c r="H356" s="52"/>
      <c r="I356" s="52"/>
      <c r="J356" s="52"/>
      <c r="K356" s="52"/>
      <c r="L356" s="52"/>
      <c r="M356" s="52"/>
      <c r="O356" s="160" t="s">
        <v>1692</v>
      </c>
      <c r="P356" s="2257"/>
      <c r="Q356" s="519"/>
    </row>
    <row r="357" spans="1:32" s="132" customFormat="1" ht="21.75" customHeight="1">
      <c r="A357" s="141" t="s">
        <v>1693</v>
      </c>
      <c r="B357" s="2703" t="s">
        <v>3762</v>
      </c>
      <c r="C357" s="2703"/>
      <c r="D357" s="2703"/>
      <c r="E357" s="2703"/>
      <c r="F357" s="2703"/>
      <c r="G357" s="2703"/>
      <c r="H357" s="2703"/>
      <c r="I357" s="2703"/>
      <c r="J357" s="2703"/>
      <c r="K357" s="2703"/>
      <c r="L357" s="2703"/>
      <c r="M357" s="2703"/>
      <c r="N357" s="2703"/>
      <c r="O357" s="160" t="s">
        <v>1693</v>
      </c>
      <c r="P357" s="2275"/>
      <c r="Q357" s="4188"/>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4420</v>
      </c>
      <c r="E359" s="2380"/>
      <c r="F359" s="2380"/>
      <c r="G359" s="2380"/>
      <c r="H359" s="2380"/>
      <c r="I359" s="2380"/>
      <c r="J359" s="2380"/>
      <c r="K359" s="2380"/>
      <c r="L359" s="2380"/>
      <c r="M359" s="2380"/>
      <c r="N359" s="2380"/>
      <c r="P359" s="2391"/>
      <c r="Q359" s="2251"/>
      <c r="AE359" s="458"/>
      <c r="AF359" s="458"/>
    </row>
    <row r="360" spans="1:32" ht="21.75" customHeight="1">
      <c r="A360" s="141" t="s">
        <v>3263</v>
      </c>
      <c r="B360" s="2703" t="s">
        <v>3764</v>
      </c>
      <c r="C360" s="2703"/>
      <c r="D360" s="2703"/>
      <c r="E360" s="2703"/>
      <c r="F360" s="2703"/>
      <c r="G360" s="2703"/>
      <c r="H360" s="2703"/>
      <c r="I360" s="2703"/>
      <c r="J360" s="2703"/>
      <c r="K360" s="2703"/>
      <c r="L360" s="2703"/>
      <c r="M360" s="2703"/>
      <c r="N360" s="2703"/>
      <c r="O360" s="160" t="s">
        <v>3263</v>
      </c>
      <c r="P360" s="2268"/>
      <c r="Q360" s="1088"/>
    </row>
    <row r="361" spans="1:32" ht="33" customHeight="1">
      <c r="A361" s="141" t="s">
        <v>598</v>
      </c>
      <c r="B361" s="2703" t="s">
        <v>3765</v>
      </c>
      <c r="C361" s="2703"/>
      <c r="D361" s="2703"/>
      <c r="E361" s="2703"/>
      <c r="F361" s="2703"/>
      <c r="G361" s="2703"/>
      <c r="H361" s="2703"/>
      <c r="I361" s="2703"/>
      <c r="J361" s="2703"/>
      <c r="K361" s="2703"/>
      <c r="L361" s="2703"/>
      <c r="M361" s="2703"/>
      <c r="N361" s="2703"/>
      <c r="O361" s="160" t="s">
        <v>598</v>
      </c>
      <c r="P361" s="2391"/>
      <c r="Q361" s="2251"/>
    </row>
    <row r="362" spans="1:32" ht="10.5" customHeight="1">
      <c r="B362" s="140" t="s">
        <v>3566</v>
      </c>
      <c r="D362" s="140"/>
      <c r="E362" s="140"/>
      <c r="F362" s="140"/>
      <c r="G362" s="140"/>
      <c r="H362" s="40"/>
      <c r="I362" s="2397"/>
      <c r="J362" s="2397"/>
      <c r="K362" s="2397"/>
      <c r="L362" s="2374"/>
      <c r="M362" s="2374"/>
      <c r="N362" s="2374"/>
      <c r="O362" s="2374"/>
      <c r="P362" s="2374"/>
      <c r="Q362" s="855"/>
    </row>
    <row r="363" spans="1:32" ht="31.5" customHeight="1">
      <c r="A363" s="2698" t="s">
        <v>3062</v>
      </c>
      <c r="B363" s="2699"/>
      <c r="C363" s="2699"/>
      <c r="D363" s="2699"/>
      <c r="E363" s="2699"/>
      <c r="F363" s="2699"/>
      <c r="G363" s="2699"/>
      <c r="H363" s="2699"/>
      <c r="I363" s="2699"/>
      <c r="J363" s="2699"/>
      <c r="K363" s="2699"/>
      <c r="L363" s="2699"/>
      <c r="M363" s="2699"/>
      <c r="N363" s="2699"/>
      <c r="O363" s="2699"/>
      <c r="P363" s="2699"/>
      <c r="Q363" s="2700"/>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22"/>
      <c r="B365" s="2823"/>
      <c r="C365" s="2823"/>
      <c r="D365" s="2823"/>
      <c r="E365" s="2823"/>
      <c r="F365" s="2823"/>
      <c r="G365" s="2823"/>
      <c r="H365" s="2823"/>
      <c r="I365" s="2823"/>
      <c r="J365" s="2823"/>
      <c r="K365" s="2823"/>
      <c r="L365" s="2823"/>
      <c r="M365" s="2823"/>
      <c r="N365" s="2823"/>
      <c r="O365" s="2823"/>
      <c r="P365" s="2823"/>
      <c r="Q365" s="2824"/>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3791</v>
      </c>
      <c r="B367" s="4" t="s">
        <v>4695</v>
      </c>
      <c r="C367" s="4"/>
      <c r="D367" s="4"/>
      <c r="E367" s="4"/>
      <c r="F367" s="4"/>
      <c r="G367" s="4"/>
      <c r="H367" s="2380"/>
      <c r="I367" s="2380"/>
      <c r="J367" s="2380"/>
      <c r="O367" s="131" t="s">
        <v>1820</v>
      </c>
      <c r="P367" s="2793"/>
      <c r="Q367" s="2794"/>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68" t="s">
        <v>4362</v>
      </c>
      <c r="D369" s="2868"/>
      <c r="E369" s="2868"/>
      <c r="F369" s="2868"/>
      <c r="G369" s="50"/>
      <c r="H369" s="36" t="s">
        <v>599</v>
      </c>
      <c r="J369" s="2748"/>
      <c r="K369" s="2749"/>
      <c r="L369" s="2749"/>
      <c r="M369" s="2750"/>
      <c r="N369" s="2734" t="s">
        <v>3679</v>
      </c>
      <c r="O369" s="2735"/>
      <c r="P369" s="2736"/>
      <c r="Q369" s="2737"/>
      <c r="AE369" s="50"/>
      <c r="AF369" s="50"/>
    </row>
    <row r="370" spans="1:32" s="42" customFormat="1" ht="11.25" customHeight="1">
      <c r="B370" s="40"/>
      <c r="C370" s="2387"/>
      <c r="D370" s="2387"/>
      <c r="E370" s="2387"/>
      <c r="F370" s="2387"/>
      <c r="G370" s="2387"/>
      <c r="H370" s="40" t="s">
        <v>4487</v>
      </c>
      <c r="I370" s="2387"/>
      <c r="J370" s="2751"/>
      <c r="K370" s="2752"/>
      <c r="L370" s="2752"/>
      <c r="M370" s="2752"/>
      <c r="N370" s="2752"/>
      <c r="O370" s="2752"/>
      <c r="P370" s="2752"/>
      <c r="Q370" s="2753"/>
      <c r="AE370" s="50"/>
      <c r="AF370" s="50"/>
    </row>
    <row r="371" spans="1:32" s="42" customFormat="1" ht="11.25" customHeight="1">
      <c r="B371" s="40" t="s">
        <v>1695</v>
      </c>
      <c r="C371" s="52" t="s">
        <v>3681</v>
      </c>
      <c r="J371" s="2740"/>
      <c r="K371" s="2741"/>
      <c r="O371" s="455"/>
      <c r="AE371" s="50"/>
      <c r="AF371" s="50"/>
    </row>
    <row r="372" spans="1:32" s="42" customFormat="1" ht="11.25" customHeight="1">
      <c r="A372" s="47"/>
      <c r="B372" s="40" t="s">
        <v>1696</v>
      </c>
      <c r="C372" s="52" t="s">
        <v>3682</v>
      </c>
      <c r="D372" s="46"/>
      <c r="E372" s="133"/>
      <c r="I372" s="133"/>
      <c r="J372" s="2754" t="str">
        <f>'Part I-Project Information'!K40</f>
        <v>Rural</v>
      </c>
      <c r="K372" s="2755"/>
      <c r="L372" s="2392" t="s">
        <v>3683</v>
      </c>
      <c r="M372" s="133"/>
      <c r="N372" s="133"/>
      <c r="O372" s="455" t="s">
        <v>1696</v>
      </c>
      <c r="P372" s="2259"/>
      <c r="Q372" s="517"/>
      <c r="AE372" s="50"/>
      <c r="AF372" s="50"/>
    </row>
    <row r="373" spans="1:32" s="42" customFormat="1" ht="11.25" customHeight="1">
      <c r="A373" s="47"/>
      <c r="B373" s="40" t="s">
        <v>2304</v>
      </c>
      <c r="C373" s="52" t="s">
        <v>4356</v>
      </c>
      <c r="E373" s="133"/>
      <c r="F373" s="133"/>
      <c r="G373" s="133"/>
      <c r="H373" s="52" t="s">
        <v>4357</v>
      </c>
      <c r="I373" s="133"/>
      <c r="J373" s="2738"/>
      <c r="K373" s="2739"/>
      <c r="L373" s="4189"/>
      <c r="M373" s="4190"/>
      <c r="O373" s="455"/>
      <c r="AE373" s="50"/>
      <c r="AF373" s="50"/>
    </row>
    <row r="374" spans="1:32" s="42" customFormat="1" ht="11.25" customHeight="1">
      <c r="A374" s="47"/>
      <c r="B374" s="40"/>
      <c r="C374" s="52"/>
      <c r="E374" s="133"/>
      <c r="F374" s="133"/>
      <c r="G374" s="133"/>
      <c r="H374" s="52" t="s">
        <v>4358</v>
      </c>
      <c r="I374" s="133"/>
      <c r="J374" s="2746"/>
      <c r="K374" s="2747"/>
      <c r="L374" s="4191"/>
      <c r="M374" s="4192"/>
      <c r="N374" s="52"/>
      <c r="O374" s="455"/>
      <c r="AE374" s="50"/>
      <c r="AF374" s="50"/>
    </row>
    <row r="375" spans="1:32" s="42" customFormat="1" ht="11.25" customHeight="1">
      <c r="A375" s="47"/>
      <c r="B375" s="40" t="s">
        <v>1516</v>
      </c>
      <c r="C375" s="52" t="s">
        <v>3684</v>
      </c>
      <c r="E375" s="52"/>
      <c r="F375" s="2742">
        <f>'Part IV-A-Uses of Funds'!J182</f>
        <v>887000</v>
      </c>
      <c r="G375" s="2743"/>
      <c r="H375" s="52" t="s">
        <v>3685</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4359</v>
      </c>
      <c r="I376" s="52"/>
      <c r="J376" s="2705"/>
      <c r="K376" s="2706"/>
      <c r="L376" s="4193"/>
      <c r="M376" s="4194"/>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92"/>
      <c r="F379" s="2392"/>
      <c r="G379" s="2392"/>
      <c r="H379" s="2392"/>
      <c r="P379" s="2259"/>
      <c r="Q379" s="517"/>
      <c r="AE379" s="50"/>
      <c r="AF379" s="50"/>
    </row>
    <row r="380" spans="1:32" s="42" customFormat="1" ht="11.25" customHeight="1">
      <c r="B380" s="40"/>
      <c r="C380" s="856"/>
      <c r="E380" s="2392"/>
      <c r="F380" s="2392"/>
      <c r="G380" s="2392"/>
      <c r="H380" s="2392"/>
      <c r="J380" s="2867" t="s">
        <v>3691</v>
      </c>
      <c r="K380" s="2867"/>
      <c r="L380" s="2867"/>
      <c r="M380" s="2867"/>
      <c r="N380" s="2788" t="s">
        <v>3689</v>
      </c>
      <c r="O380" s="2788"/>
      <c r="AE380" s="50"/>
      <c r="AF380" s="50"/>
    </row>
    <row r="381" spans="1:32" s="42" customFormat="1" ht="11.25" customHeight="1">
      <c r="A381" s="1476"/>
      <c r="B381" s="40" t="s">
        <v>1695</v>
      </c>
      <c r="C381" s="856" t="s">
        <v>3688</v>
      </c>
      <c r="E381" s="133"/>
      <c r="F381" s="133"/>
      <c r="G381" s="133"/>
      <c r="H381" s="133"/>
      <c r="I381" s="455" t="s">
        <v>1695</v>
      </c>
      <c r="J381" s="2744"/>
      <c r="K381" s="2745"/>
      <c r="L381" s="4195"/>
      <c r="M381" s="4196"/>
      <c r="N381" s="1056" t="str">
        <f>IF(J381="","",(J381-J373)/J381)</f>
        <v/>
      </c>
      <c r="O381" s="1057" t="str">
        <f>IF(L381="","",(L381-L373)/L381)</f>
        <v/>
      </c>
      <c r="P381" s="2264"/>
      <c r="Q381" s="1553"/>
      <c r="AE381" s="50"/>
      <c r="AF381" s="50"/>
    </row>
    <row r="382" spans="1:32" s="42" customFormat="1" ht="11.25" customHeight="1">
      <c r="A382" s="1476"/>
      <c r="B382" s="40" t="s">
        <v>1696</v>
      </c>
      <c r="C382" s="52" t="s">
        <v>3690</v>
      </c>
      <c r="E382" s="133"/>
      <c r="F382" s="133"/>
      <c r="G382" s="133"/>
      <c r="H382" s="133"/>
      <c r="N382" s="133"/>
      <c r="O382" s="455" t="s">
        <v>1696</v>
      </c>
      <c r="P382" s="2276"/>
      <c r="Q382" s="4197"/>
      <c r="AE382" s="50"/>
      <c r="AF382" s="50"/>
    </row>
    <row r="383" spans="1:32" s="42" customFormat="1" ht="11.25" customHeight="1">
      <c r="B383" s="40" t="s">
        <v>2304</v>
      </c>
      <c r="C383" s="52" t="s">
        <v>3692</v>
      </c>
      <c r="E383" s="133"/>
      <c r="F383" s="133"/>
      <c r="G383" s="133"/>
      <c r="H383" s="133"/>
      <c r="M383" s="133"/>
      <c r="N383" s="133"/>
      <c r="O383" s="455" t="s">
        <v>2304</v>
      </c>
      <c r="P383" s="2258"/>
      <c r="Q383" s="520"/>
      <c r="AE383" s="50"/>
      <c r="AF383" s="50"/>
    </row>
    <row r="384" spans="1:32" ht="10.5" customHeight="1">
      <c r="B384" s="140" t="s">
        <v>3566</v>
      </c>
      <c r="D384" s="140"/>
      <c r="E384" s="140"/>
      <c r="F384" s="140"/>
      <c r="G384" s="140"/>
      <c r="H384" s="40"/>
      <c r="I384" s="2397"/>
      <c r="J384" s="2397"/>
      <c r="K384" s="2397"/>
      <c r="L384" s="2374"/>
      <c r="M384" s="2374"/>
      <c r="N384" s="2374"/>
      <c r="O384" s="2374"/>
      <c r="P384" s="2374"/>
      <c r="Q384" s="855"/>
    </row>
    <row r="385" spans="1:31" ht="31.5" customHeight="1">
      <c r="A385" s="2698" t="s">
        <v>948</v>
      </c>
      <c r="B385" s="2699"/>
      <c r="C385" s="2699"/>
      <c r="D385" s="2699"/>
      <c r="E385" s="2699"/>
      <c r="F385" s="2699"/>
      <c r="G385" s="2699"/>
      <c r="H385" s="2699"/>
      <c r="I385" s="2699"/>
      <c r="J385" s="2699"/>
      <c r="K385" s="2699"/>
      <c r="L385" s="2699"/>
      <c r="M385" s="2699"/>
      <c r="N385" s="2699"/>
      <c r="O385" s="2699"/>
      <c r="P385" s="2699"/>
      <c r="Q385" s="2700"/>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22"/>
      <c r="B387" s="2823"/>
      <c r="C387" s="2823"/>
      <c r="D387" s="2823"/>
      <c r="E387" s="2823"/>
      <c r="F387" s="2823"/>
      <c r="G387" s="2823"/>
      <c r="H387" s="2823"/>
      <c r="I387" s="2823"/>
      <c r="J387" s="2823"/>
      <c r="K387" s="2823"/>
      <c r="L387" s="2823"/>
      <c r="M387" s="2823"/>
      <c r="N387" s="2823"/>
      <c r="O387" s="2823"/>
      <c r="P387" s="2823"/>
      <c r="Q387" s="2824"/>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3792</v>
      </c>
      <c r="B390" s="4" t="s">
        <v>2607</v>
      </c>
      <c r="C390" s="4"/>
      <c r="D390" s="4"/>
      <c r="E390" s="4"/>
      <c r="F390" s="4"/>
      <c r="G390" s="4"/>
      <c r="H390" s="2380"/>
      <c r="I390" s="2380"/>
      <c r="J390" s="2380"/>
      <c r="O390" s="131" t="s">
        <v>1820</v>
      </c>
      <c r="P390" s="2793"/>
      <c r="Q390" s="2794"/>
    </row>
    <row r="391" spans="1:31" ht="11.4" customHeight="1">
      <c r="A391" s="47" t="s">
        <v>1935</v>
      </c>
      <c r="B391" s="117" t="s">
        <v>1012</v>
      </c>
      <c r="E391" s="2848"/>
      <c r="F391" s="2849"/>
      <c r="G391" s="2849"/>
      <c r="H391" s="2849"/>
      <c r="I391" s="2850"/>
      <c r="J391" s="2851" t="s">
        <v>2594</v>
      </c>
      <c r="K391" s="2852"/>
      <c r="L391" s="2735"/>
      <c r="M391" s="2848"/>
      <c r="N391" s="2849"/>
      <c r="O391" s="2849"/>
      <c r="P391" s="2849"/>
      <c r="Q391" s="2850"/>
    </row>
    <row r="392" spans="1:31" ht="11.4" customHeight="1">
      <c r="A392" s="47" t="s">
        <v>1937</v>
      </c>
      <c r="B392" s="52" t="s">
        <v>3346</v>
      </c>
      <c r="D392" s="52"/>
      <c r="E392" s="52"/>
      <c r="F392" s="52"/>
      <c r="G392" s="52"/>
      <c r="H392" s="52"/>
      <c r="I392" s="52"/>
      <c r="J392" s="52"/>
      <c r="K392" s="52"/>
      <c r="L392" s="856"/>
      <c r="M392" s="856"/>
      <c r="O392" s="455" t="s">
        <v>1937</v>
      </c>
      <c r="P392" s="2256"/>
      <c r="Q392" s="518"/>
    </row>
    <row r="393" spans="1:31" ht="22.5" customHeight="1">
      <c r="A393" s="141" t="s">
        <v>731</v>
      </c>
      <c r="B393" s="2703" t="s">
        <v>3355</v>
      </c>
      <c r="C393" s="2703"/>
      <c r="D393" s="2703"/>
      <c r="E393" s="2703"/>
      <c r="F393" s="2703"/>
      <c r="G393" s="2703"/>
      <c r="H393" s="2703"/>
      <c r="I393" s="2703"/>
      <c r="J393" s="2703"/>
      <c r="K393" s="2703"/>
      <c r="L393" s="2703"/>
      <c r="M393" s="2703"/>
      <c r="N393" s="2703"/>
      <c r="O393" s="160" t="s">
        <v>731</v>
      </c>
      <c r="P393" s="2390"/>
      <c r="Q393" s="2393"/>
    </row>
    <row r="394" spans="1:31">
      <c r="A394" s="47" t="s">
        <v>2064</v>
      </c>
      <c r="B394" s="55" t="s">
        <v>3518</v>
      </c>
      <c r="G394" s="2392"/>
      <c r="H394" s="2392"/>
      <c r="I394" s="2392"/>
      <c r="J394" s="856" t="s">
        <v>3519</v>
      </c>
      <c r="L394" s="2392"/>
      <c r="M394" s="2875">
        <f>'Part III-Sources of Funds'!H5</f>
        <v>0</v>
      </c>
      <c r="N394" s="2876"/>
      <c r="O394" s="455" t="s">
        <v>2064</v>
      </c>
      <c r="P394" s="2258"/>
      <c r="Q394" s="520"/>
    </row>
    <row r="395" spans="1:31" ht="11.25" customHeight="1">
      <c r="B395" s="140" t="s">
        <v>3566</v>
      </c>
      <c r="D395" s="140"/>
      <c r="E395" s="140"/>
      <c r="F395" s="140"/>
      <c r="G395" s="140"/>
      <c r="H395" s="40"/>
      <c r="I395" s="2397"/>
      <c r="J395" s="2397"/>
      <c r="K395" s="2397"/>
      <c r="L395" s="2374"/>
      <c r="M395" s="2374"/>
      <c r="N395" s="2374"/>
      <c r="O395" s="2374"/>
      <c r="P395" s="2374"/>
      <c r="Q395" s="855"/>
    </row>
    <row r="396" spans="1:31" ht="11.4" customHeight="1">
      <c r="A396" s="2698" t="s">
        <v>948</v>
      </c>
      <c r="B396" s="2699"/>
      <c r="C396" s="2699"/>
      <c r="D396" s="2699"/>
      <c r="E396" s="2699"/>
      <c r="F396" s="2699"/>
      <c r="G396" s="2699"/>
      <c r="H396" s="2699"/>
      <c r="I396" s="2699"/>
      <c r="J396" s="2699"/>
      <c r="K396" s="2699"/>
      <c r="L396" s="2699"/>
      <c r="M396" s="2699"/>
      <c r="N396" s="2699"/>
      <c r="O396" s="2699"/>
      <c r="P396" s="2699"/>
      <c r="Q396" s="2700"/>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22"/>
      <c r="B398" s="2823"/>
      <c r="C398" s="2823"/>
      <c r="D398" s="2823"/>
      <c r="E398" s="2823"/>
      <c r="F398" s="2823"/>
      <c r="G398" s="2823"/>
      <c r="H398" s="2823"/>
      <c r="I398" s="2823"/>
      <c r="J398" s="2823"/>
      <c r="K398" s="2823"/>
      <c r="L398" s="2823"/>
      <c r="M398" s="2823"/>
      <c r="N398" s="2823"/>
      <c r="O398" s="2823"/>
      <c r="P398" s="2823"/>
      <c r="Q398" s="2824"/>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3793</v>
      </c>
      <c r="B400" s="4" t="s">
        <v>2592</v>
      </c>
      <c r="C400" s="4"/>
      <c r="D400" s="4"/>
      <c r="E400" s="2380"/>
      <c r="G400" s="139" t="s">
        <v>683</v>
      </c>
      <c r="H400" s="2380"/>
      <c r="I400" s="2380"/>
      <c r="J400" s="2380"/>
      <c r="K400" s="2380"/>
      <c r="L400" s="2380"/>
      <c r="M400" s="2380"/>
      <c r="O400" s="131" t="s">
        <v>1820</v>
      </c>
      <c r="P400" s="2793"/>
      <c r="Q400" s="4198"/>
    </row>
    <row r="401" spans="1:31" ht="12" customHeight="1">
      <c r="A401" s="47" t="s">
        <v>1935</v>
      </c>
      <c r="B401" s="52" t="s">
        <v>2596</v>
      </c>
      <c r="D401" s="857"/>
      <c r="E401" s="857"/>
      <c r="O401" s="455" t="s">
        <v>1935</v>
      </c>
      <c r="P401" s="2256"/>
      <c r="Q401" s="518"/>
    </row>
    <row r="402" spans="1:31" ht="12" customHeight="1">
      <c r="A402" s="47" t="s">
        <v>1937</v>
      </c>
      <c r="B402" s="52" t="s">
        <v>3442</v>
      </c>
      <c r="D402" s="857"/>
      <c r="E402" s="857"/>
      <c r="O402" s="455" t="s">
        <v>1937</v>
      </c>
      <c r="P402" s="2257"/>
      <c r="Q402" s="519"/>
    </row>
    <row r="403" spans="1:31" ht="12" customHeight="1">
      <c r="A403" s="47" t="s">
        <v>731</v>
      </c>
      <c r="B403" s="52" t="s">
        <v>4712</v>
      </c>
      <c r="D403" s="857"/>
      <c r="E403" s="857"/>
      <c r="O403" s="455" t="s">
        <v>731</v>
      </c>
      <c r="P403" s="2257"/>
      <c r="Q403" s="519"/>
    </row>
    <row r="404" spans="1:31" ht="12" customHeight="1">
      <c r="A404" s="47" t="s">
        <v>2064</v>
      </c>
      <c r="B404" s="52" t="s">
        <v>3443</v>
      </c>
      <c r="E404" s="139"/>
      <c r="O404" s="455" t="s">
        <v>2064</v>
      </c>
      <c r="P404" s="2257"/>
      <c r="Q404" s="519"/>
    </row>
    <row r="405" spans="1:31" ht="12" customHeight="1">
      <c r="A405" s="47" t="s">
        <v>1692</v>
      </c>
      <c r="B405" s="52" t="s">
        <v>2030</v>
      </c>
      <c r="E405" s="139"/>
      <c r="G405" s="455" t="s">
        <v>1692</v>
      </c>
      <c r="H405" s="2869"/>
      <c r="I405" s="2870"/>
      <c r="J405" s="2870"/>
      <c r="K405" s="2870"/>
      <c r="L405" s="2870"/>
      <c r="M405" s="2870"/>
      <c r="N405" s="2870"/>
      <c r="O405" s="2871"/>
      <c r="P405" s="2258"/>
      <c r="Q405" s="520"/>
    </row>
    <row r="406" spans="1:31" ht="11.25" customHeight="1">
      <c r="B406" s="140" t="s">
        <v>3566</v>
      </c>
      <c r="D406" s="140"/>
      <c r="E406" s="140"/>
      <c r="F406" s="140"/>
      <c r="G406" s="140"/>
      <c r="H406" s="40"/>
      <c r="I406" s="2397"/>
      <c r="J406" s="2397"/>
      <c r="K406" s="2397"/>
      <c r="L406" s="2374"/>
      <c r="M406" s="2374"/>
      <c r="N406" s="2374"/>
      <c r="O406" s="2374"/>
      <c r="P406" s="2374"/>
      <c r="Q406" s="855"/>
    </row>
    <row r="407" spans="1:31" ht="11.4" customHeight="1">
      <c r="A407" s="2698" t="s">
        <v>948</v>
      </c>
      <c r="B407" s="2699"/>
      <c r="C407" s="2699"/>
      <c r="D407" s="2699"/>
      <c r="E407" s="2699"/>
      <c r="F407" s="2699"/>
      <c r="G407" s="2699"/>
      <c r="H407" s="2699"/>
      <c r="I407" s="2699"/>
      <c r="J407" s="2699"/>
      <c r="K407" s="2699"/>
      <c r="L407" s="2699"/>
      <c r="M407" s="2699"/>
      <c r="N407" s="2699"/>
      <c r="O407" s="2699"/>
      <c r="P407" s="2699"/>
      <c r="Q407" s="2700"/>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22"/>
      <c r="B409" s="2823"/>
      <c r="C409" s="2823"/>
      <c r="D409" s="2823"/>
      <c r="E409" s="2823"/>
      <c r="F409" s="2823"/>
      <c r="G409" s="2823"/>
      <c r="H409" s="2823"/>
      <c r="I409" s="2823"/>
      <c r="J409" s="2823"/>
      <c r="K409" s="2823"/>
      <c r="L409" s="2823"/>
      <c r="M409" s="2823"/>
      <c r="N409" s="2823"/>
      <c r="O409" s="2823"/>
      <c r="P409" s="2823"/>
      <c r="Q409" s="2824"/>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3794</v>
      </c>
      <c r="B411" s="4" t="s">
        <v>4534</v>
      </c>
      <c r="C411" s="4"/>
      <c r="D411" s="4"/>
      <c r="E411" s="4"/>
      <c r="F411" s="4"/>
      <c r="G411" s="4"/>
      <c r="H411" s="2380"/>
      <c r="I411" s="2380"/>
      <c r="J411" s="2380"/>
      <c r="K411" s="2380"/>
      <c r="L411" s="2380"/>
      <c r="M411" s="2380"/>
      <c r="O411" s="131" t="s">
        <v>1820</v>
      </c>
      <c r="P411" s="4199"/>
      <c r="Q411" s="4200"/>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2888</v>
      </c>
      <c r="Q413" s="518"/>
    </row>
    <row r="414" spans="1:31" ht="12" customHeight="1">
      <c r="C414" s="36" t="s">
        <v>4713</v>
      </c>
      <c r="D414" s="55" t="s">
        <v>4714</v>
      </c>
      <c r="E414" s="42"/>
      <c r="F414" s="42"/>
      <c r="G414" s="42"/>
      <c r="H414" s="42"/>
      <c r="I414" s="42"/>
      <c r="J414" s="42"/>
      <c r="K414" s="42"/>
      <c r="L414" s="42"/>
      <c r="M414" s="42"/>
      <c r="N414" s="42"/>
      <c r="O414" s="455" t="s">
        <v>2371</v>
      </c>
      <c r="P414" s="2257"/>
      <c r="Q414" s="519"/>
    </row>
    <row r="415" spans="1:31" ht="12" customHeight="1">
      <c r="B415" s="52"/>
      <c r="C415" s="52" t="s">
        <v>2372</v>
      </c>
      <c r="D415" s="55" t="s">
        <v>4715</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3356</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03" t="s">
        <v>2718</v>
      </c>
      <c r="D420" s="2703"/>
      <c r="E420" s="2703"/>
      <c r="F420" s="2703"/>
      <c r="G420" s="134" t="s">
        <v>4542</v>
      </c>
      <c r="J420" s="2277"/>
      <c r="K420" s="4201"/>
      <c r="M420" s="134" t="s">
        <v>4543</v>
      </c>
      <c r="P420" s="2278"/>
      <c r="Q420" s="4202"/>
    </row>
    <row r="421" spans="1:32" ht="12" customHeight="1">
      <c r="A421" s="47"/>
      <c r="C421" s="2703"/>
      <c r="D421" s="2703"/>
      <c r="E421" s="2703"/>
      <c r="F421" s="2703"/>
      <c r="G421" s="134" t="s">
        <v>4544</v>
      </c>
      <c r="J421" s="2278"/>
      <c r="K421" s="4202"/>
      <c r="M421" s="134" t="s">
        <v>4545</v>
      </c>
      <c r="P421" s="2279"/>
      <c r="Q421" s="4203"/>
    </row>
    <row r="422" spans="1:32" ht="12" customHeight="1">
      <c r="A422" s="47"/>
      <c r="C422" s="2703"/>
      <c r="D422" s="2703"/>
      <c r="E422" s="2703"/>
      <c r="F422" s="2703"/>
      <c r="G422" s="134" t="s">
        <v>4546</v>
      </c>
      <c r="J422" s="2279"/>
      <c r="K422" s="4203"/>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2855"/>
      <c r="N425" s="2856"/>
      <c r="O425" s="2856"/>
      <c r="P425" s="2856"/>
      <c r="Q425" s="2857"/>
    </row>
    <row r="426" spans="1:32" ht="12" customHeight="1">
      <c r="A426" s="42"/>
      <c r="G426" s="427" t="s">
        <v>4537</v>
      </c>
      <c r="H426" s="856"/>
      <c r="J426" s="2258"/>
      <c r="K426" s="520"/>
      <c r="M426" s="2858"/>
      <c r="N426" s="2859"/>
      <c r="O426" s="2859"/>
      <c r="P426" s="2859"/>
      <c r="Q426" s="2860"/>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2394</v>
      </c>
      <c r="E428" s="427" t="s">
        <v>3645</v>
      </c>
      <c r="F428" s="856"/>
      <c r="G428" s="2842"/>
      <c r="H428" s="2843"/>
      <c r="I428" s="2843"/>
      <c r="J428" s="2843"/>
      <c r="K428" s="2844"/>
      <c r="L428" s="1438"/>
    </row>
    <row r="429" spans="1:32" ht="12" customHeight="1">
      <c r="B429" s="147"/>
      <c r="D429" s="1438" t="s">
        <v>4538</v>
      </c>
      <c r="E429" s="427" t="s">
        <v>4539</v>
      </c>
      <c r="F429" s="1438"/>
      <c r="G429" s="2845" t="s">
        <v>3521</v>
      </c>
      <c r="H429" s="2846"/>
      <c r="I429" s="2847"/>
      <c r="J429" s="427" t="s">
        <v>4276</v>
      </c>
      <c r="K429" s="147"/>
      <c r="M429" s="2842"/>
      <c r="N429" s="2843"/>
      <c r="O429" s="2843"/>
      <c r="P429" s="2843"/>
      <c r="Q429" s="2844"/>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4" customHeight="1">
      <c r="B431" s="2872"/>
      <c r="C431" s="2873"/>
      <c r="D431" s="2873"/>
      <c r="E431" s="2873"/>
      <c r="F431" s="2873"/>
      <c r="G431" s="2873"/>
      <c r="H431" s="2873"/>
      <c r="I431" s="2873"/>
      <c r="J431" s="2873"/>
      <c r="K431" s="2873"/>
      <c r="L431" s="2873"/>
      <c r="M431" s="2873"/>
      <c r="N431" s="2873"/>
      <c r="O431" s="2873"/>
      <c r="P431" s="2873"/>
      <c r="Q431" s="2874"/>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15" t="s">
        <v>4716</v>
      </c>
      <c r="C433" s="2703"/>
      <c r="D433" s="2703"/>
      <c r="E433" s="2703"/>
      <c r="F433" s="2703"/>
      <c r="G433" s="2703"/>
      <c r="H433" s="2703"/>
      <c r="I433" s="2703"/>
      <c r="J433" s="2703"/>
      <c r="K433" s="2703"/>
      <c r="L433" s="2703"/>
      <c r="M433" s="2703"/>
      <c r="N433" s="2703"/>
      <c r="T433" s="459"/>
      <c r="AE433" s="459"/>
      <c r="AF433" s="459"/>
    </row>
    <row r="434" spans="1:32" s="147" customFormat="1" ht="12" customHeight="1">
      <c r="A434" s="141"/>
      <c r="B434" s="842" t="s">
        <v>4549</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703" t="s">
        <v>4550</v>
      </c>
      <c r="C435" s="2703"/>
      <c r="D435" s="2703"/>
      <c r="E435" s="2703"/>
      <c r="F435" s="2703"/>
      <c r="G435" s="2703"/>
      <c r="H435" s="2703"/>
      <c r="I435" s="2703"/>
      <c r="J435" s="2703"/>
      <c r="K435" s="2703"/>
      <c r="L435" s="2703"/>
      <c r="M435" s="2703"/>
      <c r="N435" s="2703"/>
      <c r="O435" s="160" t="s">
        <v>1937</v>
      </c>
      <c r="P435" s="2280"/>
      <c r="Q435" s="4204"/>
      <c r="T435" s="459"/>
      <c r="AE435" s="459"/>
      <c r="AF435" s="459"/>
    </row>
    <row r="436" spans="1:32" ht="12" customHeight="1">
      <c r="B436" s="140" t="s">
        <v>3566</v>
      </c>
      <c r="D436" s="140"/>
      <c r="E436" s="140"/>
      <c r="F436" s="140"/>
      <c r="G436" s="140"/>
      <c r="H436" s="40"/>
      <c r="I436" s="2397"/>
      <c r="J436" s="2397"/>
      <c r="K436" s="2397"/>
    </row>
    <row r="437" spans="1:32" ht="33.6" customHeight="1">
      <c r="A437" s="2698" t="s">
        <v>7135</v>
      </c>
      <c r="B437" s="2699"/>
      <c r="C437" s="2699"/>
      <c r="D437" s="2699"/>
      <c r="E437" s="2699"/>
      <c r="F437" s="2699"/>
      <c r="G437" s="2699"/>
      <c r="H437" s="2699"/>
      <c r="I437" s="2699"/>
      <c r="J437" s="2699"/>
      <c r="K437" s="2699"/>
      <c r="L437" s="2699"/>
      <c r="M437" s="2699"/>
      <c r="N437" s="2699"/>
      <c r="O437" s="2699"/>
      <c r="P437" s="2699"/>
      <c r="Q437" s="2700"/>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22"/>
      <c r="B439" s="2823"/>
      <c r="C439" s="2823"/>
      <c r="D439" s="2823"/>
      <c r="E439" s="2823"/>
      <c r="F439" s="2823"/>
      <c r="G439" s="2823"/>
      <c r="H439" s="2823"/>
      <c r="I439" s="2823"/>
      <c r="J439" s="2823"/>
      <c r="K439" s="2823"/>
      <c r="L439" s="2823"/>
      <c r="M439" s="2823"/>
      <c r="N439" s="2823"/>
      <c r="O439" s="2823"/>
      <c r="P439" s="2823"/>
      <c r="Q439" s="2824"/>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3795</v>
      </c>
      <c r="B441" s="4" t="s">
        <v>2719</v>
      </c>
      <c r="C441" s="4"/>
      <c r="D441" s="86"/>
      <c r="E441" s="2380"/>
      <c r="F441" s="2380"/>
      <c r="G441" s="2380"/>
      <c r="H441" s="2380"/>
      <c r="O441" s="131" t="s">
        <v>1820</v>
      </c>
      <c r="P441" s="2793"/>
      <c r="Q441" s="2794"/>
    </row>
    <row r="442" spans="1:32" ht="14.1" customHeight="1">
      <c r="B442" s="86" t="s">
        <v>4460</v>
      </c>
      <c r="C442" s="4"/>
      <c r="D442" s="86"/>
      <c r="E442" s="2380"/>
      <c r="F442" s="2380"/>
      <c r="G442" s="2380"/>
      <c r="H442" s="2380"/>
    </row>
    <row r="443" spans="1:32" s="132" customFormat="1" ht="21.75" customHeight="1">
      <c r="A443" s="141" t="s">
        <v>1935</v>
      </c>
      <c r="B443" s="2713" t="s">
        <v>3694</v>
      </c>
      <c r="C443" s="2713"/>
      <c r="D443" s="2713"/>
      <c r="E443" s="2713"/>
      <c r="F443" s="2713"/>
      <c r="G443" s="2713"/>
      <c r="H443" s="2713"/>
      <c r="I443" s="2713"/>
      <c r="J443" s="2713"/>
      <c r="K443" s="2713"/>
      <c r="L443" s="2713"/>
      <c r="M443" s="2713"/>
      <c r="N443" s="2713"/>
      <c r="O443" s="160" t="s">
        <v>1935</v>
      </c>
      <c r="P443" s="2268" t="s">
        <v>7056</v>
      </c>
      <c r="Q443" s="1088"/>
      <c r="AE443" s="458"/>
      <c r="AF443" s="458"/>
    </row>
    <row r="444" spans="1:32" s="132" customFormat="1" ht="22.5" customHeight="1">
      <c r="A444" s="141" t="s">
        <v>1937</v>
      </c>
      <c r="B444" s="2713" t="s">
        <v>3693</v>
      </c>
      <c r="C444" s="2713"/>
      <c r="D444" s="2713"/>
      <c r="E444" s="2713"/>
      <c r="F444" s="2713"/>
      <c r="G444" s="2713"/>
      <c r="H444" s="2713"/>
      <c r="I444" s="2713"/>
      <c r="J444" s="2713"/>
      <c r="K444" s="2713"/>
      <c r="L444" s="2713"/>
      <c r="M444" s="2713"/>
      <c r="N444" s="2713"/>
      <c r="O444" s="160" t="s">
        <v>1937</v>
      </c>
      <c r="P444" s="2390" t="s">
        <v>7056</v>
      </c>
      <c r="Q444" s="2393"/>
      <c r="AE444" s="458"/>
      <c r="AF444" s="458"/>
    </row>
    <row r="445" spans="1:32" s="132" customFormat="1" ht="22.5" customHeight="1">
      <c r="B445" s="1488" t="s">
        <v>1694</v>
      </c>
      <c r="C445" s="2713" t="s">
        <v>4416</v>
      </c>
      <c r="D445" s="2713"/>
      <c r="E445" s="2713"/>
      <c r="F445" s="2713"/>
      <c r="G445" s="2713"/>
      <c r="H445" s="2713"/>
      <c r="I445" s="2713"/>
      <c r="J445" s="2713"/>
      <c r="K445" s="2713"/>
      <c r="L445" s="2713"/>
      <c r="M445" s="2713"/>
      <c r="N445" s="2713"/>
      <c r="O445" s="160" t="s">
        <v>1694</v>
      </c>
      <c r="P445" s="2390" t="s">
        <v>7056</v>
      </c>
      <c r="Q445" s="2393"/>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257" t="s">
        <v>7056</v>
      </c>
      <c r="Q446" s="519"/>
      <c r="AE446" s="50"/>
      <c r="AF446" s="50"/>
    </row>
    <row r="447" spans="1:32" s="132" customFormat="1" ht="33" customHeight="1">
      <c r="B447" s="468" t="s">
        <v>1696</v>
      </c>
      <c r="C447" s="2713" t="s">
        <v>4418</v>
      </c>
      <c r="D447" s="2713"/>
      <c r="E447" s="2713"/>
      <c r="F447" s="2713"/>
      <c r="G447" s="2713"/>
      <c r="H447" s="2713"/>
      <c r="I447" s="2713"/>
      <c r="J447" s="2713"/>
      <c r="K447" s="2713"/>
      <c r="L447" s="2713"/>
      <c r="M447" s="2713"/>
      <c r="N447" s="2713"/>
      <c r="O447" s="160" t="s">
        <v>1696</v>
      </c>
      <c r="P447" s="2390" t="s">
        <v>7056</v>
      </c>
      <c r="Q447" s="2393"/>
      <c r="AE447" s="458"/>
      <c r="AF447" s="458"/>
    </row>
    <row r="448" spans="1:32" s="132" customFormat="1" ht="22.5" customHeight="1">
      <c r="B448" s="468" t="s">
        <v>2304</v>
      </c>
      <c r="C448" s="2713" t="s">
        <v>4419</v>
      </c>
      <c r="D448" s="2713"/>
      <c r="E448" s="2713"/>
      <c r="F448" s="2713"/>
      <c r="G448" s="2713"/>
      <c r="H448" s="2713"/>
      <c r="I448" s="2713"/>
      <c r="J448" s="2713"/>
      <c r="K448" s="2713"/>
      <c r="L448" s="2713"/>
      <c r="M448" s="2713"/>
      <c r="N448" s="2713"/>
      <c r="O448" s="160" t="s">
        <v>2304</v>
      </c>
      <c r="P448" s="2390" t="s">
        <v>7056</v>
      </c>
      <c r="Q448" s="2393"/>
      <c r="AE448" s="458"/>
      <c r="AF448" s="458"/>
    </row>
    <row r="449" spans="1:32" s="132" customFormat="1" ht="22.5" customHeight="1">
      <c r="A449" s="141" t="s">
        <v>731</v>
      </c>
      <c r="B449" s="2713" t="s">
        <v>3695</v>
      </c>
      <c r="C449" s="2713"/>
      <c r="D449" s="2713"/>
      <c r="E449" s="2713"/>
      <c r="F449" s="2713"/>
      <c r="G449" s="2713"/>
      <c r="H449" s="2713"/>
      <c r="I449" s="2713"/>
      <c r="J449" s="2713"/>
      <c r="K449" s="2713"/>
      <c r="L449" s="2713"/>
      <c r="M449" s="2713"/>
      <c r="N449" s="2713"/>
      <c r="O449" s="160" t="s">
        <v>731</v>
      </c>
      <c r="P449" s="2390" t="s">
        <v>7056</v>
      </c>
      <c r="Q449" s="2393"/>
      <c r="AE449" s="458"/>
      <c r="AF449" s="458"/>
    </row>
    <row r="450" spans="1:32" s="132" customFormat="1" ht="22.5" customHeight="1">
      <c r="A450" s="141" t="s">
        <v>2064</v>
      </c>
      <c r="B450" s="2713" t="s">
        <v>4501</v>
      </c>
      <c r="C450" s="2713"/>
      <c r="D450" s="2713"/>
      <c r="E450" s="2713"/>
      <c r="F450" s="2713"/>
      <c r="G450" s="2713"/>
      <c r="H450" s="2713"/>
      <c r="I450" s="2713"/>
      <c r="J450" s="2713"/>
      <c r="K450" s="2713"/>
      <c r="L450" s="2713"/>
      <c r="M450" s="2713"/>
      <c r="N450" s="2713"/>
      <c r="O450" s="160" t="s">
        <v>2064</v>
      </c>
      <c r="P450" s="2390" t="s">
        <v>7056</v>
      </c>
      <c r="Q450" s="2393"/>
      <c r="AE450" s="458"/>
      <c r="AF450" s="458"/>
    </row>
    <row r="451" spans="1:32" s="132" customFormat="1" ht="21.75" customHeight="1">
      <c r="A451" s="141" t="s">
        <v>1692</v>
      </c>
      <c r="B451" s="2713" t="s">
        <v>4502</v>
      </c>
      <c r="C451" s="2713"/>
      <c r="D451" s="2713"/>
      <c r="E451" s="2713"/>
      <c r="F451" s="2713"/>
      <c r="G451" s="2713"/>
      <c r="H451" s="2713"/>
      <c r="I451" s="2713"/>
      <c r="J451" s="2713"/>
      <c r="K451" s="2713"/>
      <c r="L451" s="2713"/>
      <c r="M451" s="2713"/>
      <c r="N451" s="2713"/>
      <c r="O451" s="160" t="s">
        <v>1692</v>
      </c>
      <c r="P451" s="2390" t="s">
        <v>7056</v>
      </c>
      <c r="Q451" s="2393"/>
      <c r="AE451" s="458"/>
      <c r="AF451" s="458"/>
    </row>
    <row r="452" spans="1:32" s="411" customFormat="1" ht="21.75" customHeight="1">
      <c r="A452" s="141" t="s">
        <v>1693</v>
      </c>
      <c r="B452" s="2713" t="s">
        <v>4565</v>
      </c>
      <c r="C452" s="2713"/>
      <c r="D452" s="2713"/>
      <c r="E452" s="2713"/>
      <c r="F452" s="2713"/>
      <c r="G452" s="2713"/>
      <c r="H452" s="2713"/>
      <c r="I452" s="2713"/>
      <c r="J452" s="2713"/>
      <c r="K452" s="2713"/>
      <c r="L452" s="2713"/>
      <c r="M452" s="2713"/>
      <c r="N452" s="2713"/>
      <c r="O452" s="160" t="s">
        <v>1693</v>
      </c>
      <c r="P452" s="2391" t="s">
        <v>7056</v>
      </c>
      <c r="Q452" s="2251"/>
      <c r="AE452" s="460"/>
      <c r="AF452" s="460"/>
    </row>
    <row r="453" spans="1:32" ht="11.25" customHeight="1">
      <c r="B453" s="140" t="s">
        <v>3566</v>
      </c>
      <c r="D453" s="140"/>
      <c r="E453" s="140"/>
      <c r="F453" s="140"/>
      <c r="G453" s="140"/>
      <c r="H453" s="40"/>
      <c r="I453" s="2397"/>
      <c r="J453" s="2397"/>
      <c r="K453" s="2397"/>
      <c r="L453" s="2374"/>
      <c r="M453" s="2374"/>
      <c r="N453" s="2374"/>
      <c r="O453" s="2374"/>
      <c r="P453" s="2374"/>
      <c r="Q453" s="855"/>
    </row>
    <row r="454" spans="1:32" ht="33.6" customHeight="1">
      <c r="A454" s="2698" t="s">
        <v>7076</v>
      </c>
      <c r="B454" s="2699"/>
      <c r="C454" s="2699"/>
      <c r="D454" s="2699"/>
      <c r="E454" s="2699"/>
      <c r="F454" s="2699"/>
      <c r="G454" s="2699"/>
      <c r="H454" s="2699"/>
      <c r="I454" s="2699"/>
      <c r="J454" s="2699"/>
      <c r="K454" s="2699"/>
      <c r="L454" s="2699"/>
      <c r="M454" s="2699"/>
      <c r="N454" s="2699"/>
      <c r="O454" s="2699"/>
      <c r="P454" s="2699"/>
      <c r="Q454" s="2700"/>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22"/>
      <c r="B456" s="2823"/>
      <c r="C456" s="2823"/>
      <c r="D456" s="2823"/>
      <c r="E456" s="2823"/>
      <c r="F456" s="2823"/>
      <c r="G456" s="2823"/>
      <c r="H456" s="2823"/>
      <c r="I456" s="2823"/>
      <c r="J456" s="2823"/>
      <c r="K456" s="2823"/>
      <c r="L456" s="2823"/>
      <c r="M456" s="2823"/>
      <c r="N456" s="2823"/>
      <c r="O456" s="2823"/>
      <c r="P456" s="2823"/>
      <c r="Q456" s="2824"/>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3796</v>
      </c>
      <c r="C458" s="10" t="s">
        <v>2638</v>
      </c>
      <c r="D458" s="58"/>
      <c r="E458" s="52"/>
      <c r="J458" s="61"/>
      <c r="M458" s="2373"/>
      <c r="N458" s="6"/>
      <c r="O458" s="131" t="s">
        <v>1820</v>
      </c>
      <c r="P458" s="2793"/>
      <c r="Q458" s="2794"/>
    </row>
    <row r="459" spans="1:32" s="409" customFormat="1" ht="15" customHeight="1" thickBot="1">
      <c r="A459" s="141" t="s">
        <v>1935</v>
      </c>
      <c r="B459" s="2713" t="s">
        <v>4585</v>
      </c>
      <c r="C459" s="2713"/>
      <c r="D459" s="2713"/>
      <c r="E459" s="2713"/>
      <c r="F459" s="2713"/>
      <c r="G459" s="2713"/>
      <c r="H459" s="2713"/>
      <c r="I459" s="2713"/>
      <c r="J459" s="2696" t="s">
        <v>4456</v>
      </c>
      <c r="K459" s="2865"/>
      <c r="L459" s="1599" t="s">
        <v>4587</v>
      </c>
      <c r="M459" s="1517"/>
      <c r="N459" s="1513">
        <f>ROUNDUP('Part VI-Revenues &amp; Expenses'!$P$63*0.1,0)</f>
        <v>5</v>
      </c>
      <c r="O459" s="388" t="s">
        <v>1935</v>
      </c>
      <c r="P459" s="2854" t="s">
        <v>7056</v>
      </c>
      <c r="Q459" s="4205"/>
      <c r="R459" s="1512"/>
      <c r="S459" s="1512"/>
    </row>
    <row r="460" spans="1:32" s="409" customFormat="1" ht="15" customHeight="1">
      <c r="B460" s="2713"/>
      <c r="C460" s="2713"/>
      <c r="D460" s="2713"/>
      <c r="E460" s="2713"/>
      <c r="F460" s="2713"/>
      <c r="G460" s="2713"/>
      <c r="H460" s="2713"/>
      <c r="I460" s="2713"/>
      <c r="J460" s="2866">
        <f>'Part VI-Revenues &amp; Expenses'!$P$100</f>
        <v>0</v>
      </c>
      <c r="K460" s="2866"/>
      <c r="L460" s="1597" t="s">
        <v>4457</v>
      </c>
      <c r="M460" s="92"/>
      <c r="N460" s="1600">
        <f>'Part VI-Revenues &amp; Expenses'!$P$63</f>
        <v>48</v>
      </c>
      <c r="P460" s="2702"/>
      <c r="Q460" s="2701"/>
      <c r="R460" s="1512"/>
      <c r="S460" s="1512"/>
    </row>
    <row r="461" spans="1:32" s="409" customFormat="1" ht="15" customHeight="1">
      <c r="A461" s="141"/>
      <c r="B461" s="2713"/>
      <c r="C461" s="2713"/>
      <c r="D461" s="2713"/>
      <c r="E461" s="2713"/>
      <c r="F461" s="2713"/>
      <c r="G461" s="2713"/>
      <c r="H461" s="2713"/>
      <c r="I461" s="2713"/>
      <c r="J461" s="563"/>
      <c r="L461" s="856" t="s">
        <v>1749</v>
      </c>
      <c r="M461" s="92"/>
      <c r="N461" s="1602">
        <f>'Part VI-Revenues &amp; Expenses'!$P$67</f>
        <v>48</v>
      </c>
      <c r="P461" s="2702"/>
      <c r="Q461" s="2701"/>
    </row>
    <row r="462" spans="1:32" s="431" customFormat="1" ht="22.5" customHeight="1">
      <c r="A462" s="141" t="s">
        <v>1937</v>
      </c>
      <c r="B462" s="2713" t="s">
        <v>4591</v>
      </c>
      <c r="C462" s="2713"/>
      <c r="D462" s="2713"/>
      <c r="E462" s="2713"/>
      <c r="F462" s="2713"/>
      <c r="G462" s="2713"/>
      <c r="H462" s="2713"/>
      <c r="I462" s="2713"/>
      <c r="J462" s="2864" t="s">
        <v>4586</v>
      </c>
      <c r="K462" s="2788"/>
      <c r="L462" s="2861"/>
      <c r="M462" s="2862"/>
      <c r="N462" s="2863"/>
      <c r="O462" s="388" t="s">
        <v>1937</v>
      </c>
      <c r="P462" s="2390" t="s">
        <v>2885</v>
      </c>
      <c r="Q462" s="2393"/>
    </row>
    <row r="463" spans="1:32" s="431" customFormat="1" ht="12" customHeight="1" thickBot="1">
      <c r="A463" s="141" t="s">
        <v>731</v>
      </c>
      <c r="B463" s="2713" t="s">
        <v>4360</v>
      </c>
      <c r="C463" s="2713"/>
      <c r="D463" s="2713"/>
      <c r="E463" s="2713"/>
      <c r="F463" s="2713"/>
      <c r="G463" s="2713"/>
      <c r="H463" s="2713"/>
      <c r="I463" s="2713"/>
      <c r="J463" s="1065" t="s">
        <v>4280</v>
      </c>
      <c r="K463" s="1467">
        <f>'Part VI-Revenues &amp; Expenses'!$P$115</f>
        <v>48</v>
      </c>
      <c r="L463" s="1598" t="s">
        <v>4279</v>
      </c>
      <c r="M463" s="92"/>
      <c r="N463" s="1601">
        <f>ROUNDUP(N461*0.1,0)</f>
        <v>5</v>
      </c>
      <c r="O463" s="388" t="s">
        <v>731</v>
      </c>
      <c r="P463" s="2702" t="s">
        <v>2885</v>
      </c>
      <c r="Q463" s="2701"/>
      <c r="R463" s="1512"/>
      <c r="S463" s="1512"/>
    </row>
    <row r="464" spans="1:32" s="431" customFormat="1" ht="12" customHeight="1" thickBot="1">
      <c r="B464" s="2713"/>
      <c r="C464" s="2713"/>
      <c r="D464" s="2713"/>
      <c r="E464" s="2713"/>
      <c r="F464" s="2713"/>
      <c r="G464" s="2713"/>
      <c r="H464" s="2713"/>
      <c r="I464" s="2713"/>
      <c r="J464" s="1065" t="s">
        <v>4281</v>
      </c>
      <c r="K464" s="1468">
        <f>IF(N461=0,"",K463/N461)</f>
        <v>1</v>
      </c>
      <c r="L464" s="1515" t="s">
        <v>4455</v>
      </c>
      <c r="M464" s="1516"/>
      <c r="N464" s="1514">
        <f>'Part VI-Revenues &amp; Expenses'!$L$67/'Part VI-Revenues &amp; Expenses'!$P$67</f>
        <v>0.29166666666666669</v>
      </c>
      <c r="O464" s="388" t="str">
        <f>IF(AND(N464&lt;0.1,P463="Yes"), "Check!","")</f>
        <v/>
      </c>
      <c r="P464" s="2853"/>
      <c r="Q464" s="4206"/>
      <c r="R464" s="1512"/>
      <c r="S464" s="1512"/>
    </row>
    <row r="465" spans="1:32" s="94" customFormat="1" ht="12" customHeight="1">
      <c r="A465" s="47" t="s">
        <v>2064</v>
      </c>
      <c r="B465" s="554" t="s">
        <v>1938</v>
      </c>
      <c r="C465" s="1596" t="s">
        <v>4282</v>
      </c>
      <c r="D465" s="1596"/>
      <c r="E465" s="1596"/>
      <c r="F465" s="1596"/>
      <c r="G465" s="1596"/>
      <c r="H465" s="1596"/>
      <c r="I465" s="1596"/>
      <c r="J465" s="1596"/>
      <c r="K465" s="1596"/>
      <c r="L465" s="1596"/>
      <c r="M465" s="1596"/>
      <c r="N465" s="1596"/>
      <c r="O465" s="1603" t="s">
        <v>4588</v>
      </c>
      <c r="P465" s="2256" t="s">
        <v>2888</v>
      </c>
      <c r="Q465" s="518"/>
      <c r="AE465" s="461"/>
      <c r="AF465" s="461"/>
    </row>
    <row r="466" spans="1:32" s="94" customFormat="1">
      <c r="B466" s="554" t="s">
        <v>1940</v>
      </c>
      <c r="C466" s="1596" t="s">
        <v>4589</v>
      </c>
      <c r="D466" s="1596"/>
      <c r="E466" s="1596"/>
      <c r="F466" s="1596"/>
      <c r="G466" s="1596"/>
      <c r="H466" s="1596"/>
      <c r="I466" s="1596"/>
      <c r="J466" s="1596"/>
      <c r="K466" s="1596"/>
      <c r="L466" s="1596"/>
      <c r="M466" s="1596"/>
      <c r="N466" s="1596"/>
      <c r="O466" s="1603" t="s">
        <v>4590</v>
      </c>
      <c r="P466" s="2258"/>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21.75" customHeight="1">
      <c r="A468" s="2698" t="s">
        <v>7077</v>
      </c>
      <c r="B468" s="2699"/>
      <c r="C468" s="2699"/>
      <c r="D468" s="2699"/>
      <c r="E468" s="2699"/>
      <c r="F468" s="2699"/>
      <c r="G468" s="2699"/>
      <c r="H468" s="2699"/>
      <c r="I468" s="2699"/>
      <c r="J468" s="2699"/>
      <c r="K468" s="2699"/>
      <c r="L468" s="2699"/>
      <c r="M468" s="2699"/>
      <c r="N468" s="2699"/>
      <c r="O468" s="2699"/>
      <c r="P468" s="2699"/>
      <c r="Q468" s="2700"/>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22"/>
      <c r="B470" s="2823"/>
      <c r="C470" s="2823"/>
      <c r="D470" s="2823"/>
      <c r="E470" s="2823"/>
      <c r="F470" s="2823"/>
      <c r="G470" s="2823"/>
      <c r="H470" s="2823"/>
      <c r="I470" s="2823"/>
      <c r="J470" s="2823"/>
      <c r="K470" s="2823"/>
      <c r="L470" s="2823"/>
      <c r="M470" s="2823"/>
      <c r="N470" s="2823"/>
      <c r="O470" s="2823"/>
      <c r="P470" s="2823"/>
      <c r="Q470" s="2824"/>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4277</v>
      </c>
      <c r="B472" s="4"/>
      <c r="C472" s="4" t="s">
        <v>2593</v>
      </c>
      <c r="D472" s="86"/>
      <c r="E472" s="2380"/>
      <c r="F472" s="2380"/>
      <c r="G472" s="2380"/>
      <c r="H472" s="2380"/>
      <c r="J472" s="2380"/>
      <c r="K472" s="2380"/>
      <c r="L472" s="2380"/>
      <c r="M472" s="2380"/>
      <c r="O472" s="131" t="s">
        <v>1820</v>
      </c>
      <c r="P472" s="2793"/>
      <c r="Q472" s="2794"/>
    </row>
    <row r="473" spans="1:32" ht="11.25" customHeight="1">
      <c r="A473" s="2372"/>
      <c r="B473" s="140" t="s">
        <v>3566</v>
      </c>
      <c r="D473" s="140"/>
      <c r="E473" s="140"/>
      <c r="F473" s="140"/>
      <c r="G473" s="140"/>
      <c r="H473" s="40"/>
      <c r="I473" s="2397"/>
      <c r="J473" s="2397"/>
      <c r="K473" s="2397"/>
      <c r="L473" s="2374"/>
      <c r="M473" s="2374"/>
      <c r="N473" s="2374"/>
      <c r="O473" s="2374"/>
      <c r="P473" s="2374"/>
      <c r="Q473" s="855"/>
    </row>
    <row r="474" spans="1:32" ht="22.5" customHeight="1">
      <c r="A474" s="2698" t="s">
        <v>7078</v>
      </c>
      <c r="B474" s="2699"/>
      <c r="C474" s="2699"/>
      <c r="D474" s="2699"/>
      <c r="E474" s="2699"/>
      <c r="F474" s="2699"/>
      <c r="G474" s="2699"/>
      <c r="H474" s="2699"/>
      <c r="I474" s="2699"/>
      <c r="J474" s="2699"/>
      <c r="K474" s="2699"/>
      <c r="L474" s="2699"/>
      <c r="M474" s="2699"/>
      <c r="N474" s="2699"/>
      <c r="O474" s="2699"/>
      <c r="P474" s="2699"/>
      <c r="Q474" s="2700"/>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22"/>
      <c r="B476" s="2823"/>
      <c r="C476" s="2823"/>
      <c r="D476" s="2823"/>
      <c r="E476" s="2823"/>
      <c r="F476" s="2823"/>
      <c r="G476" s="2823"/>
      <c r="H476" s="2823"/>
      <c r="I476" s="2823"/>
      <c r="J476" s="2823"/>
      <c r="K476" s="2823"/>
      <c r="L476" s="2823"/>
      <c r="M476" s="2823"/>
      <c r="N476" s="2823"/>
      <c r="O476" s="2823"/>
      <c r="P476" s="2823"/>
      <c r="Q476" s="2824"/>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4278</v>
      </c>
      <c r="B479" s="4"/>
      <c r="C479" s="4" t="s">
        <v>4696</v>
      </c>
      <c r="D479" s="86"/>
      <c r="E479" s="2380"/>
      <c r="F479" s="2380"/>
      <c r="G479" s="2380"/>
      <c r="H479" s="2380"/>
      <c r="I479" s="2380"/>
      <c r="J479" s="2380"/>
      <c r="K479" s="2380"/>
      <c r="L479" s="2380"/>
      <c r="M479" s="2380"/>
      <c r="O479" s="131" t="s">
        <v>1820</v>
      </c>
      <c r="P479" s="2793"/>
      <c r="Q479" s="2794"/>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2078</v>
      </c>
      <c r="D490" s="997"/>
      <c r="E490" s="997"/>
      <c r="F490" s="997"/>
      <c r="G490" s="997"/>
      <c r="H490" s="997"/>
      <c r="I490" s="997"/>
      <c r="J490" s="1469" t="s">
        <v>1162</v>
      </c>
      <c r="N490" s="999"/>
      <c r="O490" s="998" t="s">
        <v>3626</v>
      </c>
      <c r="P490" s="1000"/>
      <c r="AE490" s="1721"/>
      <c r="AF490" s="1721"/>
    </row>
    <row r="491" spans="1:32" s="998" customFormat="1" ht="10.199999999999999">
      <c r="C491" s="1001" t="s">
        <v>2079</v>
      </c>
      <c r="J491" s="1469" t="s">
        <v>1682</v>
      </c>
      <c r="N491" s="999"/>
      <c r="O491" s="998" t="s">
        <v>3627</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2040</v>
      </c>
      <c r="E499" s="998"/>
      <c r="F499" s="998"/>
      <c r="G499" s="998"/>
      <c r="H499" s="998"/>
      <c r="I499" s="998"/>
      <c r="J499" s="998" t="s">
        <v>3581</v>
      </c>
      <c r="K499" s="998"/>
      <c r="L499" s="998"/>
      <c r="M499" s="998"/>
      <c r="AE499" s="1006"/>
      <c r="AF499" s="1006"/>
    </row>
    <row r="500" spans="3:32" s="997" customFormat="1" ht="10.199999999999999">
      <c r="C500" s="997" t="s">
        <v>2477</v>
      </c>
      <c r="D500" s="998"/>
      <c r="E500" s="998"/>
      <c r="F500" s="998"/>
      <c r="G500" s="998"/>
      <c r="I500" s="998"/>
      <c r="J500" s="998" t="s">
        <v>3582</v>
      </c>
      <c r="K500" s="998"/>
      <c r="L500" s="998"/>
      <c r="M500" s="998"/>
      <c r="AE500" s="1006"/>
      <c r="AF500" s="1006"/>
    </row>
    <row r="501" spans="3:32" s="997" customFormat="1" ht="10.199999999999999">
      <c r="C501" s="997" t="s">
        <v>2041</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3576</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4364</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2040</v>
      </c>
      <c r="M556" s="997" t="s">
        <v>4397</v>
      </c>
      <c r="AE556" s="1006"/>
      <c r="AF556" s="1006"/>
    </row>
    <row r="557" spans="3:32" s="997" customFormat="1" ht="10.199999999999999">
      <c r="C557" s="997" t="s">
        <v>2477</v>
      </c>
      <c r="M557" s="997" t="s">
        <v>4432</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4398</v>
      </c>
      <c r="AE559" s="1006"/>
      <c r="AF559" s="1006"/>
    </row>
    <row r="560" spans="3:32" s="997" customFormat="1" ht="10.199999999999999">
      <c r="C560" s="997" t="s">
        <v>573</v>
      </c>
      <c r="M560" s="1471" t="s">
        <v>4476</v>
      </c>
      <c r="AE560" s="1006"/>
      <c r="AF560" s="1006"/>
    </row>
    <row r="561" spans="3:32" s="997" customFormat="1" ht="10.199999999999999">
      <c r="C561" s="997" t="s">
        <v>2144</v>
      </c>
      <c r="M561" s="1471" t="s">
        <v>4477</v>
      </c>
      <c r="AE561" s="1006"/>
      <c r="AF561" s="1006"/>
    </row>
    <row r="562" spans="3:32" s="997" customFormat="1" ht="10.199999999999999">
      <c r="C562" s="1005" t="s">
        <v>31</v>
      </c>
      <c r="M562" s="997" t="s">
        <v>4399</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mL2lPh2xPqrujfgeBGQtO6EuGn8K5dtaP8udVLhkB4E7h142Hu1os/AgsejcvltTU6XEU3Q5pESaOaDXsXH/ew==" saltValue="l0PFiqrR8XRrIlP1+AUMS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J209:N209"/>
    <mergeCell ref="A175:Q175"/>
    <mergeCell ref="A177:Q177"/>
    <mergeCell ref="B162:L162"/>
    <mergeCell ref="N162:O162"/>
    <mergeCell ref="P162:Q162"/>
    <mergeCell ref="P131:Q131"/>
    <mergeCell ref="L136:P136"/>
    <mergeCell ref="A32:Q32"/>
    <mergeCell ref="A71:J71"/>
    <mergeCell ref="A75:J75"/>
    <mergeCell ref="A90:J90"/>
    <mergeCell ref="M94:P94"/>
    <mergeCell ref="A106:Q106"/>
    <mergeCell ref="B182:N182"/>
    <mergeCell ref="B181:N181"/>
    <mergeCell ref="B180:N180"/>
    <mergeCell ref="M171:N171"/>
    <mergeCell ref="P109:Q109"/>
    <mergeCell ref="M112:P112"/>
    <mergeCell ref="P39:Q41"/>
    <mergeCell ref="C119:N119"/>
    <mergeCell ref="J100:L100"/>
    <mergeCell ref="A37:E38"/>
    <mergeCell ref="O100:Q100"/>
    <mergeCell ref="P79:P80"/>
    <mergeCell ref="E101:G101"/>
    <mergeCell ref="J101:L101"/>
    <mergeCell ref="O101:Q101"/>
    <mergeCell ref="A128:Q128"/>
    <mergeCell ref="K255:O255"/>
    <mergeCell ref="A252:Q252"/>
    <mergeCell ref="K263:O263"/>
    <mergeCell ref="J215:N215"/>
    <mergeCell ref="J216:N216"/>
    <mergeCell ref="B215:G216"/>
    <mergeCell ref="P254:Q254"/>
    <mergeCell ref="P255:Q255"/>
    <mergeCell ref="K257:O257"/>
    <mergeCell ref="K229:N229"/>
    <mergeCell ref="P232:Q232"/>
    <mergeCell ref="C235:G235"/>
    <mergeCell ref="A250:Q250"/>
    <mergeCell ref="P256:Q256"/>
    <mergeCell ref="P257:Q257"/>
    <mergeCell ref="K259:O259"/>
    <mergeCell ref="P259:Q259"/>
    <mergeCell ref="K256:O256"/>
    <mergeCell ref="P263:Q263"/>
    <mergeCell ref="C198:N198"/>
    <mergeCell ref="C197:N197"/>
    <mergeCell ref="C195:N195"/>
    <mergeCell ref="A207:Q207"/>
    <mergeCell ref="P224:Q224"/>
    <mergeCell ref="M228:P228"/>
    <mergeCell ref="K227:L227"/>
    <mergeCell ref="K228:L228"/>
    <mergeCell ref="C237:G237"/>
    <mergeCell ref="I237:O237"/>
    <mergeCell ref="I236:O236"/>
    <mergeCell ref="K230:N230"/>
    <mergeCell ref="I235:O235"/>
    <mergeCell ref="I234:O234"/>
    <mergeCell ref="C236:G236"/>
    <mergeCell ref="B463:I464"/>
    <mergeCell ref="L462:N462"/>
    <mergeCell ref="J462:K462"/>
    <mergeCell ref="J459:K459"/>
    <mergeCell ref="P189:Q189"/>
    <mergeCell ref="B199:N199"/>
    <mergeCell ref="J460:K460"/>
    <mergeCell ref="B450:N450"/>
    <mergeCell ref="B449:N449"/>
    <mergeCell ref="J380:M380"/>
    <mergeCell ref="C369:F369"/>
    <mergeCell ref="A363:Q363"/>
    <mergeCell ref="A365:Q365"/>
    <mergeCell ref="P400:Q400"/>
    <mergeCell ref="H405:O405"/>
    <mergeCell ref="B431:Q431"/>
    <mergeCell ref="P367:Q367"/>
    <mergeCell ref="B444:N444"/>
    <mergeCell ref="B443:N443"/>
    <mergeCell ref="M394:N394"/>
    <mergeCell ref="A396:Q396"/>
    <mergeCell ref="C420:F422"/>
    <mergeCell ref="A398:Q398"/>
    <mergeCell ref="J208:N208"/>
    <mergeCell ref="B451:N451"/>
    <mergeCell ref="A454:Q454"/>
    <mergeCell ref="A456:Q456"/>
    <mergeCell ref="C445:N445"/>
    <mergeCell ref="B435:N435"/>
    <mergeCell ref="B433:N433"/>
    <mergeCell ref="P411:Q411"/>
    <mergeCell ref="B459:I461"/>
    <mergeCell ref="B462:I46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G428:K428"/>
    <mergeCell ref="P463:P464"/>
    <mergeCell ref="A409:Q409"/>
    <mergeCell ref="Q459:Q461"/>
    <mergeCell ref="P459:P461"/>
    <mergeCell ref="C448:N448"/>
    <mergeCell ref="C447:N447"/>
    <mergeCell ref="M425:Q426"/>
    <mergeCell ref="B183:N183"/>
    <mergeCell ref="A319:Q319"/>
    <mergeCell ref="A220:Q220"/>
    <mergeCell ref="A222:Q222"/>
    <mergeCell ref="C234:G234"/>
    <mergeCell ref="Q463:Q464"/>
    <mergeCell ref="P46:Q46"/>
    <mergeCell ref="P45:Q45"/>
    <mergeCell ref="P48:Q48"/>
    <mergeCell ref="A407:Q407"/>
    <mergeCell ref="C87:L88"/>
    <mergeCell ref="L86:Q86"/>
    <mergeCell ref="B79:J80"/>
    <mergeCell ref="P179:Q179"/>
    <mergeCell ref="A164:Q164"/>
    <mergeCell ref="A167:Q167"/>
    <mergeCell ref="P169:Q169"/>
    <mergeCell ref="M170:N170"/>
    <mergeCell ref="N172:O172"/>
    <mergeCell ref="P172:Q172"/>
    <mergeCell ref="K173:P173"/>
    <mergeCell ref="K90:Q90"/>
    <mergeCell ref="P92:Q92"/>
    <mergeCell ref="M95:P95"/>
    <mergeCell ref="P59:Q62"/>
    <mergeCell ref="P63:Q64"/>
    <mergeCell ref="E100:G100"/>
    <mergeCell ref="B103:N103"/>
    <mergeCell ref="A108:Q108"/>
    <mergeCell ref="H69:J69"/>
    <mergeCell ref="M69:O69"/>
    <mergeCell ref="P52:Q52"/>
    <mergeCell ref="P56:Q56"/>
    <mergeCell ref="P77:Q77"/>
    <mergeCell ref="K71:Q71"/>
    <mergeCell ref="J73:L73"/>
    <mergeCell ref="P73:Q73"/>
    <mergeCell ref="K75:Q75"/>
    <mergeCell ref="R1:S6"/>
    <mergeCell ref="P44:Q44"/>
    <mergeCell ref="A48:C50"/>
    <mergeCell ref="R22:S27"/>
    <mergeCell ref="A23:Q23"/>
    <mergeCell ref="A24:Q24"/>
    <mergeCell ref="A25:Q25"/>
    <mergeCell ref="A26:Q26"/>
    <mergeCell ref="A27:Q27"/>
    <mergeCell ref="P29:Q29"/>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J374:K374"/>
    <mergeCell ref="L374:M374"/>
    <mergeCell ref="J369:M369"/>
    <mergeCell ref="J370:Q370"/>
    <mergeCell ref="J372:K372"/>
    <mergeCell ref="A338:Q338"/>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S50:V62"/>
    <mergeCell ref="M96:P96"/>
    <mergeCell ref="C155:Q155"/>
    <mergeCell ref="P65:Q70"/>
    <mergeCell ref="C317:N317"/>
    <mergeCell ref="C316:N316"/>
    <mergeCell ref="C315:N315"/>
    <mergeCell ref="P339:Q339"/>
    <mergeCell ref="C300:N300"/>
    <mergeCell ref="C299:N299"/>
    <mergeCell ref="B361:N361"/>
    <mergeCell ref="B360:N360"/>
    <mergeCell ref="B393:N393"/>
    <mergeCell ref="B357:N357"/>
    <mergeCell ref="P390:Q390"/>
    <mergeCell ref="A321:Q321"/>
    <mergeCell ref="P322:Q322"/>
    <mergeCell ref="B326:N326"/>
    <mergeCell ref="C329:F329"/>
    <mergeCell ref="C332:N332"/>
    <mergeCell ref="A385:Q385"/>
    <mergeCell ref="A387:Q387"/>
    <mergeCell ref="N369:O369"/>
    <mergeCell ref="P369:Q369"/>
    <mergeCell ref="J373:K373"/>
    <mergeCell ref="J371:K371"/>
    <mergeCell ref="F375:G375"/>
    <mergeCell ref="J381:K381"/>
    <mergeCell ref="A336:Q336"/>
    <mergeCell ref="J376:K376"/>
    <mergeCell ref="L376:M376"/>
    <mergeCell ref="L373:M373"/>
    <mergeCell ref="O345:Q345"/>
    <mergeCell ref="A347:Q347"/>
    <mergeCell ref="G328:N328"/>
    <mergeCell ref="P297:Q297"/>
    <mergeCell ref="P275:Q275"/>
    <mergeCell ref="C308:H310"/>
    <mergeCell ref="O344:Q344"/>
    <mergeCell ref="C314:N314"/>
    <mergeCell ref="B312:N312"/>
    <mergeCell ref="A349:Q349"/>
    <mergeCell ref="B355:N355"/>
    <mergeCell ref="B354:N354"/>
    <mergeCell ref="B331:N331"/>
    <mergeCell ref="C333:N333"/>
    <mergeCell ref="L313:O313"/>
    <mergeCell ref="G329:N329"/>
    <mergeCell ref="C289:N289"/>
    <mergeCell ref="B281:N281"/>
    <mergeCell ref="A293:Q293"/>
    <mergeCell ref="C288:N288"/>
    <mergeCell ref="J303:L304"/>
    <mergeCell ref="A283:Q283"/>
    <mergeCell ref="Q306:Q307"/>
    <mergeCell ref="P306:P307"/>
    <mergeCell ref="A285:Q285"/>
    <mergeCell ref="P287:Q287"/>
    <mergeCell ref="C306:H307"/>
    <mergeCell ref="B269:N269"/>
    <mergeCell ref="B265:G266"/>
    <mergeCell ref="A295:Q295"/>
    <mergeCell ref="C303:H305"/>
    <mergeCell ref="A271:Q271"/>
    <mergeCell ref="A273:Q273"/>
    <mergeCell ref="M303:N303"/>
    <mergeCell ref="C301:N301"/>
    <mergeCell ref="C276:N276"/>
    <mergeCell ref="C279:N279"/>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174" zoomScaleNormal="100" workbookViewId="0">
      <selection activeCell="A17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2020-059 Dulles Park II, Gray, Jones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108" t="s">
        <v>4380</v>
      </c>
      <c r="B3" s="3108"/>
      <c r="C3" s="3108"/>
      <c r="D3" s="3108"/>
      <c r="E3" s="3108"/>
      <c r="F3" s="3108"/>
      <c r="G3" s="3108"/>
      <c r="H3" s="3108"/>
      <c r="I3" s="3108"/>
      <c r="J3" s="3108"/>
      <c r="K3" s="3108"/>
      <c r="L3" s="3108"/>
      <c r="M3" s="1096" t="s">
        <v>2162</v>
      </c>
      <c r="N3" s="73"/>
      <c r="O3" s="83" t="s">
        <v>2161</v>
      </c>
      <c r="P3" s="1097" t="s">
        <v>251</v>
      </c>
      <c r="Q3" s="1485"/>
      <c r="R3" s="1485"/>
      <c r="S3" s="1485"/>
    </row>
    <row r="4" spans="1:22" s="44" customFormat="1" ht="12" customHeight="1">
      <c r="A4" s="3108"/>
      <c r="B4" s="3108"/>
      <c r="C4" s="3108"/>
      <c r="D4" s="3108"/>
      <c r="E4" s="3108"/>
      <c r="F4" s="3108"/>
      <c r="G4" s="3108"/>
      <c r="H4" s="3108"/>
      <c r="I4" s="3108"/>
      <c r="J4" s="3108"/>
      <c r="K4" s="3108"/>
      <c r="L4" s="3108"/>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91" t="str">
        <f>'Part I-Project Information'!$B$6</f>
        <v>May 26, 2020 Version</v>
      </c>
      <c r="C6" s="3091"/>
      <c r="D6" s="3091"/>
      <c r="E6" s="3091"/>
      <c r="F6" s="3091"/>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4351</v>
      </c>
      <c r="I8" s="66"/>
      <c r="J8" s="66"/>
      <c r="K8" s="66"/>
      <c r="L8" s="66"/>
      <c r="M8" s="1426" t="s">
        <v>4350</v>
      </c>
      <c r="N8" s="66"/>
      <c r="O8" s="2281"/>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126" t="s">
        <v>3826</v>
      </c>
      <c r="G10" s="3126"/>
      <c r="H10" s="3126"/>
      <c r="I10" s="3126"/>
      <c r="J10" s="3126"/>
      <c r="K10" s="3126"/>
      <c r="L10" s="3126"/>
      <c r="M10" s="3126"/>
      <c r="N10" s="3126"/>
      <c r="O10" s="1461" t="s">
        <v>4290</v>
      </c>
      <c r="P10" s="1462">
        <f>SUM(P11:P23)</f>
        <v>0</v>
      </c>
      <c r="Q10" s="3164" t="s">
        <v>4441</v>
      </c>
      <c r="R10" s="3164"/>
      <c r="S10" s="3164"/>
      <c r="T10" s="3164"/>
      <c r="U10" s="3164"/>
      <c r="V10" s="3164"/>
    </row>
    <row r="11" spans="1:22" s="42" customFormat="1" ht="11.25" customHeight="1">
      <c r="A11" s="1113" t="s">
        <v>724</v>
      </c>
      <c r="B11" s="1114" t="s">
        <v>3813</v>
      </c>
      <c r="C11" s="1115"/>
      <c r="D11" s="1116"/>
      <c r="E11" s="1452">
        <f>$O$64</f>
        <v>10</v>
      </c>
      <c r="F11" s="3127" t="str">
        <f>$A$70</f>
        <v>The project is within two miles of numerous desirables, including but not limited to, grocery store, public school, restaurants, pharmacy, place of worship, bank and others. The project is eligible for 10 points in this scoring section and there are no undesirables.</v>
      </c>
      <c r="G11" s="3128"/>
      <c r="H11" s="3128"/>
      <c r="I11" s="3128"/>
      <c r="J11" s="3128"/>
      <c r="K11" s="3128"/>
      <c r="L11" s="3128"/>
      <c r="M11" s="3128"/>
      <c r="N11" s="3128"/>
      <c r="O11" s="3128"/>
      <c r="P11" s="4207"/>
      <c r="Q11" s="3164"/>
      <c r="R11" s="3164"/>
      <c r="S11" s="3164"/>
      <c r="T11" s="3164"/>
      <c r="U11" s="3164"/>
      <c r="V11" s="3164"/>
    </row>
    <row r="12" spans="1:22" s="42" customFormat="1" ht="11.25" customHeight="1">
      <c r="A12" s="1117" t="s">
        <v>1748</v>
      </c>
      <c r="B12" s="923" t="s">
        <v>4720</v>
      </c>
      <c r="C12" s="1036"/>
      <c r="D12" s="1118"/>
      <c r="E12" s="1453">
        <f>$O$74</f>
        <v>1</v>
      </c>
      <c r="F12" s="3092" t="str">
        <f>$A$107</f>
        <v>Please see tab 28 of the application for documentation regarding Jones County Transit Services. Service is publicized to the general public, available to all residents of the proposed development and has a local route.</v>
      </c>
      <c r="G12" s="3093"/>
      <c r="H12" s="3093"/>
      <c r="I12" s="3093"/>
      <c r="J12" s="3093"/>
      <c r="K12" s="3093"/>
      <c r="L12" s="3093"/>
      <c r="M12" s="3093"/>
      <c r="N12" s="3093"/>
      <c r="O12" s="3094"/>
      <c r="P12" s="4208"/>
      <c r="Q12" s="3172" t="str">
        <f>IF(OR($A$70="",$A$107="",$A$146="",$A$189="",$A$228="",$A$261="",$A$281="",$A$297="",$A$312="",$A$329="",$A$375="",$A$411="",$A$431=""),"Some Applicant Scoring Justification boxes are empty! Check to see if points claimed.","")</f>
        <v/>
      </c>
      <c r="R12" s="3173"/>
      <c r="S12" s="3173"/>
    </row>
    <row r="13" spans="1:22" s="42" customFormat="1" ht="11.25" customHeight="1">
      <c r="A13" s="1117" t="s">
        <v>1750</v>
      </c>
      <c r="B13" s="923" t="s">
        <v>4721</v>
      </c>
      <c r="C13" s="1036"/>
      <c r="D13" s="1118"/>
      <c r="E13" s="1453">
        <f>$O$112</f>
        <v>4</v>
      </c>
      <c r="F13" s="3092" t="str">
        <f>$A$146</f>
        <v xml:space="preserve">TMBB Consulting, Inc. will provide monthly preventive healthcare services and will act as the Health Service Coordinator for the services to ensure the services are carried out on a monthly basis and will monitor the progress of the program for reporting purposes.  In addition, TMC Management &amp; Realthy, Inc. will provide a Healthy Eating Initiative through its community garden and healthy eating education for its residents.  The cost for the Preventive Healthcare is estimated at $20,000 per year and the cost for associated with providing Healthy Eating Inititative is $3,500 per year, captured in the Revenues and Expenses tab within this core application. </v>
      </c>
      <c r="G13" s="3093"/>
      <c r="H13" s="3093"/>
      <c r="I13" s="3093"/>
      <c r="J13" s="3093"/>
      <c r="K13" s="3093"/>
      <c r="L13" s="3093"/>
      <c r="M13" s="3093"/>
      <c r="N13" s="3093"/>
      <c r="O13" s="3094"/>
      <c r="P13" s="4208"/>
      <c r="Q13" s="3172"/>
      <c r="R13" s="3173"/>
      <c r="S13" s="3173"/>
    </row>
    <row r="14" spans="1:22" s="42" customFormat="1" ht="11.25" customHeight="1">
      <c r="A14" s="1117" t="s">
        <v>516</v>
      </c>
      <c r="B14" s="923" t="s">
        <v>3814</v>
      </c>
      <c r="C14" s="1036"/>
      <c r="D14" s="1118"/>
      <c r="E14" s="1453">
        <f>$O$150</f>
        <v>1</v>
      </c>
      <c r="F14" s="3092" t="str">
        <f>$A$189</f>
        <v>The project falls within the school boundaries of Gray Elementary School, Gray Station Middle School and Jones County Hgh School. Gray Elementary School has an average 2017-2019 CCRPI score above the minimum and is therefore eligible for one point.</v>
      </c>
      <c r="G14" s="3093"/>
      <c r="H14" s="3093"/>
      <c r="I14" s="3093"/>
      <c r="J14" s="3093"/>
      <c r="K14" s="3093"/>
      <c r="L14" s="3093"/>
      <c r="M14" s="3093"/>
      <c r="N14" s="3093"/>
      <c r="O14" s="3094"/>
      <c r="P14" s="4208"/>
      <c r="Q14" s="3172"/>
      <c r="R14" s="3173"/>
      <c r="S14" s="3173"/>
    </row>
    <row r="15" spans="1:22" s="42" customFormat="1" ht="11.25" customHeight="1">
      <c r="A15" s="1117" t="s">
        <v>754</v>
      </c>
      <c r="B15" s="923" t="s">
        <v>3815</v>
      </c>
      <c r="C15" s="1036"/>
      <c r="D15" s="1118"/>
      <c r="E15" s="1454">
        <f>$O$193</f>
        <v>0</v>
      </c>
      <c r="F15" s="3092" t="str">
        <f>$A$228</f>
        <v>N/A</v>
      </c>
      <c r="G15" s="3093"/>
      <c r="H15" s="3093"/>
      <c r="I15" s="3093"/>
      <c r="J15" s="3093"/>
      <c r="K15" s="3093"/>
      <c r="L15" s="3093"/>
      <c r="M15" s="3093"/>
      <c r="N15" s="3093"/>
      <c r="O15" s="3094"/>
      <c r="P15" s="4208"/>
      <c r="Q15" s="3172"/>
      <c r="R15" s="3173"/>
      <c r="S15" s="3173"/>
    </row>
    <row r="16" spans="1:22" s="42" customFormat="1" ht="11.25" customHeight="1">
      <c r="A16" s="1123" t="s">
        <v>287</v>
      </c>
      <c r="B16" s="1124" t="s">
        <v>3816</v>
      </c>
      <c r="C16" s="1125"/>
      <c r="D16" s="1126"/>
      <c r="E16" s="1455" t="s">
        <v>1690</v>
      </c>
      <c r="F16" s="3145" t="str">
        <f>$A$261</f>
        <v>N/A</v>
      </c>
      <c r="G16" s="3146"/>
      <c r="H16" s="3146"/>
      <c r="I16" s="3146"/>
      <c r="J16" s="3146"/>
      <c r="K16" s="3146"/>
      <c r="L16" s="3146"/>
      <c r="M16" s="3146"/>
      <c r="N16" s="3146"/>
      <c r="O16" s="3147"/>
      <c r="P16" s="4208"/>
      <c r="Q16" s="3172"/>
      <c r="R16" s="3173"/>
      <c r="S16" s="3173"/>
    </row>
    <row r="17" spans="1:19" s="42" customFormat="1" ht="11.25" customHeight="1">
      <c r="A17" s="1117" t="s">
        <v>418</v>
      </c>
      <c r="B17" s="923" t="s">
        <v>4722</v>
      </c>
      <c r="C17" s="1036"/>
      <c r="D17" s="1118"/>
      <c r="E17" s="1453">
        <f>$O$265</f>
        <v>5</v>
      </c>
      <c r="F17" s="3092" t="str">
        <f>$A$281</f>
        <v xml:space="preserve">The proposed development is located in an area reporting an 8.05% poverty level, which is below the 10% poverty threshold .  The immediate area reports an Upper Income designation.  Further, the applicant is claiming 10 points for desirable activites.  Finally, the site is located in a census tract that is eligible for the Opportunity360 points.  Documentation to support the points claimed in this category may be found in Tab 33 Stable Communities folder.  </v>
      </c>
      <c r="G17" s="3093"/>
      <c r="H17" s="3093"/>
      <c r="I17" s="3093"/>
      <c r="J17" s="3093"/>
      <c r="K17" s="3093"/>
      <c r="L17" s="3093"/>
      <c r="M17" s="3093"/>
      <c r="N17" s="3093"/>
      <c r="O17" s="3094"/>
      <c r="P17" s="4208"/>
      <c r="Q17" s="3172"/>
      <c r="R17" s="3173"/>
      <c r="S17" s="3173"/>
    </row>
    <row r="18" spans="1:19" s="42" customFormat="1" ht="11.25" customHeight="1">
      <c r="A18" s="1117" t="s">
        <v>4346</v>
      </c>
      <c r="B18" s="923" t="s">
        <v>3598</v>
      </c>
      <c r="C18" s="1036"/>
      <c r="D18" s="1118"/>
      <c r="E18" s="1453">
        <f>$O$293</f>
        <v>0</v>
      </c>
      <c r="F18" s="3092" t="str">
        <f>$A$297</f>
        <v>N/A</v>
      </c>
      <c r="G18" s="3093"/>
      <c r="H18" s="3093"/>
      <c r="I18" s="3093"/>
      <c r="J18" s="3093"/>
      <c r="K18" s="3093"/>
      <c r="L18" s="3093"/>
      <c r="M18" s="3093"/>
      <c r="N18" s="3093"/>
      <c r="O18" s="3094"/>
      <c r="P18" s="4208"/>
      <c r="Q18" s="3172"/>
      <c r="R18" s="3173"/>
      <c r="S18" s="3173"/>
    </row>
    <row r="19" spans="1:19" s="42" customFormat="1" ht="11.25" customHeight="1">
      <c r="A19" s="1117" t="s">
        <v>4724</v>
      </c>
      <c r="B19" s="923" t="s">
        <v>4725</v>
      </c>
      <c r="C19" s="1036"/>
      <c r="D19" s="1118"/>
      <c r="E19" s="1455">
        <f>$O$301</f>
        <v>0</v>
      </c>
      <c r="F19" s="3092" t="str">
        <f>$A$312</f>
        <v>N/A</v>
      </c>
      <c r="G19" s="3093"/>
      <c r="H19" s="3093"/>
      <c r="I19" s="3093"/>
      <c r="J19" s="3093"/>
      <c r="K19" s="3093"/>
      <c r="L19" s="3093"/>
      <c r="M19" s="3093"/>
      <c r="N19" s="3093"/>
      <c r="O19" s="3094"/>
      <c r="P19" s="4208"/>
      <c r="Q19" s="3172"/>
      <c r="R19" s="3173"/>
      <c r="S19" s="3173"/>
    </row>
    <row r="20" spans="1:19" s="42" customFormat="1" ht="11.25" customHeight="1">
      <c r="A20" s="1117" t="s">
        <v>4739</v>
      </c>
      <c r="B20" s="923" t="s">
        <v>4726</v>
      </c>
      <c r="C20" s="1036"/>
      <c r="D20" s="1118"/>
      <c r="E20" s="1453">
        <f>$O$316</f>
        <v>4</v>
      </c>
      <c r="F20" s="3140" t="str">
        <f>$A$329</f>
        <v>There has only been one 9% development awarded within the City of Gray Ploitical Jurisdiction within the last 15 years.</v>
      </c>
      <c r="G20" s="3141"/>
      <c r="H20" s="3141"/>
      <c r="I20" s="3141"/>
      <c r="J20" s="3141"/>
      <c r="K20" s="3141"/>
      <c r="L20" s="3141"/>
      <c r="M20" s="3141"/>
      <c r="N20" s="3141"/>
      <c r="O20" s="3142"/>
      <c r="P20" s="4208"/>
      <c r="Q20" s="3172"/>
      <c r="R20" s="3173"/>
      <c r="S20" s="3173"/>
    </row>
    <row r="21" spans="1:19" s="42" customFormat="1" ht="11.25" customHeight="1">
      <c r="A21" s="1123" t="s">
        <v>3785</v>
      </c>
      <c r="B21" s="1124" t="s">
        <v>3817</v>
      </c>
      <c r="C21" s="1125"/>
      <c r="D21" s="1126"/>
      <c r="E21" s="1456">
        <f>$O$364</f>
        <v>1</v>
      </c>
      <c r="F21" s="3092" t="str">
        <f>$A$375</f>
        <v xml:space="preserve">Please see Tab 40 for documentation of the GICH support letter signed by the primary contact, Donald Black, stating support for the project and that the property lies within the GICH community boundaries. Also in Tab 40, there is the local government letter agreeing to the issuance of the letter from the GICH Team.            
</v>
      </c>
      <c r="G21" s="3093"/>
      <c r="H21" s="3093"/>
      <c r="I21" s="3093"/>
      <c r="J21" s="3093"/>
      <c r="K21" s="3093"/>
      <c r="L21" s="3093"/>
      <c r="M21" s="3093"/>
      <c r="N21" s="3093"/>
      <c r="O21" s="3094"/>
      <c r="P21" s="4208"/>
      <c r="Q21" s="3172"/>
      <c r="R21" s="3173"/>
      <c r="S21" s="3173"/>
    </row>
    <row r="22" spans="1:19" s="42" customFormat="1" ht="11.25" customHeight="1">
      <c r="A22" s="1117" t="s">
        <v>3786</v>
      </c>
      <c r="B22" s="923" t="s">
        <v>3818</v>
      </c>
      <c r="C22" s="1036"/>
      <c r="D22" s="1118"/>
      <c r="E22" s="1453">
        <f>$O$379</f>
        <v>0</v>
      </c>
      <c r="F22" s="3092" t="str">
        <f>$A$411</f>
        <v>NA</v>
      </c>
      <c r="G22" s="3093"/>
      <c r="H22" s="3093"/>
      <c r="I22" s="3093"/>
      <c r="J22" s="3093"/>
      <c r="K22" s="3093"/>
      <c r="L22" s="3093"/>
      <c r="M22" s="3093"/>
      <c r="N22" s="3093"/>
      <c r="O22" s="3094"/>
      <c r="P22" s="4208"/>
      <c r="Q22" s="3172"/>
      <c r="R22" s="3173"/>
      <c r="S22" s="3173"/>
    </row>
    <row r="23" spans="1:19" s="42" customFormat="1" ht="11.25" customHeight="1">
      <c r="A23" s="1119" t="s">
        <v>3784</v>
      </c>
      <c r="B23" s="1120" t="s">
        <v>3819</v>
      </c>
      <c r="C23" s="1121"/>
      <c r="D23" s="1122"/>
      <c r="E23" s="1457">
        <f>$O$415</f>
        <v>0</v>
      </c>
      <c r="F23" s="3123" t="str">
        <f>$A$431</f>
        <v>NA</v>
      </c>
      <c r="G23" s="3124"/>
      <c r="H23" s="3124"/>
      <c r="I23" s="3124"/>
      <c r="J23" s="3124"/>
      <c r="K23" s="3124"/>
      <c r="L23" s="3124"/>
      <c r="M23" s="3124"/>
      <c r="N23" s="3124"/>
      <c r="O23" s="3125"/>
      <c r="P23" s="4209"/>
      <c r="Q23" s="3172"/>
      <c r="R23" s="3173"/>
      <c r="S23" s="3173"/>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6"/>
      <c r="H25" s="172" t="s">
        <v>4349</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4285</v>
      </c>
      <c r="D27" s="48"/>
      <c r="E27" s="48"/>
      <c r="F27" s="2386"/>
      <c r="M27" s="6"/>
      <c r="N27" s="64" t="s">
        <v>1935</v>
      </c>
    </row>
    <row r="28" spans="1:19" s="43" customFormat="1" ht="11.25" customHeight="1">
      <c r="A28" s="178"/>
      <c r="B28" s="1429" t="s">
        <v>1938</v>
      </c>
      <c r="C28" s="110" t="s">
        <v>4288</v>
      </c>
      <c r="D28" s="48"/>
      <c r="E28" s="48"/>
      <c r="F28" s="2386"/>
      <c r="H28" s="172" t="s">
        <v>3480</v>
      </c>
      <c r="J28" s="49"/>
      <c r="M28" s="6"/>
      <c r="N28" s="388" t="s">
        <v>1938</v>
      </c>
      <c r="O28" s="2282"/>
      <c r="P28" s="1085">
        <f>F36</f>
        <v>0</v>
      </c>
    </row>
    <row r="29" spans="1:19" s="43" customFormat="1" ht="11.25" customHeight="1">
      <c r="A29" s="178"/>
      <c r="B29" s="1429" t="s">
        <v>1940</v>
      </c>
      <c r="C29" s="110" t="s">
        <v>4484</v>
      </c>
      <c r="D29" s="48"/>
      <c r="E29" s="48"/>
      <c r="F29" s="2386"/>
      <c r="H29" s="172" t="s">
        <v>4286</v>
      </c>
      <c r="J29" s="49"/>
      <c r="M29" s="6"/>
      <c r="N29" s="388" t="s">
        <v>1940</v>
      </c>
      <c r="O29" s="2283"/>
      <c r="P29" s="1422">
        <f>J36</f>
        <v>0</v>
      </c>
    </row>
    <row r="30" spans="1:19" s="43" customFormat="1" ht="11.25" customHeight="1">
      <c r="A30" s="178"/>
      <c r="B30" s="1429" t="s">
        <v>2467</v>
      </c>
      <c r="C30" s="110" t="s">
        <v>4287</v>
      </c>
      <c r="D30" s="48"/>
      <c r="E30" s="48"/>
      <c r="F30" s="2386"/>
      <c r="H30" s="172" t="s">
        <v>4291</v>
      </c>
      <c r="J30" s="49"/>
      <c r="M30" s="6"/>
      <c r="N30" s="388" t="s">
        <v>2467</v>
      </c>
      <c r="O30" s="2284"/>
      <c r="P30" s="4210"/>
    </row>
    <row r="31" spans="1:19" s="43" customFormat="1" ht="11.25" customHeight="1">
      <c r="C31" s="4211" t="s">
        <v>4458</v>
      </c>
      <c r="D31" s="4212"/>
      <c r="E31" s="4212"/>
      <c r="F31" s="4212"/>
      <c r="G31" s="4212"/>
      <c r="H31" s="4212"/>
      <c r="I31" s="4212"/>
      <c r="J31" s="4212"/>
      <c r="K31" s="4212"/>
      <c r="L31" s="4212"/>
      <c r="M31" s="4212"/>
      <c r="N31" s="4212"/>
      <c r="O31" s="4212"/>
      <c r="P31" s="421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6"/>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929" t="s">
        <v>6981</v>
      </c>
      <c r="B35" s="2929"/>
      <c r="C35" s="2929"/>
      <c r="D35" s="2929"/>
      <c r="E35" s="2929"/>
      <c r="F35" s="1420" t="s">
        <v>3810</v>
      </c>
      <c r="G35" s="3116" t="s">
        <v>6983</v>
      </c>
      <c r="H35" s="3116"/>
      <c r="I35" s="3116"/>
      <c r="J35" s="1420" t="s">
        <v>3810</v>
      </c>
      <c r="K35" s="3119" t="s">
        <v>6982</v>
      </c>
      <c r="L35" s="3119"/>
      <c r="M35" s="3119"/>
      <c r="N35" s="3119"/>
      <c r="O35" s="3114" t="s">
        <v>3810</v>
      </c>
      <c r="P35" s="3115"/>
      <c r="R35" s="442"/>
      <c r="S35" s="157"/>
    </row>
    <row r="36" spans="1:20" s="42" customFormat="1" ht="11.25" customHeight="1">
      <c r="A36" s="3113"/>
      <c r="B36" s="3113"/>
      <c r="C36" s="3113"/>
      <c r="D36" s="3113"/>
      <c r="E36" s="3113"/>
      <c r="F36" s="76">
        <f>SUM(F37:F48)</f>
        <v>0</v>
      </c>
      <c r="G36" s="3117"/>
      <c r="H36" s="3015"/>
      <c r="I36" s="3118"/>
      <c r="J36" s="76">
        <f>SUM(J37:J48)</f>
        <v>0</v>
      </c>
      <c r="K36" s="3120"/>
      <c r="L36" s="3121"/>
      <c r="M36" s="3121"/>
      <c r="N36" s="3122"/>
      <c r="O36" s="3109">
        <f>SUM(O37:O48)</f>
        <v>0</v>
      </c>
      <c r="P36" s="3110"/>
      <c r="Q36" s="442"/>
      <c r="R36" s="157"/>
    </row>
    <row r="37" spans="1:20" s="42" customFormat="1" ht="24.75" customHeight="1">
      <c r="A37" s="4214">
        <v>1</v>
      </c>
      <c r="B37" s="4215"/>
      <c r="C37" s="4215"/>
      <c r="D37" s="4215"/>
      <c r="E37" s="4216"/>
      <c r="F37" s="4217"/>
      <c r="G37" s="4214">
        <v>1</v>
      </c>
      <c r="H37" s="4215"/>
      <c r="I37" s="4216"/>
      <c r="J37" s="844" t="s">
        <v>1690</v>
      </c>
      <c r="K37" s="4218">
        <v>1</v>
      </c>
      <c r="L37" s="4219"/>
      <c r="M37" s="4219"/>
      <c r="N37" s="4219"/>
      <c r="O37" s="3111" t="s">
        <v>1690</v>
      </c>
      <c r="P37" s="3112"/>
      <c r="Q37" s="440" t="s">
        <v>1228</v>
      </c>
      <c r="R37" s="157"/>
    </row>
    <row r="38" spans="1:20" s="42" customFormat="1" ht="24.75" customHeight="1">
      <c r="A38" s="4220">
        <v>2</v>
      </c>
      <c r="B38" s="4221"/>
      <c r="C38" s="4221"/>
      <c r="D38" s="4221"/>
      <c r="E38" s="4222"/>
      <c r="F38" s="4223"/>
      <c r="G38" s="4220">
        <v>2</v>
      </c>
      <c r="H38" s="4221"/>
      <c r="I38" s="4222"/>
      <c r="J38" s="4223"/>
      <c r="K38" s="4224">
        <v>2</v>
      </c>
      <c r="L38" s="4225"/>
      <c r="M38" s="4225"/>
      <c r="N38" s="4225"/>
      <c r="O38" s="4226"/>
      <c r="P38" s="4227"/>
      <c r="Q38" s="441"/>
      <c r="R38" s="157"/>
    </row>
    <row r="39" spans="1:20" s="42" customFormat="1" ht="24.75" customHeight="1">
      <c r="A39" s="4220">
        <v>3</v>
      </c>
      <c r="B39" s="4221"/>
      <c r="C39" s="4221"/>
      <c r="D39" s="4221"/>
      <c r="E39" s="4222"/>
      <c r="F39" s="4223"/>
      <c r="G39" s="4220">
        <v>3</v>
      </c>
      <c r="H39" s="4221"/>
      <c r="I39" s="4222"/>
      <c r="J39" s="1127" t="s">
        <v>2801</v>
      </c>
      <c r="K39" s="4224">
        <v>3</v>
      </c>
      <c r="L39" s="4225"/>
      <c r="M39" s="4225"/>
      <c r="N39" s="4225"/>
      <c r="O39" s="3103" t="s">
        <v>2801</v>
      </c>
      <c r="P39" s="3104"/>
      <c r="Q39" s="3008" t="s">
        <v>4289</v>
      </c>
      <c r="R39" s="3009"/>
      <c r="S39" s="1423"/>
      <c r="T39" s="1423"/>
    </row>
    <row r="40" spans="1:20" s="42" customFormat="1" ht="24.75" customHeight="1">
      <c r="A40" s="4220">
        <v>4</v>
      </c>
      <c r="B40" s="4221"/>
      <c r="C40" s="4221"/>
      <c r="D40" s="4221"/>
      <c r="E40" s="4222"/>
      <c r="F40" s="4223"/>
      <c r="G40" s="4220">
        <v>4</v>
      </c>
      <c r="H40" s="4221"/>
      <c r="I40" s="4222"/>
      <c r="J40" s="4223"/>
      <c r="K40" s="4224">
        <v>4</v>
      </c>
      <c r="L40" s="4225"/>
      <c r="M40" s="4225"/>
      <c r="N40" s="4225"/>
      <c r="O40" s="3103" t="s">
        <v>2801</v>
      </c>
      <c r="P40" s="3104"/>
      <c r="Q40" s="3008"/>
      <c r="R40" s="3009"/>
      <c r="S40" s="1423"/>
      <c r="T40" s="1423"/>
    </row>
    <row r="41" spans="1:20" s="42" customFormat="1" ht="24.75" customHeight="1">
      <c r="A41" s="4220">
        <v>5</v>
      </c>
      <c r="B41" s="4221"/>
      <c r="C41" s="4221"/>
      <c r="D41" s="4221"/>
      <c r="E41" s="4222"/>
      <c r="F41" s="4223"/>
      <c r="G41" s="4220">
        <v>5</v>
      </c>
      <c r="H41" s="4221"/>
      <c r="I41" s="4222"/>
      <c r="J41" s="1127" t="s">
        <v>3444</v>
      </c>
      <c r="K41" s="4224">
        <v>5</v>
      </c>
      <c r="L41" s="4225"/>
      <c r="M41" s="4225"/>
      <c r="N41" s="4225"/>
      <c r="O41" s="4226"/>
      <c r="P41" s="4227"/>
      <c r="Q41" s="3008"/>
      <c r="R41" s="3009"/>
      <c r="S41" s="1423"/>
      <c r="T41" s="1423"/>
    </row>
    <row r="42" spans="1:20" s="42" customFormat="1" ht="24" customHeight="1">
      <c r="A42" s="4220">
        <v>6</v>
      </c>
      <c r="B42" s="4221"/>
      <c r="C42" s="4221"/>
      <c r="D42" s="4221"/>
      <c r="E42" s="4222"/>
      <c r="F42" s="4223"/>
      <c r="G42" s="4220">
        <v>6</v>
      </c>
      <c r="H42" s="4221"/>
      <c r="I42" s="4222"/>
      <c r="J42" s="4223"/>
      <c r="K42" s="4224">
        <v>6</v>
      </c>
      <c r="L42" s="4225"/>
      <c r="M42" s="4225"/>
      <c r="N42" s="4225"/>
      <c r="O42" s="4226"/>
      <c r="P42" s="4227"/>
      <c r="Q42" s="3008"/>
      <c r="R42" s="3009"/>
    </row>
    <row r="43" spans="1:20" s="42" customFormat="1" ht="10.5" customHeight="1">
      <c r="A43" s="4220">
        <v>7</v>
      </c>
      <c r="B43" s="4221"/>
      <c r="C43" s="4221"/>
      <c r="D43" s="4221"/>
      <c r="E43" s="4222"/>
      <c r="F43" s="4223"/>
      <c r="G43" s="4220">
        <v>7</v>
      </c>
      <c r="H43" s="4221"/>
      <c r="I43" s="4222"/>
      <c r="J43" s="1127" t="s">
        <v>3445</v>
      </c>
      <c r="K43" s="4224">
        <v>7</v>
      </c>
      <c r="L43" s="4225"/>
      <c r="M43" s="4225"/>
      <c r="N43" s="4225"/>
      <c r="O43" s="4226"/>
      <c r="P43" s="4227"/>
      <c r="Q43" s="157"/>
      <c r="R43" s="157"/>
    </row>
    <row r="44" spans="1:20" s="42" customFormat="1" ht="10.5" customHeight="1">
      <c r="A44" s="4220">
        <v>8</v>
      </c>
      <c r="B44" s="4221"/>
      <c r="C44" s="4221"/>
      <c r="D44" s="4221"/>
      <c r="E44" s="4222"/>
      <c r="F44" s="4223"/>
      <c r="G44" s="4220">
        <v>8</v>
      </c>
      <c r="H44" s="4221"/>
      <c r="I44" s="4222"/>
      <c r="J44" s="4223"/>
      <c r="K44" s="4224">
        <v>8</v>
      </c>
      <c r="L44" s="4225"/>
      <c r="M44" s="4225"/>
      <c r="N44" s="4225"/>
      <c r="O44" s="4226"/>
      <c r="P44" s="4227"/>
      <c r="Q44" s="157"/>
      <c r="R44" s="157"/>
    </row>
    <row r="45" spans="1:20" s="42" customFormat="1" ht="11.25" customHeight="1">
      <c r="A45" s="4220">
        <v>9</v>
      </c>
      <c r="B45" s="4221"/>
      <c r="C45" s="4221"/>
      <c r="D45" s="4221"/>
      <c r="E45" s="4222"/>
      <c r="F45" s="4223"/>
      <c r="G45" s="4220">
        <v>9</v>
      </c>
      <c r="H45" s="4221"/>
      <c r="I45" s="4222"/>
      <c r="J45" s="1127" t="s">
        <v>3446</v>
      </c>
      <c r="K45" s="4224">
        <v>9</v>
      </c>
      <c r="L45" s="4225"/>
      <c r="M45" s="4225"/>
      <c r="N45" s="4225"/>
      <c r="O45" s="4226"/>
      <c r="P45" s="4227"/>
      <c r="Q45" s="157"/>
      <c r="R45" s="157"/>
    </row>
    <row r="46" spans="1:20" s="42" customFormat="1" ht="11.25" customHeight="1">
      <c r="A46" s="4220">
        <v>10</v>
      </c>
      <c r="B46" s="4221"/>
      <c r="C46" s="4221"/>
      <c r="D46" s="4221"/>
      <c r="E46" s="4222"/>
      <c r="F46" s="4223"/>
      <c r="G46" s="4220">
        <v>10</v>
      </c>
      <c r="H46" s="4221"/>
      <c r="I46" s="4222"/>
      <c r="J46" s="4223"/>
      <c r="K46" s="4224">
        <v>10</v>
      </c>
      <c r="L46" s="4225"/>
      <c r="M46" s="4225"/>
      <c r="N46" s="4225"/>
      <c r="O46" s="4226"/>
      <c r="P46" s="4227"/>
      <c r="Q46" s="157"/>
    </row>
    <row r="47" spans="1:20" s="42" customFormat="1" ht="11.25" customHeight="1">
      <c r="A47" s="4220">
        <v>11</v>
      </c>
      <c r="B47" s="4221"/>
      <c r="C47" s="4221"/>
      <c r="D47" s="4221"/>
      <c r="E47" s="4222"/>
      <c r="F47" s="4223"/>
      <c r="G47" s="4220">
        <v>11</v>
      </c>
      <c r="H47" s="4221"/>
      <c r="I47" s="4222"/>
      <c r="J47" s="1127" t="s">
        <v>3447</v>
      </c>
      <c r="K47" s="4220">
        <v>11</v>
      </c>
      <c r="L47" s="4221"/>
      <c r="M47" s="4221"/>
      <c r="N47" s="4222"/>
      <c r="O47" s="4226"/>
      <c r="P47" s="4227"/>
      <c r="Q47" s="157"/>
      <c r="R47" s="157"/>
    </row>
    <row r="48" spans="1:20" s="42" customFormat="1" ht="11.25" customHeight="1">
      <c r="A48" s="4228">
        <v>12</v>
      </c>
      <c r="B48" s="4229"/>
      <c r="C48" s="4229"/>
      <c r="D48" s="4229"/>
      <c r="E48" s="4230"/>
      <c r="F48" s="4231"/>
      <c r="G48" s="4228">
        <v>12</v>
      </c>
      <c r="H48" s="4229"/>
      <c r="I48" s="4230"/>
      <c r="J48" s="4231"/>
      <c r="K48" s="4228">
        <v>12</v>
      </c>
      <c r="L48" s="4229"/>
      <c r="M48" s="4229"/>
      <c r="N48" s="4230"/>
      <c r="O48" s="4232"/>
      <c r="P48" s="4233"/>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1935</v>
      </c>
      <c r="B52" s="864" t="s">
        <v>2556</v>
      </c>
      <c r="E52" s="57"/>
      <c r="G52" s="87"/>
      <c r="H52" s="55" t="s">
        <v>4439</v>
      </c>
      <c r="J52" s="1500"/>
      <c r="K52" s="1500" t="str">
        <f>'Part I-Project Information'!$K$94</f>
        <v>Income Averaging</v>
      </c>
      <c r="M52" s="846"/>
      <c r="N52" s="7"/>
      <c r="Q52" s="7"/>
      <c r="R52" s="374"/>
    </row>
    <row r="53" spans="1:18" s="102" customFormat="1" ht="9" customHeight="1">
      <c r="A53" s="138"/>
      <c r="B53" s="3010" t="s">
        <v>4293</v>
      </c>
      <c r="C53" s="3010"/>
      <c r="D53" s="3010"/>
      <c r="E53" s="3010"/>
      <c r="F53" s="3010"/>
      <c r="G53" s="3010"/>
      <c r="H53" s="3010"/>
      <c r="I53" s="3010"/>
      <c r="J53" s="3010"/>
      <c r="K53" s="3010"/>
      <c r="L53" s="3010"/>
      <c r="M53" s="846"/>
      <c r="N53" s="7"/>
      <c r="Q53" s="7"/>
      <c r="R53" s="374"/>
    </row>
    <row r="54" spans="1:18" s="102" customFormat="1" ht="13.5" customHeight="1">
      <c r="B54" s="3010"/>
      <c r="C54" s="3010"/>
      <c r="D54" s="3010"/>
      <c r="E54" s="3010"/>
      <c r="F54" s="3010"/>
      <c r="G54" s="3010"/>
      <c r="H54" s="3010"/>
      <c r="I54" s="3010"/>
      <c r="J54" s="3010"/>
      <c r="K54" s="3010"/>
      <c r="L54" s="3010"/>
      <c r="M54" s="855">
        <v>2</v>
      </c>
      <c r="N54" s="388" t="s">
        <v>1935</v>
      </c>
      <c r="O54" s="869">
        <f>MIN($M54, O55+O56)</f>
        <v>2</v>
      </c>
      <c r="P54" s="869">
        <f>MIN($M54, P55+P56)</f>
        <v>0</v>
      </c>
    </row>
    <row r="55" spans="1:18" s="102" customFormat="1" ht="13.5" customHeight="1">
      <c r="A55" s="138"/>
      <c r="B55" s="1145" t="s">
        <v>1938</v>
      </c>
      <c r="C55" s="1430" t="s">
        <v>4294</v>
      </c>
      <c r="D55" s="52"/>
      <c r="H55" s="52" t="s">
        <v>4295</v>
      </c>
      <c r="I55" s="1427"/>
      <c r="K55" s="1502">
        <f>'Part VI-Revenues &amp; Expenses'!B49</f>
        <v>57.916666666666664</v>
      </c>
      <c r="L55" s="3107" t="str">
        <f>IF(AND(O55&gt;0,O56&gt;0), "CHOOSE EITHER A OR B, NOT BOTH!", "")</f>
        <v/>
      </c>
      <c r="M55" s="995">
        <v>2</v>
      </c>
      <c r="N55" s="174" t="s">
        <v>1938</v>
      </c>
      <c r="O55" s="2286">
        <v>2</v>
      </c>
      <c r="P55" s="4234"/>
      <c r="Q55" s="1477" t="str">
        <f>IF(OR($O55=$M55,$O55=0,$O55=""),"","*CHECK!*")</f>
        <v/>
      </c>
      <c r="R55" s="974" t="s">
        <v>4767</v>
      </c>
    </row>
    <row r="56" spans="1:18" s="102" customFormat="1" ht="13.5" customHeight="1">
      <c r="A56" s="1428" t="s">
        <v>3237</v>
      </c>
      <c r="B56" s="1145" t="s">
        <v>1940</v>
      </c>
      <c r="C56" s="1430" t="s">
        <v>4296</v>
      </c>
      <c r="D56" s="52"/>
      <c r="I56" s="1427"/>
      <c r="K56" s="52"/>
      <c r="L56" s="3107"/>
      <c r="M56" s="995">
        <v>2</v>
      </c>
      <c r="N56" s="174" t="s">
        <v>1940</v>
      </c>
      <c r="O56" s="2287"/>
      <c r="P56" s="4235"/>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105" t="s">
        <v>4297</v>
      </c>
      <c r="I58" s="3106"/>
      <c r="J58" s="1433" t="s">
        <v>4298</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8"/>
      <c r="I59" s="4236"/>
      <c r="J59" s="1432">
        <f>'Part VI-Revenues &amp; Expenses'!P65</f>
        <v>48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22"/>
      <c r="B62" s="2823"/>
      <c r="C62" s="2823"/>
      <c r="D62" s="2823"/>
      <c r="E62" s="2823"/>
      <c r="F62" s="2823"/>
      <c r="G62" s="2823"/>
      <c r="H62" s="2823"/>
      <c r="I62" s="2823"/>
      <c r="J62" s="2823"/>
      <c r="K62" s="2823"/>
      <c r="L62" s="2823"/>
      <c r="M62" s="2823"/>
      <c r="N62" s="2823"/>
      <c r="O62" s="2823"/>
      <c r="P62" s="2824"/>
      <c r="Q62" s="440"/>
    </row>
    <row r="63" spans="1:18" ht="7.5" customHeight="1" thickBot="1"/>
    <row r="64" spans="1:18" s="43" customFormat="1" ht="12.6" customHeight="1" thickBot="1">
      <c r="A64" s="152" t="s">
        <v>724</v>
      </c>
      <c r="B64" s="105" t="s">
        <v>3781</v>
      </c>
      <c r="D64" s="41"/>
      <c r="I64" s="2613" t="s">
        <v>3580</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2885</v>
      </c>
      <c r="P66" s="518"/>
    </row>
    <row r="67" spans="1:21" s="102" customFormat="1" ht="12" customHeight="1">
      <c r="A67" s="138" t="s">
        <v>1935</v>
      </c>
      <c r="B67" s="165" t="s">
        <v>1826</v>
      </c>
      <c r="C67" s="4"/>
      <c r="D67" s="4"/>
      <c r="F67" s="295"/>
      <c r="H67" s="821" t="s">
        <v>2637</v>
      </c>
      <c r="I67" s="3130" t="s">
        <v>4727</v>
      </c>
      <c r="J67" s="3131"/>
      <c r="K67" s="3131"/>
      <c r="L67" s="3132"/>
      <c r="M67" s="72">
        <v>10</v>
      </c>
      <c r="N67" s="174" t="s">
        <v>1935</v>
      </c>
      <c r="O67" s="2286">
        <v>10</v>
      </c>
      <c r="P67" s="4234"/>
      <c r="Q67" s="1477" t="str">
        <f>IF(OR($O67=$M67,$O67=0,$O67=""),"","*CHECK!*")</f>
        <v/>
      </c>
      <c r="R67" s="974" t="s">
        <v>4767</v>
      </c>
    </row>
    <row r="68" spans="1:21" s="102" customFormat="1" ht="12.6" customHeight="1">
      <c r="A68" s="138" t="s">
        <v>1937</v>
      </c>
      <c r="B68" s="165" t="s">
        <v>3629</v>
      </c>
      <c r="D68" s="1063"/>
      <c r="F68" s="1501"/>
      <c r="H68" s="821" t="s">
        <v>3729</v>
      </c>
      <c r="I68" s="3133"/>
      <c r="J68" s="3134"/>
      <c r="K68" s="3134"/>
      <c r="L68" s="3135"/>
      <c r="M68" s="2397" t="s">
        <v>1212</v>
      </c>
      <c r="N68" s="455" t="s">
        <v>1937</v>
      </c>
      <c r="O68" s="2287"/>
      <c r="P68" s="4235"/>
      <c r="R68" s="974" t="s">
        <v>4767</v>
      </c>
    </row>
    <row r="69" spans="1:21" s="43" customFormat="1" ht="11.25" customHeight="1" thickBot="1">
      <c r="A69" s="42"/>
      <c r="B69" s="1132" t="s">
        <v>3567</v>
      </c>
      <c r="C69" s="42"/>
      <c r="D69" s="48"/>
      <c r="E69" s="48"/>
      <c r="F69" s="48"/>
      <c r="G69" s="48"/>
      <c r="H69" s="36"/>
      <c r="I69" s="3136"/>
      <c r="J69" s="3137"/>
      <c r="K69" s="3137"/>
      <c r="L69" s="3138"/>
      <c r="M69" s="46"/>
      <c r="N69" s="62"/>
      <c r="O69" s="3"/>
      <c r="P69" s="2377"/>
    </row>
    <row r="70" spans="1:21" s="43" customFormat="1" ht="90" customHeight="1" thickTop="1" thickBot="1">
      <c r="A70" s="3003" t="s">
        <v>7114</v>
      </c>
      <c r="B70" s="3004"/>
      <c r="C70" s="3004"/>
      <c r="D70" s="3004"/>
      <c r="E70" s="3004"/>
      <c r="F70" s="3004"/>
      <c r="G70" s="3004"/>
      <c r="H70" s="3004"/>
      <c r="I70" s="3004"/>
      <c r="J70" s="3004"/>
      <c r="K70" s="3004"/>
      <c r="L70" s="3004"/>
      <c r="M70" s="3004"/>
      <c r="N70" s="3004"/>
      <c r="O70" s="3004"/>
      <c r="P70" s="3005"/>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22"/>
      <c r="B72" s="2823"/>
      <c r="C72" s="2823"/>
      <c r="D72" s="2823"/>
      <c r="E72" s="2823"/>
      <c r="F72" s="2823"/>
      <c r="G72" s="2823"/>
      <c r="H72" s="2823"/>
      <c r="I72" s="2823"/>
      <c r="J72" s="2823"/>
      <c r="K72" s="2823"/>
      <c r="L72" s="2823"/>
      <c r="M72" s="2823"/>
      <c r="N72" s="2823"/>
      <c r="O72" s="2823"/>
      <c r="P72" s="2824"/>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1</v>
      </c>
      <c r="P74" s="1041">
        <f>IF($J$75="Flexible",MIN($M74,MAX(P89,P95)),IF(AND($J$75="Rural",P103&gt;0),MIN($M103,P103),0))</f>
        <v>0</v>
      </c>
      <c r="Q74" s="109" t="s">
        <v>433</v>
      </c>
      <c r="R74" s="3165" t="s">
        <v>4520</v>
      </c>
      <c r="S74" s="3165"/>
      <c r="T74" s="3165"/>
      <c r="U74" s="3165"/>
    </row>
    <row r="75" spans="1:21" s="43" customFormat="1" ht="17.25" customHeight="1">
      <c r="A75" s="152"/>
      <c r="B75" s="110" t="s">
        <v>3708</v>
      </c>
      <c r="D75" s="41"/>
      <c r="H75" s="165" t="s">
        <v>2702</v>
      </c>
      <c r="I75" s="505"/>
      <c r="J75" s="503" t="str">
        <f>'Part I-Project Information'!$H$105</f>
        <v>Rural</v>
      </c>
      <c r="K75" s="48"/>
      <c r="M75" s="2373"/>
      <c r="N75" s="455"/>
      <c r="O75" s="973" t="s">
        <v>3449</v>
      </c>
      <c r="P75" s="973" t="s">
        <v>3450</v>
      </c>
      <c r="Q75" s="109"/>
      <c r="R75" s="3165"/>
      <c r="S75" s="3165"/>
      <c r="T75" s="3165"/>
      <c r="U75" s="3165"/>
    </row>
    <row r="76" spans="1:21" s="43" customFormat="1" ht="11.25" customHeight="1">
      <c r="A76" s="152"/>
      <c r="B76" s="372" t="s">
        <v>1938</v>
      </c>
      <c r="C76" s="36" t="s">
        <v>4304</v>
      </c>
      <c r="D76" s="1063"/>
      <c r="E76" s="102"/>
      <c r="F76" s="102"/>
      <c r="G76" s="102"/>
      <c r="H76" s="45"/>
      <c r="I76" s="49"/>
      <c r="J76" s="48"/>
      <c r="K76" s="48"/>
      <c r="L76" s="102"/>
      <c r="M76" s="2373"/>
      <c r="N76" s="455"/>
      <c r="O76" s="2256" t="s">
        <v>2885</v>
      </c>
      <c r="P76" s="518"/>
      <c r="Q76" s="109"/>
      <c r="R76" s="3165"/>
      <c r="S76" s="3165"/>
      <c r="T76" s="3165"/>
      <c r="U76" s="3165"/>
    </row>
    <row r="77" spans="1:21" s="43" customFormat="1" ht="11.25" customHeight="1">
      <c r="A77" s="152"/>
      <c r="B77" s="372" t="s">
        <v>1940</v>
      </c>
      <c r="C77" s="36" t="s">
        <v>4305</v>
      </c>
      <c r="D77" s="1063"/>
      <c r="E77" s="102"/>
      <c r="F77" s="102"/>
      <c r="G77" s="102"/>
      <c r="H77" s="45"/>
      <c r="I77" s="49"/>
      <c r="J77" s="48"/>
      <c r="K77" s="48"/>
      <c r="L77" s="102"/>
      <c r="M77" s="102"/>
      <c r="N77" s="455"/>
      <c r="O77" s="2257" t="s">
        <v>2885</v>
      </c>
      <c r="P77" s="519"/>
      <c r="Q77" s="109"/>
      <c r="R77" s="3165"/>
      <c r="S77" s="3165"/>
      <c r="T77" s="3165"/>
      <c r="U77" s="3165"/>
    </row>
    <row r="78" spans="1:21" s="43" customFormat="1" ht="11.25" customHeight="1">
      <c r="A78" s="152"/>
      <c r="B78" s="372" t="s">
        <v>2467</v>
      </c>
      <c r="C78" s="36" t="s">
        <v>4306</v>
      </c>
      <c r="D78" s="1063"/>
      <c r="E78" s="102"/>
      <c r="F78" s="102"/>
      <c r="G78" s="102"/>
      <c r="H78" s="45"/>
      <c r="I78" s="49"/>
      <c r="J78" s="48"/>
      <c r="K78" s="48"/>
      <c r="L78" s="102"/>
      <c r="M78" s="102"/>
      <c r="N78" s="455"/>
      <c r="O78" s="2257" t="s">
        <v>2885</v>
      </c>
      <c r="P78" s="519"/>
      <c r="Q78" s="109"/>
      <c r="R78" s="3165"/>
      <c r="S78" s="3165"/>
      <c r="T78" s="3165"/>
      <c r="U78" s="3165"/>
    </row>
    <row r="79" spans="1:21" s="43" customFormat="1" ht="11.25" customHeight="1">
      <c r="A79" s="152"/>
      <c r="B79" s="372" t="s">
        <v>1198</v>
      </c>
      <c r="C79" s="36" t="s">
        <v>4300</v>
      </c>
      <c r="D79" s="1063"/>
      <c r="E79" s="102"/>
      <c r="F79" s="102"/>
      <c r="G79" s="102"/>
      <c r="H79" s="45"/>
      <c r="I79" s="49"/>
      <c r="J79" s="48"/>
      <c r="K79" s="48"/>
      <c r="L79" s="102"/>
      <c r="M79" s="102"/>
      <c r="N79" s="455"/>
      <c r="O79" s="2258" t="s">
        <v>7000</v>
      </c>
      <c r="P79" s="520"/>
      <c r="Q79" s="109"/>
      <c r="R79" s="3165"/>
      <c r="S79" s="3165"/>
      <c r="T79" s="3165"/>
      <c r="U79" s="3165"/>
    </row>
    <row r="80" spans="1:21" s="43" customFormat="1" ht="3" customHeight="1">
      <c r="A80" s="152"/>
      <c r="B80" s="105"/>
      <c r="D80" s="41"/>
      <c r="H80" s="45"/>
      <c r="I80" s="49"/>
      <c r="J80" s="48"/>
      <c r="K80" s="48"/>
      <c r="M80" s="2373"/>
      <c r="N80" s="455"/>
      <c r="O80" s="3"/>
      <c r="P80" s="3"/>
      <c r="Q80" s="109"/>
      <c r="R80" s="3165"/>
      <c r="S80" s="3165"/>
      <c r="T80" s="3165"/>
      <c r="U80" s="3165"/>
    </row>
    <row r="81" spans="1:21" s="43" customFormat="1" ht="13.5" customHeight="1">
      <c r="A81" s="152"/>
      <c r="B81" s="110" t="s">
        <v>3714</v>
      </c>
      <c r="D81" s="41"/>
      <c r="F81" s="3148" t="s">
        <v>3535</v>
      </c>
      <c r="G81" s="3148"/>
      <c r="H81" s="3148"/>
      <c r="I81" s="3148"/>
      <c r="J81" s="3148" t="s">
        <v>3536</v>
      </c>
      <c r="K81" s="3148"/>
      <c r="L81" s="3148"/>
      <c r="M81" s="3148"/>
      <c r="N81" s="455"/>
      <c r="O81" s="3149" t="s">
        <v>4440</v>
      </c>
      <c r="P81" s="3150"/>
      <c r="Q81" s="109"/>
      <c r="R81" s="3165"/>
      <c r="S81" s="3165"/>
      <c r="T81" s="3165"/>
      <c r="U81" s="3165"/>
    </row>
    <row r="82" spans="1:21" s="43" customFormat="1" ht="12.75" customHeight="1">
      <c r="A82" s="152"/>
      <c r="C82" s="480" t="s">
        <v>3713</v>
      </c>
      <c r="D82" s="582"/>
      <c r="E82" s="268"/>
      <c r="F82" s="3151" t="s">
        <v>7079</v>
      </c>
      <c r="G82" s="3152"/>
      <c r="H82" s="4237"/>
      <c r="I82" s="4238"/>
      <c r="J82" s="3166">
        <f>-83.544801</f>
        <v>-83.544801000000007</v>
      </c>
      <c r="K82" s="3152"/>
      <c r="L82" s="4237"/>
      <c r="M82" s="4238"/>
      <c r="N82" s="455"/>
      <c r="Q82" s="109"/>
      <c r="R82" s="3165"/>
      <c r="S82" s="3165"/>
      <c r="T82" s="3165"/>
      <c r="U82" s="3165"/>
    </row>
    <row r="83" spans="1:21" s="43" customFormat="1" ht="12.75" customHeight="1">
      <c r="A83" s="3037" t="s">
        <v>3809</v>
      </c>
      <c r="B83" s="3037"/>
      <c r="D83" s="1099" t="s">
        <v>3715</v>
      </c>
      <c r="E83" s="268"/>
      <c r="F83" s="3024">
        <v>33.00714</v>
      </c>
      <c r="G83" s="3025"/>
      <c r="H83" s="4239"/>
      <c r="I83" s="4240"/>
      <c r="J83" s="3024">
        <v>-83.544801000000007</v>
      </c>
      <c r="K83" s="3025"/>
      <c r="L83" s="4239"/>
      <c r="M83" s="4240"/>
      <c r="N83" s="455"/>
      <c r="O83" s="2289">
        <v>0</v>
      </c>
      <c r="P83" s="4241"/>
      <c r="Q83" s="109"/>
      <c r="R83" s="3165"/>
      <c r="S83" s="3165"/>
      <c r="T83" s="3165"/>
      <c r="U83" s="3165"/>
    </row>
    <row r="84" spans="1:21" s="43" customFormat="1" ht="12.75" customHeight="1">
      <c r="A84" s="3037"/>
      <c r="B84" s="3037"/>
      <c r="C84" s="480" t="s">
        <v>3779</v>
      </c>
      <c r="D84" s="582"/>
      <c r="E84" s="268"/>
      <c r="F84" s="3170"/>
      <c r="G84" s="3171"/>
      <c r="H84" s="4242"/>
      <c r="I84" s="4243"/>
      <c r="J84" s="3170"/>
      <c r="K84" s="3171"/>
      <c r="L84" s="4242"/>
      <c r="M84" s="4243"/>
      <c r="N84" s="455"/>
      <c r="O84" s="455"/>
      <c r="P84" s="455"/>
      <c r="Q84" s="109"/>
      <c r="R84" s="3165"/>
      <c r="S84" s="3165"/>
      <c r="T84" s="3165"/>
      <c r="U84" s="3165"/>
    </row>
    <row r="85" spans="1:21" s="43" customFormat="1" ht="12.75" customHeight="1">
      <c r="A85" s="3037"/>
      <c r="B85" s="3037"/>
      <c r="E85" s="1410" t="s">
        <v>3778</v>
      </c>
      <c r="F85" s="3040"/>
      <c r="G85" s="3041"/>
      <c r="H85" s="4244"/>
      <c r="I85" s="4245"/>
      <c r="J85" s="3040"/>
      <c r="K85" s="3041"/>
      <c r="L85" s="4244"/>
      <c r="M85" s="4245"/>
      <c r="N85" s="455"/>
      <c r="O85" s="2289"/>
      <c r="P85" s="4241"/>
      <c r="Q85" s="109"/>
      <c r="R85" s="3165"/>
      <c r="S85" s="3165"/>
      <c r="T85" s="3165"/>
      <c r="U85" s="3165"/>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3568</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3560</v>
      </c>
      <c r="D89" s="41"/>
      <c r="F89" s="45" t="s">
        <v>3639</v>
      </c>
      <c r="M89" s="2373">
        <v>6</v>
      </c>
      <c r="N89" s="388" t="s">
        <v>1935</v>
      </c>
      <c r="O89" s="976">
        <f>IF($J$75="Flexible",MIN($M89,O90+O91+O92),0)</f>
        <v>0</v>
      </c>
      <c r="P89" s="976">
        <f>IF($J$75="Flexible",MIN($M89,P90+P91+P92),0)</f>
        <v>0</v>
      </c>
      <c r="Q89" s="109"/>
    </row>
    <row r="90" spans="1:21" s="409" customFormat="1" ht="23.25" customHeight="1">
      <c r="B90" s="435" t="s">
        <v>1938</v>
      </c>
      <c r="C90" s="2713" t="s">
        <v>4301</v>
      </c>
      <c r="D90" s="2713"/>
      <c r="E90" s="2713"/>
      <c r="F90" s="2713"/>
      <c r="G90" s="2713"/>
      <c r="H90" s="2713"/>
      <c r="I90" s="3042" t="s">
        <v>3776</v>
      </c>
      <c r="J90" s="3043"/>
      <c r="K90" s="3043"/>
      <c r="L90" s="3044"/>
      <c r="M90" s="500">
        <v>5</v>
      </c>
      <c r="N90" s="469" t="s">
        <v>1938</v>
      </c>
      <c r="O90" s="2290"/>
      <c r="P90" s="4246"/>
      <c r="Q90" s="1477" t="str">
        <f>IF(OR($O90=$M90,$O90=0,$O90=""),"","*CHECK!*")</f>
        <v/>
      </c>
      <c r="R90" s="974" t="s">
        <v>4767</v>
      </c>
    </row>
    <row r="91" spans="1:21" s="409" customFormat="1" ht="12" customHeight="1">
      <c r="A91" s="560" t="s">
        <v>1326</v>
      </c>
      <c r="B91" s="435" t="s">
        <v>1940</v>
      </c>
      <c r="C91" s="389" t="s">
        <v>3709</v>
      </c>
      <c r="D91" s="389"/>
      <c r="E91" s="389"/>
      <c r="F91" s="389"/>
      <c r="G91" s="389"/>
      <c r="H91" s="2397" t="str">
        <f>IF(AND(O91&gt;0,O90&gt;0),"Pick A1 or A2!","")</f>
        <v/>
      </c>
      <c r="I91" s="3045"/>
      <c r="J91" s="3046"/>
      <c r="K91" s="3046"/>
      <c r="L91" s="3047"/>
      <c r="M91" s="72">
        <v>4</v>
      </c>
      <c r="N91" s="430" t="s">
        <v>1940</v>
      </c>
      <c r="O91" s="2286"/>
      <c r="P91" s="4234"/>
      <c r="Q91" s="1477" t="str">
        <f>IF(OR($O91=$M91,$O91=0,$O91=""),"","*CHECK!*")</f>
        <v/>
      </c>
      <c r="R91" s="974" t="s">
        <v>4767</v>
      </c>
    </row>
    <row r="92" spans="1:21" s="409" customFormat="1" ht="12" customHeight="1">
      <c r="B92" s="435" t="s">
        <v>2467</v>
      </c>
      <c r="C92" s="389" t="s">
        <v>3561</v>
      </c>
      <c r="D92" s="389"/>
      <c r="E92" s="389"/>
      <c r="F92" s="389"/>
      <c r="I92" s="3045"/>
      <c r="J92" s="3046"/>
      <c r="K92" s="3046"/>
      <c r="L92" s="3047"/>
      <c r="M92" s="72">
        <v>1</v>
      </c>
      <c r="N92" s="430" t="s">
        <v>2467</v>
      </c>
      <c r="O92" s="2287"/>
      <c r="P92" s="4235"/>
      <c r="Q92" s="1477" t="str">
        <f>IF(OR($O92=$M92,$O92=0,$O92=""),"","*CHECK!*")</f>
        <v/>
      </c>
      <c r="R92" s="974" t="s">
        <v>4767</v>
      </c>
    </row>
    <row r="93" spans="1:21" s="409" customFormat="1" ht="12" customHeight="1">
      <c r="B93" s="435"/>
      <c r="C93" s="821" t="s">
        <v>3777</v>
      </c>
      <c r="D93" s="389"/>
      <c r="E93" s="389"/>
      <c r="F93" s="1434" t="str">
        <f>'Part I-Project Information'!$H$82</f>
        <v>HFOP</v>
      </c>
      <c r="G93" s="821"/>
      <c r="H93" s="1434"/>
      <c r="I93" s="3045"/>
      <c r="J93" s="3046"/>
      <c r="K93" s="3046"/>
      <c r="L93" s="3047"/>
      <c r="M93" s="102"/>
      <c r="N93" s="102"/>
      <c r="O93" s="102"/>
      <c r="P93" s="102"/>
      <c r="Q93" s="978"/>
      <c r="R93" s="1079"/>
    </row>
    <row r="94" spans="1:21" s="409" customFormat="1" ht="12" customHeight="1">
      <c r="B94" s="435"/>
      <c r="C94" s="821"/>
      <c r="D94" s="389"/>
      <c r="E94" s="389"/>
      <c r="F94" s="1434"/>
      <c r="G94" s="821"/>
      <c r="H94" s="1434"/>
      <c r="I94" s="3048"/>
      <c r="J94" s="3049"/>
      <c r="K94" s="3049"/>
      <c r="L94" s="3050"/>
      <c r="M94" s="102"/>
      <c r="N94" s="102"/>
      <c r="O94" s="102"/>
      <c r="P94" s="102"/>
      <c r="Q94" s="978"/>
      <c r="R94" s="1079"/>
    </row>
    <row r="95" spans="1:21" s="409" customFormat="1" ht="12" customHeight="1">
      <c r="A95" s="143" t="s">
        <v>1937</v>
      </c>
      <c r="B95" s="1078" t="s">
        <v>3562</v>
      </c>
      <c r="C95" s="603"/>
      <c r="D95" s="603"/>
      <c r="E95" s="603"/>
      <c r="F95" s="1060" t="s">
        <v>3638</v>
      </c>
      <c r="I95" s="3051" t="s">
        <v>7080</v>
      </c>
      <c r="J95" s="3052"/>
      <c r="K95" s="3052"/>
      <c r="L95" s="3143" t="s">
        <v>7081</v>
      </c>
      <c r="M95" s="2373">
        <v>3</v>
      </c>
      <c r="N95" s="455" t="s">
        <v>1937</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053"/>
      <c r="J96" s="3054"/>
      <c r="K96" s="3054"/>
      <c r="L96" s="3144"/>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058" t="s">
        <v>7082</v>
      </c>
      <c r="J97" s="3059"/>
      <c r="K97" s="3059"/>
      <c r="L97" s="3060"/>
      <c r="M97" s="102"/>
      <c r="N97" s="385" t="s">
        <v>3591</v>
      </c>
      <c r="O97" s="2258"/>
      <c r="P97" s="520"/>
      <c r="Q97" s="109"/>
      <c r="R97" s="387"/>
      <c r="S97" s="409"/>
      <c r="T97" s="409"/>
      <c r="U97" s="409"/>
    </row>
    <row r="98" spans="1:21" s="409" customFormat="1" ht="12" customHeight="1">
      <c r="A98" s="138"/>
      <c r="B98" s="1503" t="s">
        <v>1938</v>
      </c>
      <c r="C98" s="2880" t="s">
        <v>3710</v>
      </c>
      <c r="D98" s="2880"/>
      <c r="E98" s="2880"/>
      <c r="F98" s="2880"/>
      <c r="G98" s="2880"/>
      <c r="H98" s="3129"/>
      <c r="I98" s="2984"/>
      <c r="J98" s="2985"/>
      <c r="K98" s="2985"/>
      <c r="L98" s="2986"/>
      <c r="M98" s="72">
        <v>3</v>
      </c>
      <c r="N98" s="430" t="s">
        <v>1938</v>
      </c>
      <c r="O98" s="2286"/>
      <c r="P98" s="4247"/>
      <c r="Q98" s="978" t="str">
        <f>IF(OR($O98=$M98,$O98=0,$O98=""),"","*CHECK!*")</f>
        <v/>
      </c>
      <c r="R98" s="974" t="s">
        <v>4767</v>
      </c>
    </row>
    <row r="99" spans="1:21" s="43" customFormat="1" ht="12" customHeight="1">
      <c r="A99" s="560" t="s">
        <v>1326</v>
      </c>
      <c r="B99" s="1503" t="s">
        <v>1940</v>
      </c>
      <c r="C99" s="2880" t="s">
        <v>3711</v>
      </c>
      <c r="D99" s="2880"/>
      <c r="E99" s="2880"/>
      <c r="F99" s="2880"/>
      <c r="G99" s="2880"/>
      <c r="H99" s="3129"/>
      <c r="I99" s="3058" t="s">
        <v>7083</v>
      </c>
      <c r="J99" s="3059"/>
      <c r="K99" s="3059"/>
      <c r="L99" s="3060"/>
      <c r="M99" s="72">
        <v>2</v>
      </c>
      <c r="N99" s="430" t="s">
        <v>1940</v>
      </c>
      <c r="O99" s="2286"/>
      <c r="P99" s="4234"/>
      <c r="Q99" s="978" t="str">
        <f>IF(OR($O99=$M99,$O99=0,$O99=""),"","*CHECK!*")</f>
        <v/>
      </c>
      <c r="R99" s="974" t="s">
        <v>4767</v>
      </c>
    </row>
    <row r="100" spans="1:21" s="43" customFormat="1" ht="14.25" customHeight="1">
      <c r="A100" s="560" t="s">
        <v>1326</v>
      </c>
      <c r="B100" s="1503" t="s">
        <v>2467</v>
      </c>
      <c r="C100" s="2880" t="s">
        <v>3712</v>
      </c>
      <c r="D100" s="2880"/>
      <c r="E100" s="2880"/>
      <c r="F100" s="2880"/>
      <c r="G100" s="2880"/>
      <c r="H100" s="3129"/>
      <c r="I100" s="2984"/>
      <c r="J100" s="2985"/>
      <c r="K100" s="2985"/>
      <c r="L100" s="2986"/>
      <c r="M100" s="72">
        <v>1</v>
      </c>
      <c r="N100" s="430" t="s">
        <v>2467</v>
      </c>
      <c r="O100" s="2287"/>
      <c r="P100" s="4235"/>
      <c r="Q100" s="978" t="str">
        <f>IF(OR($O100=$M100,$O100=0,$O100=""),"","*CHECK!*")</f>
        <v/>
      </c>
      <c r="R100" s="974" t="s">
        <v>4767</v>
      </c>
    </row>
    <row r="101" spans="1:21" s="43" customFormat="1" ht="14.25" customHeight="1">
      <c r="A101" s="1061"/>
      <c r="B101" s="1421"/>
      <c r="C101" s="2384"/>
      <c r="D101" s="2384"/>
      <c r="E101" s="2384"/>
      <c r="F101" s="3038" t="str">
        <f>IF(OR(AND(O98&gt;0,O99&gt;0,O100&gt;0),AND(O98&gt;0,O99&gt;0),AND(O98&gt;0,O100&gt;0),AND(O99&gt;0,O100&gt;0)),"Choose only one option: B1 or B2 or B3!","")</f>
        <v/>
      </c>
      <c r="G101" s="3038"/>
      <c r="H101" s="3039"/>
      <c r="I101" s="3058" t="s">
        <v>7083</v>
      </c>
      <c r="J101" s="3059"/>
      <c r="K101" s="3059"/>
      <c r="L101" s="3060"/>
      <c r="M101" s="102"/>
      <c r="N101" s="102"/>
      <c r="O101" s="102"/>
      <c r="P101" s="102"/>
      <c r="Q101" s="978"/>
      <c r="R101" s="1079"/>
    </row>
    <row r="102" spans="1:21" s="43" customFormat="1" ht="12.6" customHeight="1">
      <c r="A102" s="504" t="s">
        <v>2695</v>
      </c>
      <c r="B102" s="165"/>
      <c r="E102" s="41"/>
      <c r="I102" s="2981"/>
      <c r="J102" s="2982"/>
      <c r="K102" s="2982"/>
      <c r="L102" s="2983"/>
      <c r="M102" s="72"/>
      <c r="N102" s="72"/>
      <c r="O102" s="72"/>
      <c r="P102" s="72"/>
      <c r="Q102" s="374"/>
      <c r="R102" s="374"/>
    </row>
    <row r="103" spans="1:21" s="102" customFormat="1" ht="12" customHeight="1">
      <c r="A103" s="138"/>
      <c r="B103" s="435" t="s">
        <v>1198</v>
      </c>
      <c r="C103" s="3139" t="s">
        <v>4367</v>
      </c>
      <c r="D103" s="3139"/>
      <c r="E103" s="3139"/>
      <c r="F103" s="3139"/>
      <c r="G103" s="3139"/>
      <c r="H103" s="3139"/>
      <c r="I103" s="165"/>
      <c r="J103" s="165"/>
      <c r="K103" s="165"/>
      <c r="L103" s="165"/>
      <c r="M103" s="72">
        <v>1</v>
      </c>
      <c r="N103" s="430" t="s">
        <v>1198</v>
      </c>
      <c r="O103" s="2291">
        <v>1</v>
      </c>
      <c r="P103" s="4248"/>
      <c r="Q103" s="978" t="str">
        <f>IF(OR($O103=$M103,$O103=0,$O103=""),"","*CHECK!*")</f>
        <v/>
      </c>
      <c r="R103" s="974" t="s">
        <v>4767</v>
      </c>
    </row>
    <row r="104" spans="1:21" s="102" customFormat="1" ht="12" customHeight="1">
      <c r="A104" s="138"/>
      <c r="B104" s="435"/>
      <c r="C104" s="3139"/>
      <c r="D104" s="3139"/>
      <c r="E104" s="3139"/>
      <c r="F104" s="3139"/>
      <c r="G104" s="3139"/>
      <c r="H104" s="3139"/>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29.25" customHeight="1" thickTop="1" thickBot="1">
      <c r="A107" s="3003" t="s">
        <v>7113</v>
      </c>
      <c r="B107" s="3004"/>
      <c r="C107" s="3004"/>
      <c r="D107" s="3004"/>
      <c r="E107" s="3004"/>
      <c r="F107" s="3004"/>
      <c r="G107" s="3004"/>
      <c r="H107" s="3004"/>
      <c r="I107" s="3004"/>
      <c r="J107" s="3004"/>
      <c r="K107" s="3004"/>
      <c r="L107" s="3004"/>
      <c r="M107" s="3004"/>
      <c r="N107" s="3004"/>
      <c r="O107" s="3004"/>
      <c r="P107" s="3005"/>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22"/>
      <c r="B109" s="2823"/>
      <c r="C109" s="2823"/>
      <c r="D109" s="2823"/>
      <c r="E109" s="2823"/>
      <c r="F109" s="2823"/>
      <c r="G109" s="2823"/>
      <c r="H109" s="2823"/>
      <c r="I109" s="2823"/>
      <c r="J109" s="2823"/>
      <c r="K109" s="2823"/>
      <c r="L109" s="2823"/>
      <c r="M109" s="2823"/>
      <c r="N109" s="2823"/>
      <c r="O109" s="2823"/>
      <c r="P109" s="282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3727</v>
      </c>
      <c r="D112" s="39"/>
      <c r="E112" s="36"/>
      <c r="F112" s="846"/>
      <c r="G112" s="846"/>
      <c r="H112" s="846"/>
      <c r="I112" s="61" t="s">
        <v>3568</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3728</v>
      </c>
      <c r="C114" s="92"/>
      <c r="D114" s="1038"/>
      <c r="E114" s="52" t="s">
        <v>3783</v>
      </c>
      <c r="G114" s="113"/>
      <c r="I114" s="455" t="s">
        <v>3777</v>
      </c>
      <c r="J114" s="1105" t="str">
        <f>'Part I-Project Information'!$H$82</f>
        <v>HFOP</v>
      </c>
      <c r="K114" s="1063"/>
      <c r="L114" s="374" t="str">
        <f>IF(OR($O114=$M114,$O114=0,$O114=""),"","* * Check Score! * *")</f>
        <v/>
      </c>
      <c r="M114" s="72">
        <v>3</v>
      </c>
      <c r="N114" s="455" t="s">
        <v>1935</v>
      </c>
      <c r="O114" s="2292"/>
      <c r="P114" s="4249"/>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c r="P115" s="4250"/>
    </row>
    <row r="116" spans="1:20" s="36" customFormat="1" ht="21.6" customHeight="1">
      <c r="A116" s="63"/>
      <c r="B116" s="2713" t="s">
        <v>4728</v>
      </c>
      <c r="C116" s="2713"/>
      <c r="D116" s="3031"/>
      <c r="E116" s="3031"/>
      <c r="F116" s="3031"/>
      <c r="G116" s="3031"/>
      <c r="H116" s="3031"/>
      <c r="I116" s="3031"/>
      <c r="J116" s="3031"/>
      <c r="K116" s="3031"/>
      <c r="L116" s="3031"/>
      <c r="M116" s="3031"/>
      <c r="N116" s="3031"/>
      <c r="O116" s="3031"/>
      <c r="P116" s="3031"/>
      <c r="Q116" s="1023"/>
      <c r="R116" s="1023"/>
      <c r="S116" s="1023"/>
      <c r="T116" s="1023"/>
    </row>
    <row r="117" spans="1:20" s="102" customFormat="1" ht="21.6" customHeight="1">
      <c r="A117" s="178"/>
      <c r="B117" s="2703" t="s">
        <v>4307</v>
      </c>
      <c r="C117" s="2703"/>
      <c r="D117" s="2703"/>
      <c r="E117" s="3032"/>
      <c r="F117" s="3032"/>
      <c r="G117" s="3032"/>
      <c r="H117" s="3032"/>
      <c r="I117" s="3032"/>
      <c r="J117" s="3032"/>
      <c r="K117" s="3032"/>
      <c r="L117" s="3032"/>
      <c r="M117" s="3032"/>
      <c r="N117" s="3032"/>
      <c r="O117" s="3032"/>
      <c r="P117" s="3032"/>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92">
        <v>3</v>
      </c>
      <c r="P119" s="4249"/>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81" t="s">
        <v>2885</v>
      </c>
      <c r="P120" s="2379"/>
      <c r="Q120" s="1023"/>
      <c r="R120" s="1023"/>
      <c r="S120" s="1023"/>
      <c r="T120" s="1023"/>
    </row>
    <row r="121" spans="1:20" s="409" customFormat="1" ht="21" customHeight="1">
      <c r="A121" s="1780"/>
      <c r="B121" s="1421" t="s">
        <v>1938</v>
      </c>
      <c r="C121" s="136" t="s">
        <v>4612</v>
      </c>
      <c r="D121" s="3033" t="s">
        <v>4307</v>
      </c>
      <c r="E121" s="3033"/>
      <c r="F121" s="3033"/>
      <c r="G121" s="3031" t="s">
        <v>7115</v>
      </c>
      <c r="H121" s="3031"/>
      <c r="I121" s="3031"/>
      <c r="J121" s="3031"/>
      <c r="K121" s="3031"/>
      <c r="L121" s="3031"/>
      <c r="M121" s="3031"/>
      <c r="N121" s="3031"/>
      <c r="O121" s="3031"/>
      <c r="P121" s="3031"/>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t="s">
        <v>2885</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6"/>
      <c r="N123" s="385" t="s">
        <v>2372</v>
      </c>
      <c r="O123" s="2257" t="s">
        <v>2885</v>
      </c>
      <c r="P123" s="519"/>
      <c r="Q123" s="1023"/>
      <c r="R123" s="1023"/>
      <c r="S123" s="1023"/>
      <c r="T123" s="1023"/>
    </row>
    <row r="124" spans="1:20" s="55" customFormat="1" ht="10.5" customHeight="1">
      <c r="A124" s="63"/>
      <c r="C124" s="55" t="s">
        <v>3805</v>
      </c>
      <c r="D124" s="412"/>
      <c r="E124" s="52"/>
      <c r="F124" s="52"/>
      <c r="G124" s="52"/>
      <c r="H124" s="412"/>
      <c r="J124" s="412"/>
      <c r="L124" s="2697" t="s">
        <v>3617</v>
      </c>
      <c r="M124" s="2697"/>
      <c r="N124" s="2697"/>
      <c r="O124" s="3061" t="s">
        <v>3616</v>
      </c>
      <c r="P124" s="3061"/>
      <c r="Q124" s="52"/>
    </row>
    <row r="125" spans="1:20" s="55" customFormat="1" ht="10.95" customHeight="1">
      <c r="A125" s="63"/>
      <c r="B125" s="373"/>
      <c r="C125" s="3026" t="s">
        <v>7084</v>
      </c>
      <c r="D125" s="3027"/>
      <c r="E125" s="3027"/>
      <c r="F125" s="3027"/>
      <c r="G125" s="3027"/>
      <c r="H125" s="3027"/>
      <c r="I125" s="3027"/>
      <c r="J125" s="3027"/>
      <c r="K125" s="3028"/>
      <c r="L125" s="3168" t="s">
        <v>7085</v>
      </c>
      <c r="M125" s="3168"/>
      <c r="N125" s="3168"/>
      <c r="O125" s="3169">
        <v>0</v>
      </c>
      <c r="P125" s="3169"/>
      <c r="Q125" s="1055" t="str">
        <f>IF(O125&gt;15, "Too much!","")</f>
        <v/>
      </c>
    </row>
    <row r="126" spans="1:20" s="55" customFormat="1" ht="10.95" customHeight="1">
      <c r="A126" s="63"/>
      <c r="B126" s="386"/>
      <c r="C126" s="2984" t="s">
        <v>7097</v>
      </c>
      <c r="D126" s="2985"/>
      <c r="E126" s="2985"/>
      <c r="F126" s="2985"/>
      <c r="G126" s="2985"/>
      <c r="H126" s="2985"/>
      <c r="I126" s="2985"/>
      <c r="J126" s="2985"/>
      <c r="K126" s="2986"/>
      <c r="L126" s="3029" t="s">
        <v>7085</v>
      </c>
      <c r="M126" s="3029"/>
      <c r="N126" s="3029"/>
      <c r="O126" s="3034">
        <v>0</v>
      </c>
      <c r="P126" s="3034"/>
      <c r="Q126" s="1055" t="str">
        <f>IF(O126&gt;15, "Too much!","")</f>
        <v/>
      </c>
    </row>
    <row r="127" spans="1:20" s="55" customFormat="1" ht="10.95" customHeight="1">
      <c r="A127" s="63"/>
      <c r="B127" s="373"/>
      <c r="C127" s="2984" t="s">
        <v>7098</v>
      </c>
      <c r="D127" s="2985"/>
      <c r="E127" s="2985"/>
      <c r="F127" s="2985"/>
      <c r="G127" s="2985"/>
      <c r="H127" s="2985"/>
      <c r="I127" s="2985"/>
      <c r="J127" s="2985"/>
      <c r="K127" s="2986"/>
      <c r="L127" s="3029" t="s">
        <v>7085</v>
      </c>
      <c r="M127" s="3029"/>
      <c r="N127" s="3029"/>
      <c r="O127" s="3034">
        <v>0</v>
      </c>
      <c r="P127" s="3034"/>
      <c r="Q127" s="1055" t="str">
        <f>IF(O127&gt;15, "Too much!","")</f>
        <v/>
      </c>
    </row>
    <row r="128" spans="1:20" s="55" customFormat="1" ht="10.95" customHeight="1">
      <c r="A128" s="63"/>
      <c r="B128" s="385"/>
      <c r="C128" s="2981"/>
      <c r="D128" s="2982"/>
      <c r="E128" s="2982"/>
      <c r="F128" s="2982"/>
      <c r="G128" s="2982"/>
      <c r="H128" s="2982"/>
      <c r="I128" s="2982"/>
      <c r="J128" s="2982"/>
      <c r="K128" s="2983"/>
      <c r="L128" s="3030"/>
      <c r="M128" s="3030"/>
      <c r="N128" s="3030"/>
      <c r="O128" s="3167"/>
      <c r="P128" s="3167"/>
      <c r="Q128" s="1055" t="str">
        <f>IF(O128&gt;15, "Too much!","")</f>
        <v/>
      </c>
    </row>
    <row r="129" spans="1:21" s="102" customFormat="1" ht="10.5" customHeight="1">
      <c r="B129" s="1503" t="s">
        <v>1940</v>
      </c>
      <c r="C129" s="66" t="s">
        <v>4613</v>
      </c>
      <c r="D129" s="36" t="s">
        <v>4618</v>
      </c>
      <c r="E129" s="52"/>
      <c r="F129" s="52"/>
      <c r="G129" s="52"/>
      <c r="H129" s="92"/>
      <c r="I129" s="92"/>
      <c r="J129" s="92"/>
      <c r="K129" s="92"/>
      <c r="L129" s="92"/>
      <c r="M129" s="92"/>
      <c r="N129" s="986" t="s">
        <v>4809</v>
      </c>
      <c r="O129" s="2256" t="s">
        <v>2885</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58" t="s">
        <v>2885</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4249"/>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6"/>
      <c r="N132" s="52"/>
      <c r="O132" s="2381" t="s">
        <v>7056</v>
      </c>
      <c r="P132" s="2379"/>
      <c r="Q132" s="52"/>
      <c r="R132" s="1023"/>
      <c r="S132" s="1023"/>
      <c r="T132" s="1023"/>
      <c r="U132" s="1023"/>
    </row>
    <row r="133" spans="1:21" s="36" customFormat="1" ht="10.5" customHeight="1">
      <c r="A133" s="63"/>
      <c r="B133" s="1503" t="s">
        <v>1938</v>
      </c>
      <c r="C133" s="2703" t="s">
        <v>4614</v>
      </c>
      <c r="D133" s="2703"/>
      <c r="E133" s="2703"/>
      <c r="F133" s="1135"/>
      <c r="G133" s="856" t="s">
        <v>4813</v>
      </c>
      <c r="I133" s="1135"/>
      <c r="J133" s="1135"/>
      <c r="K133" s="1135"/>
      <c r="L133" s="1135"/>
      <c r="M133" s="64"/>
      <c r="N133" s="986" t="s">
        <v>4808</v>
      </c>
      <c r="O133" s="2266" t="s">
        <v>2885</v>
      </c>
      <c r="P133" s="898"/>
      <c r="Q133" s="52"/>
      <c r="R133" s="1023"/>
      <c r="S133" s="1023"/>
      <c r="T133" s="1023"/>
      <c r="U133" s="1023"/>
    </row>
    <row r="134" spans="1:21" s="36" customFormat="1" ht="10.5" customHeight="1">
      <c r="A134" s="63"/>
      <c r="B134" s="372"/>
      <c r="C134" s="2703"/>
      <c r="D134" s="2703"/>
      <c r="E134" s="2703"/>
      <c r="F134" s="1135"/>
      <c r="G134" s="856" t="s">
        <v>4810</v>
      </c>
      <c r="I134" s="1135"/>
      <c r="J134" s="1135"/>
      <c r="K134" s="1135"/>
      <c r="L134" s="1135"/>
      <c r="M134" s="2386"/>
      <c r="N134" s="385" t="s">
        <v>2372</v>
      </c>
      <c r="O134" s="2257" t="s">
        <v>2885</v>
      </c>
      <c r="P134" s="519"/>
      <c r="Q134" s="52"/>
      <c r="R134" s="1023"/>
      <c r="S134" s="1023"/>
      <c r="T134" s="1023"/>
      <c r="U134" s="1023"/>
    </row>
    <row r="135" spans="1:21" s="36" customFormat="1" ht="10.5" customHeight="1">
      <c r="A135" s="64"/>
      <c r="B135" s="372"/>
      <c r="C135" s="2703"/>
      <c r="D135" s="2703"/>
      <c r="E135" s="2703"/>
      <c r="F135" s="1135"/>
      <c r="G135" s="856" t="s">
        <v>4811</v>
      </c>
      <c r="I135" s="1135"/>
      <c r="J135" s="1135"/>
      <c r="K135" s="1135"/>
      <c r="L135" s="1135"/>
      <c r="M135" s="2386"/>
      <c r="N135" s="385" t="s">
        <v>2373</v>
      </c>
      <c r="O135" s="2257" t="s">
        <v>2885</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6"/>
      <c r="N136" s="385" t="s">
        <v>2374</v>
      </c>
      <c r="O136" s="2257" t="s">
        <v>2885</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6"/>
      <c r="N137" s="385" t="s">
        <v>2375</v>
      </c>
      <c r="O137" s="2258" t="s">
        <v>2885</v>
      </c>
      <c r="P137" s="520"/>
      <c r="Q137" s="52"/>
    </row>
    <row r="138" spans="1:21" s="36" customFormat="1" ht="10.5" customHeight="1">
      <c r="A138" s="63"/>
      <c r="C138" s="52" t="s">
        <v>4815</v>
      </c>
      <c r="D138" s="1135"/>
      <c r="E138" s="1135"/>
      <c r="F138" s="1135"/>
      <c r="G138" s="1135"/>
      <c r="H138" s="1135"/>
      <c r="I138" s="1135"/>
      <c r="J138" s="1135"/>
      <c r="K138" s="1135"/>
      <c r="L138" s="1135"/>
      <c r="M138" s="2386"/>
      <c r="N138" s="52"/>
      <c r="O138" s="2381" t="s">
        <v>7056</v>
      </c>
      <c r="P138" s="2379"/>
      <c r="Q138" s="52"/>
      <c r="R138" s="1023"/>
      <c r="S138" s="1023"/>
      <c r="T138" s="1023"/>
      <c r="U138" s="1023"/>
    </row>
    <row r="139" spans="1:21" s="36" customFormat="1" ht="10.5" customHeight="1">
      <c r="A139" s="63"/>
      <c r="B139" s="1503" t="s">
        <v>1940</v>
      </c>
      <c r="C139" s="856" t="s">
        <v>4615</v>
      </c>
      <c r="D139" s="1135"/>
      <c r="E139" s="1135"/>
      <c r="F139" s="1135"/>
      <c r="G139" s="1135"/>
      <c r="H139" s="1135"/>
      <c r="I139" s="1135"/>
      <c r="J139" s="1135"/>
      <c r="K139" s="1135"/>
      <c r="L139" s="1135"/>
      <c r="M139" s="64"/>
      <c r="N139" s="1037" t="s">
        <v>1940</v>
      </c>
      <c r="O139" s="2259" t="s">
        <v>2885</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21" customHeight="1">
      <c r="B141" s="373"/>
      <c r="C141" s="3026" t="s">
        <v>7086</v>
      </c>
      <c r="D141" s="3027"/>
      <c r="E141" s="3027"/>
      <c r="F141" s="3028"/>
      <c r="G141" s="3055" t="s">
        <v>7088</v>
      </c>
      <c r="H141" s="3056"/>
      <c r="I141" s="3056"/>
      <c r="J141" s="3056"/>
      <c r="K141" s="3056"/>
      <c r="L141" s="3056"/>
      <c r="M141" s="3056"/>
      <c r="N141" s="3056"/>
      <c r="O141" s="3056"/>
      <c r="P141" s="3057"/>
      <c r="Q141" s="52"/>
    </row>
    <row r="142" spans="1:21" s="55" customFormat="1" ht="21" customHeight="1">
      <c r="A142" s="63"/>
      <c r="B142" s="386"/>
      <c r="C142" s="2984" t="s">
        <v>7087</v>
      </c>
      <c r="D142" s="2985"/>
      <c r="E142" s="2985"/>
      <c r="F142" s="2986"/>
      <c r="G142" s="2984" t="s">
        <v>7088</v>
      </c>
      <c r="H142" s="2985"/>
      <c r="I142" s="2985"/>
      <c r="J142" s="2985"/>
      <c r="K142" s="2985"/>
      <c r="L142" s="2985"/>
      <c r="M142" s="2985"/>
      <c r="N142" s="2985"/>
      <c r="O142" s="2985"/>
      <c r="P142" s="2986"/>
      <c r="Q142" s="52"/>
    </row>
    <row r="143" spans="1:21" s="55" customFormat="1" ht="21" customHeight="1">
      <c r="B143" s="1604"/>
      <c r="C143" s="2984"/>
      <c r="D143" s="2985"/>
      <c r="E143" s="2985"/>
      <c r="F143" s="2986"/>
      <c r="G143" s="2984"/>
      <c r="H143" s="2985"/>
      <c r="I143" s="2985"/>
      <c r="J143" s="2985"/>
      <c r="K143" s="2985"/>
      <c r="L143" s="2985"/>
      <c r="M143" s="2985"/>
      <c r="N143" s="2985"/>
      <c r="O143" s="2985"/>
      <c r="P143" s="2986"/>
      <c r="Q143" s="52"/>
    </row>
    <row r="144" spans="1:21" s="55" customFormat="1" ht="21" customHeight="1">
      <c r="A144" s="1604"/>
      <c r="B144" s="1604"/>
      <c r="C144" s="2981"/>
      <c r="D144" s="2982"/>
      <c r="E144" s="2982"/>
      <c r="F144" s="2983"/>
      <c r="G144" s="2981"/>
      <c r="H144" s="2982"/>
      <c r="I144" s="2982"/>
      <c r="J144" s="2982"/>
      <c r="K144" s="2982"/>
      <c r="L144" s="2982"/>
      <c r="M144" s="2982"/>
      <c r="N144" s="2982"/>
      <c r="O144" s="2982"/>
      <c r="P144" s="2983"/>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51.75" customHeight="1" thickTop="1" thickBot="1">
      <c r="A146" s="3003" t="s">
        <v>7099</v>
      </c>
      <c r="B146" s="3004"/>
      <c r="C146" s="3004"/>
      <c r="D146" s="3004"/>
      <c r="E146" s="3004"/>
      <c r="F146" s="3004"/>
      <c r="G146" s="3004"/>
      <c r="H146" s="3004"/>
      <c r="I146" s="3004"/>
      <c r="J146" s="3004"/>
      <c r="K146" s="3004"/>
      <c r="L146" s="3004"/>
      <c r="M146" s="3004"/>
      <c r="N146" s="3004"/>
      <c r="O146" s="3004"/>
      <c r="P146" s="3005"/>
      <c r="Q146" s="1027" t="s">
        <v>1228</v>
      </c>
      <c r="R146" s="441"/>
    </row>
    <row r="147" spans="1:27" s="43" customFormat="1" ht="10.35" customHeight="1" thickTop="1">
      <c r="B147" s="1605" t="s">
        <v>3820</v>
      </c>
      <c r="C147" s="98"/>
      <c r="D147" s="85"/>
      <c r="E147" s="99"/>
      <c r="F147" s="2380"/>
      <c r="G147" s="2380"/>
      <c r="H147" s="2380"/>
      <c r="I147" s="2380"/>
      <c r="J147" s="2380"/>
      <c r="K147" s="2380"/>
      <c r="L147" s="2380"/>
      <c r="M147" s="2380"/>
      <c r="N147" s="74"/>
      <c r="O147" s="70"/>
      <c r="P147" s="2373"/>
      <c r="Q147" s="422"/>
    </row>
    <row r="148" spans="1:27" s="43" customFormat="1" ht="11.25" customHeight="1">
      <c r="A148" s="2725"/>
      <c r="B148" s="2726"/>
      <c r="C148" s="2726"/>
      <c r="D148" s="2726"/>
      <c r="E148" s="2726"/>
      <c r="F148" s="2726"/>
      <c r="G148" s="2726"/>
      <c r="H148" s="2726"/>
      <c r="I148" s="2726"/>
      <c r="J148" s="2726"/>
      <c r="K148" s="2726"/>
      <c r="L148" s="2726"/>
      <c r="M148" s="2726"/>
      <c r="N148" s="2726"/>
      <c r="O148" s="2726"/>
      <c r="P148" s="2727"/>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3716</v>
      </c>
      <c r="C150" s="2380"/>
      <c r="D150" s="2380"/>
      <c r="E150" s="2380"/>
      <c r="F150" s="2380"/>
      <c r="G150" s="2380"/>
      <c r="H150" s="2380"/>
      <c r="I150" s="2380"/>
      <c r="J150" s="2380"/>
      <c r="K150" s="2380"/>
      <c r="L150" s="2380"/>
      <c r="M150" s="846">
        <v>5</v>
      </c>
      <c r="N150" s="74"/>
      <c r="O150" s="1041">
        <f>O152+O175</f>
        <v>1</v>
      </c>
      <c r="P150" s="1041">
        <f>P152+P175</f>
        <v>0</v>
      </c>
      <c r="Q150" s="109" t="s">
        <v>433</v>
      </c>
      <c r="S150" s="1734">
        <f>IF(NOT(R163=T163),0,IF(OR('Part VI-Revenues &amp; Expenses'!$P$67=0,$V$163=0),0,IF(AND($F$157="Family",$V$163=$T$163),3,IF($V$163=$T$163,2,IF(OR($V$163=2,$V$163=1),1,0)))))</f>
        <v>1</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94">
        <v>1</v>
      </c>
      <c r="P152" s="4251"/>
      <c r="Q152" s="1477" t="str">
        <f>IF(OR($O152=$M152,$O152=0,$O152=""),"","*CHECK!*")</f>
        <v>*CHECK!*</v>
      </c>
      <c r="R152" s="974" t="s">
        <v>4767</v>
      </c>
    </row>
    <row r="153" spans="1:27" s="43" customFormat="1" ht="12" customHeight="1">
      <c r="B153" s="40" t="s">
        <v>3621</v>
      </c>
      <c r="C153" s="424"/>
      <c r="D153" s="424"/>
      <c r="E153" s="424"/>
      <c r="F153" s="424"/>
      <c r="G153" s="424"/>
      <c r="H153" s="424"/>
      <c r="I153" s="424"/>
      <c r="J153" s="424"/>
      <c r="K153" s="424"/>
      <c r="L153" s="424"/>
      <c r="M153" s="424"/>
      <c r="N153" s="424"/>
      <c r="O153" s="2254" t="s">
        <v>2885</v>
      </c>
      <c r="P153" s="516"/>
      <c r="Q153" s="2969" t="s">
        <v>4593</v>
      </c>
      <c r="R153" s="2969"/>
      <c r="S153" s="2969"/>
      <c r="T153" s="2969"/>
      <c r="U153" s="2969"/>
      <c r="V153" s="2969"/>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69"/>
      <c r="R154" s="2969"/>
      <c r="S154" s="2969"/>
      <c r="T154" s="2969"/>
      <c r="U154" s="2969"/>
      <c r="V154" s="2969"/>
      <c r="W154" s="1731"/>
    </row>
    <row r="155" spans="1:27" s="43" customFormat="1" ht="11.25" customHeight="1">
      <c r="A155" s="138"/>
      <c r="B155" s="2946" t="s">
        <v>4504</v>
      </c>
      <c r="C155" s="2946"/>
      <c r="D155" s="2946"/>
      <c r="E155" s="52" t="s">
        <v>3620</v>
      </c>
      <c r="F155" s="102"/>
      <c r="G155" s="52"/>
      <c r="H155" s="102"/>
      <c r="I155" s="2861" t="s">
        <v>7089</v>
      </c>
      <c r="J155" s="2862"/>
      <c r="K155" s="2862"/>
      <c r="L155" s="2863"/>
      <c r="Q155" s="2969"/>
      <c r="R155" s="2969"/>
      <c r="S155" s="2969"/>
      <c r="T155" s="2969"/>
      <c r="U155" s="2969"/>
      <c r="V155" s="2969"/>
      <c r="W155" s="1731"/>
    </row>
    <row r="156" spans="1:27" s="43" customFormat="1" ht="11.25" customHeight="1">
      <c r="A156" s="138"/>
      <c r="B156" s="2946"/>
      <c r="C156" s="2946"/>
      <c r="D156" s="2946"/>
      <c r="E156" s="40" t="s">
        <v>4309</v>
      </c>
      <c r="F156" s="374"/>
      <c r="G156" s="102"/>
      <c r="H156" s="102"/>
      <c r="I156" s="40"/>
      <c r="J156" s="2383"/>
      <c r="K156" s="2383"/>
      <c r="L156" s="2383"/>
      <c r="M156" s="102"/>
      <c r="N156" s="1065"/>
      <c r="O156" s="2254" t="s">
        <v>7000</v>
      </c>
      <c r="P156" s="516"/>
      <c r="Q156" s="2969"/>
      <c r="R156" s="2969"/>
      <c r="S156" s="2969"/>
      <c r="T156" s="2969"/>
      <c r="U156" s="2969"/>
      <c r="V156" s="2969"/>
      <c r="W156" s="1731"/>
    </row>
    <row r="157" spans="1:27" s="43" customFormat="1" ht="12" customHeight="1">
      <c r="A157" s="42"/>
      <c r="C157" s="2380"/>
      <c r="D157" s="2380"/>
      <c r="E157" s="52" t="s">
        <v>4310</v>
      </c>
      <c r="F157" s="1506" t="str">
        <f>'Part I-Project Information'!$H$82</f>
        <v>HFOP</v>
      </c>
      <c r="H157" s="1505"/>
      <c r="I157" s="2380"/>
      <c r="J157" s="2380"/>
      <c r="M157" s="2380"/>
      <c r="N157" s="74"/>
      <c r="O157" s="3013" t="s">
        <v>4762</v>
      </c>
      <c r="P157" s="3013"/>
      <c r="Q157" s="2969"/>
      <c r="R157" s="2969"/>
      <c r="S157" s="2969"/>
      <c r="T157" s="2969"/>
      <c r="U157" s="2969"/>
      <c r="V157" s="2969"/>
      <c r="W157" s="1731"/>
    </row>
    <row r="158" spans="1:27" s="55" customFormat="1" ht="3" customHeight="1">
      <c r="A158" s="861"/>
      <c r="B158" s="424"/>
      <c r="O158" s="3014"/>
      <c r="P158" s="3014"/>
      <c r="Q158" s="2969"/>
      <c r="R158" s="2969"/>
      <c r="S158" s="2969"/>
      <c r="T158" s="2969"/>
      <c r="U158" s="2969"/>
      <c r="V158" s="2969"/>
      <c r="W158" s="1731"/>
    </row>
    <row r="159" spans="1:27" s="43" customFormat="1" ht="12" customHeight="1">
      <c r="A159" s="373" t="s">
        <v>2371</v>
      </c>
      <c r="B159" s="110" t="s">
        <v>4505</v>
      </c>
      <c r="C159" s="2380"/>
      <c r="D159" s="2380"/>
      <c r="E159" s="52"/>
      <c r="F159" s="1419"/>
      <c r="G159" s="1419"/>
      <c r="I159" s="2380"/>
      <c r="J159" s="2380"/>
      <c r="K159" s="2380"/>
      <c r="L159" s="2380"/>
      <c r="M159" s="2990" t="s">
        <v>4308</v>
      </c>
      <c r="N159" s="74"/>
      <c r="O159" s="3014"/>
      <c r="P159" s="3014"/>
      <c r="Q159" s="2969"/>
      <c r="R159" s="2969"/>
      <c r="S159" s="2969"/>
      <c r="T159" s="2969"/>
      <c r="U159" s="2969"/>
      <c r="V159" s="2969"/>
      <c r="Y159" s="2968" t="s">
        <v>4783</v>
      </c>
      <c r="Z159" s="2968"/>
      <c r="AA159" s="2968"/>
    </row>
    <row r="160" spans="1:27" s="55" customFormat="1" ht="3" customHeight="1">
      <c r="A160" s="861"/>
      <c r="B160" s="424"/>
      <c r="M160" s="2990"/>
      <c r="O160" s="3014"/>
      <c r="P160" s="3014"/>
      <c r="R160" s="1730"/>
      <c r="S160" s="412"/>
      <c r="T160" s="1730"/>
      <c r="U160" s="412"/>
      <c r="V160" s="43"/>
      <c r="W160" s="43"/>
    </row>
    <row r="161" spans="1:36" s="43" customFormat="1" ht="13.5" customHeight="1">
      <c r="A161" s="2976" t="s">
        <v>4763</v>
      </c>
      <c r="B161" s="2976"/>
      <c r="C161" s="2976"/>
      <c r="D161" s="2976"/>
      <c r="E161" s="2976"/>
      <c r="F161" s="2976"/>
      <c r="G161" s="2977"/>
      <c r="H161" s="2987" t="s">
        <v>3648</v>
      </c>
      <c r="I161" s="2988"/>
      <c r="J161" s="2989"/>
      <c r="K161" s="2990" t="s">
        <v>3619</v>
      </c>
      <c r="L161" s="2788" t="s">
        <v>4754</v>
      </c>
      <c r="M161" s="2990"/>
      <c r="N161" s="1436"/>
      <c r="O161" s="3014"/>
      <c r="P161" s="3014"/>
      <c r="Q161" s="2970" t="s">
        <v>4750</v>
      </c>
      <c r="R161" s="2970" t="s">
        <v>4753</v>
      </c>
      <c r="S161" s="2970" t="s">
        <v>4751</v>
      </c>
      <c r="T161" s="2970" t="s">
        <v>4752</v>
      </c>
      <c r="U161" s="2970" t="s">
        <v>4469</v>
      </c>
      <c r="V161" s="2970" t="s">
        <v>4468</v>
      </c>
      <c r="X161" s="102"/>
      <c r="Y161" s="1742" t="s">
        <v>4782</v>
      </c>
      <c r="Z161" s="1743" t="s">
        <v>4784</v>
      </c>
      <c r="AA161" s="1743" t="s">
        <v>4785</v>
      </c>
    </row>
    <row r="162" spans="1:36" s="43" customFormat="1" ht="15" customHeight="1">
      <c r="B162" s="481" t="s">
        <v>4786</v>
      </c>
      <c r="C162" s="2383"/>
      <c r="E162" s="1744" t="s">
        <v>4787</v>
      </c>
      <c r="F162" s="1726" t="s">
        <v>4761</v>
      </c>
      <c r="G162" s="1726" t="s">
        <v>3283</v>
      </c>
      <c r="H162" s="2382">
        <v>2017</v>
      </c>
      <c r="I162" s="2382">
        <v>2018</v>
      </c>
      <c r="J162" s="2382">
        <v>2019</v>
      </c>
      <c r="K162" s="2469"/>
      <c r="L162" s="2972"/>
      <c r="M162" s="2469"/>
      <c r="N162" s="1436"/>
      <c r="O162" s="3015"/>
      <c r="P162" s="3015"/>
      <c r="Q162" s="2970"/>
      <c r="R162" s="2970"/>
      <c r="S162" s="2970"/>
      <c r="T162" s="2970"/>
      <c r="U162" s="2970"/>
      <c r="V162" s="2970"/>
      <c r="X162" s="1742" t="s">
        <v>4780</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73" t="s">
        <v>7090</v>
      </c>
      <c r="C163" s="2974"/>
      <c r="D163" s="2975"/>
      <c r="E163" s="2295" t="s">
        <v>2888</v>
      </c>
      <c r="F163" s="2296" t="s">
        <v>2885</v>
      </c>
      <c r="G163" s="2297" t="s">
        <v>7109</v>
      </c>
      <c r="H163" s="2298">
        <v>82.2</v>
      </c>
      <c r="I163" s="2299">
        <v>73.7</v>
      </c>
      <c r="J163" s="2299">
        <v>71.900000000000006</v>
      </c>
      <c r="K163" s="1609">
        <f t="shared" ref="K163:K172" si="0">IF(H163+I163+J163=0,"",AVERAGE(H163,I163,J163))</f>
        <v>75.933333333333337</v>
      </c>
      <c r="L163" s="2300">
        <v>75.930000000000007</v>
      </c>
      <c r="M163" s="1606" t="str">
        <f>IF(OR(K163="",L163=""),"",IF(K163&gt;L163,"Yes",IF(K163&lt;L163,"No","")))</f>
        <v>Yes</v>
      </c>
      <c r="O163" s="2256" t="s">
        <v>2888</v>
      </c>
      <c r="P163" s="518"/>
      <c r="Q163" s="447">
        <f>IF(AND(B163="",F163="",G163="",H163="",I163="",J163="",L163="",O163=""),0,1)</f>
        <v>1</v>
      </c>
      <c r="R163" s="2971">
        <f>SUM(Q163:Q172)</f>
        <v>3</v>
      </c>
      <c r="S163" s="1732">
        <f t="shared" ref="S163:S172" si="1">IF(AND(M163="",NOT(O163="Yes")),0,1)</f>
        <v>1</v>
      </c>
      <c r="T163" s="2971">
        <f>SUM(S163:S172)</f>
        <v>3</v>
      </c>
      <c r="U163" s="1732">
        <f t="shared" ref="U163:U172" si="2">IF(OR(M163="Yes",O163="Yes"),1,0)</f>
        <v>1</v>
      </c>
      <c r="V163" s="2971">
        <f>SUM(U163:U172)</f>
        <v>1</v>
      </c>
      <c r="X163" s="1742" t="s">
        <v>4781</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Check</v>
      </c>
      <c r="B164" s="2943" t="s">
        <v>7091</v>
      </c>
      <c r="C164" s="2944"/>
      <c r="D164" s="2945"/>
      <c r="E164" s="2301" t="s">
        <v>2888</v>
      </c>
      <c r="F164" s="2302" t="s">
        <v>2885</v>
      </c>
      <c r="G164" s="2303" t="s">
        <v>4784</v>
      </c>
      <c r="H164" s="2304">
        <v>74.8</v>
      </c>
      <c r="I164" s="2305">
        <v>71.400000000000006</v>
      </c>
      <c r="J164" s="2305">
        <v>70.400000000000006</v>
      </c>
      <c r="K164" s="1610">
        <f t="shared" si="0"/>
        <v>72.2</v>
      </c>
      <c r="L164" s="2306">
        <v>73.77</v>
      </c>
      <c r="M164" s="1607" t="str">
        <f>IF(L164="","",IF(K164&gt;L164,"Yes",IF(K164&lt;L164,"No","")))</f>
        <v>No</v>
      </c>
      <c r="O164" s="2257" t="s">
        <v>2888</v>
      </c>
      <c r="P164" s="519"/>
      <c r="Q164" s="447">
        <f t="shared" ref="Q164:Q172" si="4">IF(AND(B164="",F164="",G164="",H164="",I164="",J164="",L164="",O164=""),0,1)</f>
        <v>1</v>
      </c>
      <c r="R164" s="2971"/>
      <c r="S164" s="1732">
        <f t="shared" si="1"/>
        <v>1</v>
      </c>
      <c r="T164" s="2971"/>
      <c r="U164" s="1732">
        <f t="shared" si="2"/>
        <v>0</v>
      </c>
      <c r="V164" s="2971"/>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Check</v>
      </c>
      <c r="B165" s="2943" t="s">
        <v>7092</v>
      </c>
      <c r="C165" s="2944"/>
      <c r="D165" s="2945"/>
      <c r="E165" s="2301" t="s">
        <v>2888</v>
      </c>
      <c r="F165" s="2302" t="s">
        <v>2885</v>
      </c>
      <c r="G165" s="2303" t="s">
        <v>4785</v>
      </c>
      <c r="H165" s="2304">
        <v>77.3</v>
      </c>
      <c r="I165" s="2305">
        <v>67.7</v>
      </c>
      <c r="J165" s="2305">
        <v>79.900000000000006</v>
      </c>
      <c r="K165" s="1610">
        <f t="shared" si="0"/>
        <v>74.966666666666669</v>
      </c>
      <c r="L165" s="2306">
        <v>76.430000000000007</v>
      </c>
      <c r="M165" s="1607" t="str">
        <f t="shared" ref="M165:M172" si="5">IF(L165="","",IF(K165&gt;L165,"Yes",IF(K165&lt;L165,"No","")))</f>
        <v>No</v>
      </c>
      <c r="O165" s="2257" t="s">
        <v>2888</v>
      </c>
      <c r="P165" s="519"/>
      <c r="Q165" s="447">
        <f t="shared" si="4"/>
        <v>1</v>
      </c>
      <c r="R165" s="2971"/>
      <c r="S165" s="1732">
        <f t="shared" si="1"/>
        <v>1</v>
      </c>
      <c r="T165" s="2971"/>
      <c r="U165" s="1732">
        <f t="shared" si="2"/>
        <v>0</v>
      </c>
      <c r="V165" s="2971"/>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43"/>
      <c r="C166" s="2944"/>
      <c r="D166" s="2945"/>
      <c r="E166" s="2301" t="s">
        <v>4378</v>
      </c>
      <c r="F166" s="2302"/>
      <c r="G166" s="2303"/>
      <c r="H166" s="2304"/>
      <c r="I166" s="2305"/>
      <c r="J166" s="2305"/>
      <c r="K166" s="1610" t="str">
        <f t="shared" si="0"/>
        <v/>
      </c>
      <c r="L166" s="2306"/>
      <c r="M166" s="1607" t="str">
        <f t="shared" si="5"/>
        <v/>
      </c>
      <c r="O166" s="2257"/>
      <c r="P166" s="519"/>
      <c r="Q166" s="447">
        <f t="shared" si="4"/>
        <v>0</v>
      </c>
      <c r="R166" s="2971"/>
      <c r="S166" s="1732">
        <f t="shared" si="1"/>
        <v>0</v>
      </c>
      <c r="T166" s="2971"/>
      <c r="U166" s="1732">
        <f t="shared" si="2"/>
        <v>0</v>
      </c>
      <c r="V166" s="2971"/>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43"/>
      <c r="C167" s="2944"/>
      <c r="D167" s="2945"/>
      <c r="E167" s="2301" t="s">
        <v>4378</v>
      </c>
      <c r="F167" s="2302"/>
      <c r="G167" s="2303"/>
      <c r="H167" s="2304"/>
      <c r="I167" s="2305"/>
      <c r="J167" s="2305"/>
      <c r="K167" s="1610" t="str">
        <f t="shared" si="0"/>
        <v/>
      </c>
      <c r="L167" s="2306"/>
      <c r="M167" s="1607" t="str">
        <f t="shared" si="5"/>
        <v/>
      </c>
      <c r="O167" s="2257"/>
      <c r="P167" s="519"/>
      <c r="Q167" s="447">
        <f t="shared" si="4"/>
        <v>0</v>
      </c>
      <c r="R167" s="2971"/>
      <c r="S167" s="1732">
        <f t="shared" si="1"/>
        <v>0</v>
      </c>
      <c r="T167" s="2971"/>
      <c r="U167" s="1732">
        <f t="shared" si="2"/>
        <v>0</v>
      </c>
      <c r="V167" s="2971"/>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43"/>
      <c r="C168" s="2944"/>
      <c r="D168" s="2945"/>
      <c r="E168" s="2301" t="s">
        <v>4378</v>
      </c>
      <c r="F168" s="2302"/>
      <c r="G168" s="2303"/>
      <c r="H168" s="2304"/>
      <c r="I168" s="2305"/>
      <c r="J168" s="2305"/>
      <c r="K168" s="1610" t="str">
        <f t="shared" si="0"/>
        <v/>
      </c>
      <c r="L168" s="2306"/>
      <c r="M168" s="1607" t="str">
        <f t="shared" si="5"/>
        <v/>
      </c>
      <c r="O168" s="2257"/>
      <c r="P168" s="519"/>
      <c r="Q168" s="447">
        <f t="shared" si="4"/>
        <v>0</v>
      </c>
      <c r="R168" s="2971"/>
      <c r="S168" s="1732">
        <f t="shared" si="1"/>
        <v>0</v>
      </c>
      <c r="T168" s="2971"/>
      <c r="U168" s="1732">
        <f t="shared" si="2"/>
        <v>0</v>
      </c>
      <c r="V168" s="2971"/>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43"/>
      <c r="C169" s="2944"/>
      <c r="D169" s="2945"/>
      <c r="E169" s="2301" t="s">
        <v>4378</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71"/>
      <c r="S169" s="1732">
        <f t="shared" ref="S169:S170" si="10">IF(AND(M169="",NOT(O169="Yes")),0,1)</f>
        <v>0</v>
      </c>
      <c r="T169" s="2971"/>
      <c r="U169" s="1732">
        <f t="shared" ref="U169:U170" si="11">IF(OR(M169="Yes",O169="Yes"),1,0)</f>
        <v>0</v>
      </c>
      <c r="V169" s="2971"/>
    </row>
    <row r="170" spans="1:36" s="43" customFormat="1" ht="12" customHeight="1">
      <c r="A170" s="1733" t="str">
        <f t="shared" si="6"/>
        <v/>
      </c>
      <c r="B170" s="2943"/>
      <c r="C170" s="2944"/>
      <c r="D170" s="2945"/>
      <c r="E170" s="2301" t="s">
        <v>4378</v>
      </c>
      <c r="F170" s="2302"/>
      <c r="G170" s="2303"/>
      <c r="H170" s="2304"/>
      <c r="I170" s="2305"/>
      <c r="J170" s="2305"/>
      <c r="K170" s="1610" t="str">
        <f t="shared" si="7"/>
        <v/>
      </c>
      <c r="L170" s="2306"/>
      <c r="M170" s="1607" t="str">
        <f t="shared" si="8"/>
        <v/>
      </c>
      <c r="O170" s="2257"/>
      <c r="P170" s="519"/>
      <c r="Q170" s="447">
        <f t="shared" si="9"/>
        <v>0</v>
      </c>
      <c r="R170" s="2971"/>
      <c r="S170" s="1732">
        <f t="shared" si="10"/>
        <v>0</v>
      </c>
      <c r="T170" s="2971"/>
      <c r="U170" s="1732">
        <f t="shared" si="11"/>
        <v>0</v>
      </c>
      <c r="V170" s="2971"/>
    </row>
    <row r="171" spans="1:36" s="43" customFormat="1" ht="12" customHeight="1">
      <c r="A171" s="1733" t="str">
        <f t="shared" ref="A171" si="12">IF(OR(M171="Yes", O171="Yes", AND(B171="",F171="",G171="",H171="",I171="",J171="",L171="",O171="")),"", IF(AND(NOT(B171=""),OR(O171="",O171="No",O171="N/a"),OR(F171="",G171=""),AND(H171="",I171="",J171=""),L171=""),"Finish!","Check"))</f>
        <v/>
      </c>
      <c r="B171" s="2943"/>
      <c r="C171" s="2944"/>
      <c r="D171" s="2945"/>
      <c r="E171" s="2301" t="s">
        <v>4378</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71"/>
      <c r="S171" s="1732">
        <f t="shared" ref="S171" si="16">IF(AND(M171="",NOT(O171="Yes")),0,1)</f>
        <v>0</v>
      </c>
      <c r="T171" s="2971"/>
      <c r="U171" s="1732">
        <f t="shared" ref="U171" si="17">IF(OR(M171="Yes",O171="Yes"),1,0)</f>
        <v>0</v>
      </c>
      <c r="V171" s="2971"/>
    </row>
    <row r="172" spans="1:36" s="43" customFormat="1" ht="12" customHeight="1">
      <c r="A172" s="1733" t="str">
        <f t="shared" si="3"/>
        <v/>
      </c>
      <c r="B172" s="2978"/>
      <c r="C172" s="2979"/>
      <c r="D172" s="2980"/>
      <c r="E172" s="2307" t="s">
        <v>4378</v>
      </c>
      <c r="F172" s="2308"/>
      <c r="G172" s="2309"/>
      <c r="H172" s="2310"/>
      <c r="I172" s="2311"/>
      <c r="J172" s="2311"/>
      <c r="K172" s="1611" t="str">
        <f t="shared" si="0"/>
        <v/>
      </c>
      <c r="L172" s="2312"/>
      <c r="M172" s="1608" t="str">
        <f t="shared" si="5"/>
        <v/>
      </c>
      <c r="O172" s="2258"/>
      <c r="P172" s="520"/>
      <c r="Q172" s="447">
        <f t="shared" si="4"/>
        <v>0</v>
      </c>
      <c r="R172" s="2971"/>
      <c r="S172" s="1732">
        <f t="shared" si="1"/>
        <v>0</v>
      </c>
      <c r="T172" s="2971"/>
      <c r="U172" s="1732">
        <f t="shared" si="2"/>
        <v>0</v>
      </c>
      <c r="V172" s="2971"/>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4566</v>
      </c>
      <c r="M175" s="426">
        <v>2</v>
      </c>
      <c r="N175" s="174"/>
      <c r="O175" s="1041">
        <f>IF(AND(I184="Yes",I185="Yes"),$H$185,IF(AND(I184="Yes",I185="No"),$H$184,0))</f>
        <v>0</v>
      </c>
      <c r="P175" s="1041">
        <f>IF(AND(J184="Yes",J185="Yes"),$H$185,IF(AND(J184="Yes",J185="No"),$H$184,0))</f>
        <v>0</v>
      </c>
      <c r="Q175" s="2373"/>
      <c r="R175" s="1723"/>
    </row>
    <row r="176" spans="1:36" s="55" customFormat="1" ht="12.75" customHeight="1">
      <c r="E176" s="3001" t="s">
        <v>3822</v>
      </c>
      <c r="F176" s="3001" t="s">
        <v>3486</v>
      </c>
      <c r="G176" s="3022" t="s">
        <v>3284</v>
      </c>
      <c r="H176" s="3022"/>
      <c r="I176" s="3022"/>
      <c r="J176" s="3022"/>
      <c r="K176" s="3022"/>
      <c r="L176" s="3022"/>
      <c r="M176" s="3022"/>
      <c r="N176" s="3022"/>
      <c r="P176" s="1066"/>
      <c r="R176" s="52" t="s">
        <v>2734</v>
      </c>
      <c r="S176" s="36"/>
      <c r="T176" s="3195" t="str">
        <f>'Part I-Project Information'!$F$38</f>
        <v>Gray</v>
      </c>
      <c r="U176" s="3196"/>
      <c r="V176" s="3196"/>
      <c r="W176" s="3196"/>
      <c r="X176" s="3197"/>
    </row>
    <row r="177" spans="1:24" s="55" customFormat="1" ht="13.5" customHeight="1">
      <c r="A177" s="47"/>
      <c r="B177" s="3200" t="s">
        <v>3735</v>
      </c>
      <c r="C177" s="3200"/>
      <c r="D177" s="3200"/>
      <c r="E177" s="3007"/>
      <c r="F177" s="3007"/>
      <c r="G177" s="3006" t="s">
        <v>3734</v>
      </c>
      <c r="H177" s="3006"/>
      <c r="I177" s="3006"/>
      <c r="J177" s="3006"/>
      <c r="K177" s="3006"/>
      <c r="L177" s="3006"/>
      <c r="M177" s="3006"/>
      <c r="N177" s="3006"/>
      <c r="O177" s="3001" t="s">
        <v>3487</v>
      </c>
      <c r="P177" s="3001"/>
      <c r="R177" s="52" t="s">
        <v>2735</v>
      </c>
      <c r="S177" s="36"/>
      <c r="T177" s="3189" t="str">
        <f>'Part I-Project Information'!$J$39</f>
        <v>Jones</v>
      </c>
      <c r="U177" s="3190"/>
      <c r="V177" s="3190"/>
      <c r="W177" s="3190"/>
      <c r="X177" s="3191"/>
    </row>
    <row r="178" spans="1:24" s="55" customFormat="1" ht="13.5" customHeight="1">
      <c r="A178" s="47"/>
      <c r="B178" s="3016" t="s">
        <v>3622</v>
      </c>
      <c r="C178" s="3017"/>
      <c r="D178" s="3018"/>
      <c r="E178" s="2398">
        <v>3000</v>
      </c>
      <c r="F178" s="2398">
        <v>6000</v>
      </c>
      <c r="G178" s="3000">
        <v>15000</v>
      </c>
      <c r="H178" s="3000"/>
      <c r="I178" s="3000"/>
      <c r="J178" s="3000"/>
      <c r="K178" s="3000"/>
      <c r="L178" s="3000"/>
      <c r="M178" s="3000"/>
      <c r="N178" s="3000"/>
      <c r="O178" s="3000">
        <v>20000</v>
      </c>
      <c r="P178" s="3000"/>
      <c r="R178" s="40" t="s">
        <v>2736</v>
      </c>
      <c r="S178" s="36"/>
      <c r="T178" s="3189" t="str">
        <f>'Part I-Project Information'!$O$40</f>
        <v>Macon</v>
      </c>
      <c r="U178" s="3190"/>
      <c r="V178" s="3190"/>
      <c r="W178" s="3190"/>
      <c r="X178" s="3191"/>
    </row>
    <row r="179" spans="1:24" s="36" customFormat="1" ht="11.4">
      <c r="A179" s="47"/>
      <c r="B179" s="3153" t="s">
        <v>3733</v>
      </c>
      <c r="C179" s="3154"/>
      <c r="D179" s="3155"/>
      <c r="E179" s="2394">
        <v>4500</v>
      </c>
      <c r="F179" s="2394">
        <v>9000</v>
      </c>
      <c r="G179" s="3002">
        <v>22500</v>
      </c>
      <c r="H179" s="3002"/>
      <c r="I179" s="3002"/>
      <c r="J179" s="3002"/>
      <c r="K179" s="3002"/>
      <c r="L179" s="3002"/>
      <c r="M179" s="3002"/>
      <c r="N179" s="3002"/>
      <c r="O179" s="3002">
        <v>30000</v>
      </c>
      <c r="P179" s="3002"/>
      <c r="R179" s="40" t="s">
        <v>3644</v>
      </c>
      <c r="T179" s="3189" t="str">
        <f>VLOOKUP('Part I-Project Information'!$J$39,'DCA Underwriting Assumptions'!$G$173:$J$332,4)</f>
        <v>MSA</v>
      </c>
      <c r="U179" s="3190"/>
      <c r="V179" s="3190"/>
      <c r="W179" s="3190"/>
      <c r="X179" s="3191"/>
    </row>
    <row r="180" spans="1:24" s="55" customFormat="1" ht="15" customHeight="1">
      <c r="A180" s="47"/>
      <c r="B180" s="47"/>
      <c r="C180" s="412"/>
      <c r="K180" s="2382"/>
      <c r="L180" s="2382"/>
    </row>
    <row r="181" spans="1:24" s="55" customFormat="1" ht="12" customHeight="1">
      <c r="B181" s="859" t="s">
        <v>4799</v>
      </c>
      <c r="E181" s="858"/>
      <c r="F181" s="858"/>
      <c r="G181" s="858"/>
      <c r="I181" s="2313">
        <v>6000</v>
      </c>
      <c r="J181" s="4252"/>
      <c r="K181" s="1779" t="str">
        <f>IF(I181="","",IF(I181&lt;E178,"Minimum Jobs Threshold entered is below lowest in chart!",""))</f>
        <v/>
      </c>
      <c r="R181" s="36" t="s">
        <v>3460</v>
      </c>
      <c r="S181" s="36"/>
      <c r="T181" s="3192" t="str">
        <f>'Part I-Project Information'!$K$40</f>
        <v>Rural</v>
      </c>
      <c r="U181" s="3193"/>
      <c r="V181" s="3193"/>
      <c r="W181" s="3193"/>
      <c r="X181" s="3194"/>
    </row>
    <row r="182" spans="1:24" s="55" customFormat="1" ht="12" customHeight="1">
      <c r="A182" s="861"/>
      <c r="B182" s="424" t="s">
        <v>3459</v>
      </c>
      <c r="H182" s="860" t="str">
        <f>IF(I182&lt;I181,"Threshold not met!","")</f>
        <v>Threshold not met!</v>
      </c>
      <c r="I182" s="2314"/>
      <c r="J182" s="4253"/>
      <c r="K182" s="1068" t="str">
        <f>IF(J182&lt;J181,"Threshold not met!","")</f>
        <v/>
      </c>
    </row>
    <row r="183" spans="1:24" s="55" customFormat="1" ht="9" customHeight="1">
      <c r="A183" s="861"/>
      <c r="B183" s="424"/>
    </row>
    <row r="184" spans="1:24" s="55" customFormat="1" ht="11.25" customHeight="1">
      <c r="B184" s="554" t="s">
        <v>1938</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82"/>
    </row>
    <row r="187" spans="1:24" s="55" customFormat="1" ht="3" customHeight="1">
      <c r="A187" s="47"/>
      <c r="B187" s="47"/>
      <c r="C187" s="412"/>
      <c r="F187" s="2397"/>
      <c r="K187" s="2382"/>
      <c r="L187" s="2382"/>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33.75" customHeight="1" thickTop="1" thickBot="1">
      <c r="A189" s="3003" t="s">
        <v>7110</v>
      </c>
      <c r="B189" s="3004"/>
      <c r="C189" s="3004"/>
      <c r="D189" s="3004"/>
      <c r="E189" s="3004"/>
      <c r="F189" s="3004"/>
      <c r="G189" s="3004"/>
      <c r="H189" s="3004"/>
      <c r="I189" s="3004"/>
      <c r="J189" s="3004"/>
      <c r="K189" s="3004"/>
      <c r="L189" s="3004"/>
      <c r="M189" s="3004"/>
      <c r="N189" s="3004"/>
      <c r="O189" s="3004"/>
      <c r="P189" s="3005"/>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2725"/>
      <c r="B191" s="2726"/>
      <c r="C191" s="2726"/>
      <c r="D191" s="2726"/>
      <c r="E191" s="2726"/>
      <c r="F191" s="2726"/>
      <c r="G191" s="2726"/>
      <c r="H191" s="2726"/>
      <c r="I191" s="2726"/>
      <c r="J191" s="2726"/>
      <c r="K191" s="2726"/>
      <c r="L191" s="2726"/>
      <c r="M191" s="2726"/>
      <c r="N191" s="2726"/>
      <c r="O191" s="2726"/>
      <c r="P191" s="2727"/>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3737</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207" t="s">
        <v>4568</v>
      </c>
      <c r="S193" s="3208"/>
      <c r="T193" s="3208"/>
      <c r="U193" s="3209"/>
    </row>
    <row r="194" spans="1:26" s="43" customFormat="1" ht="2.25" customHeight="1">
      <c r="A194" s="425"/>
      <c r="C194" s="165"/>
      <c r="D194" s="165"/>
      <c r="E194" s="172"/>
      <c r="F194" s="165"/>
      <c r="G194" s="165"/>
      <c r="H194" s="165"/>
      <c r="I194" s="165"/>
      <c r="J194" s="165"/>
      <c r="K194" s="165"/>
      <c r="L194" s="165"/>
      <c r="M194" s="165"/>
      <c r="N194" s="165"/>
      <c r="O194" s="165"/>
      <c r="P194" s="165"/>
      <c r="R194" s="3172"/>
      <c r="S194" s="3173"/>
      <c r="T194" s="3173"/>
      <c r="U194" s="3210"/>
    </row>
    <row r="195" spans="1:26" s="43" customFormat="1" ht="23.25" customHeight="1">
      <c r="A195" s="425"/>
      <c r="B195" s="2880" t="s">
        <v>4729</v>
      </c>
      <c r="C195" s="2880"/>
      <c r="D195" s="2880"/>
      <c r="E195" s="2880"/>
      <c r="F195" s="2880"/>
      <c r="G195" s="2880"/>
      <c r="H195" s="2880"/>
      <c r="I195" s="2880"/>
      <c r="J195" s="2880"/>
      <c r="K195" s="2880"/>
      <c r="L195" s="2880"/>
      <c r="M195" s="2880"/>
      <c r="N195" s="2880"/>
      <c r="O195" s="2880"/>
      <c r="P195" s="2880"/>
      <c r="R195" s="3172"/>
      <c r="S195" s="3173"/>
      <c r="T195" s="3173"/>
      <c r="U195" s="3210"/>
    </row>
    <row r="196" spans="1:26" s="43" customFormat="1" ht="12" customHeight="1">
      <c r="A196" s="138" t="s">
        <v>1935</v>
      </c>
      <c r="B196" s="177" t="s">
        <v>4600</v>
      </c>
      <c r="C196" s="165"/>
      <c r="D196" s="165"/>
      <c r="E196" s="165"/>
      <c r="F196" s="165"/>
      <c r="G196" s="165" t="s">
        <v>4595</v>
      </c>
      <c r="H196" s="165"/>
      <c r="I196" s="165"/>
      <c r="J196" s="165"/>
      <c r="K196" s="1111" t="s">
        <v>4755</v>
      </c>
      <c r="L196" s="1111" t="s">
        <v>4755</v>
      </c>
      <c r="M196" s="426">
        <v>5</v>
      </c>
      <c r="N196" s="47" t="s">
        <v>1935</v>
      </c>
      <c r="O196" s="521">
        <f>IF(O210=0,0,MIN($M$196,SUM(O210:O211)))</f>
        <v>0</v>
      </c>
      <c r="P196" s="521">
        <f>IF(SUM(P210:P211)=$M$211,0,MIN($M$196,SUM(P210:P211)))</f>
        <v>0</v>
      </c>
      <c r="R196" s="3172"/>
      <c r="S196" s="3173"/>
      <c r="T196" s="3173"/>
      <c r="U196" s="3210"/>
    </row>
    <row r="197" spans="1:26" s="33" customFormat="1" ht="11.25" customHeight="1">
      <c r="B197" s="1735" t="s">
        <v>4599</v>
      </c>
      <c r="D197" s="1735"/>
      <c r="E197" s="1735"/>
      <c r="F197" s="1735"/>
      <c r="G197" s="1735"/>
      <c r="H197" s="1735"/>
      <c r="I197" s="1735"/>
      <c r="J197" s="385"/>
      <c r="K197" s="2315"/>
      <c r="L197" s="4254"/>
      <c r="R197" s="3172"/>
      <c r="S197" s="3173"/>
      <c r="T197" s="3173"/>
      <c r="U197" s="3210"/>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2443</v>
      </c>
      <c r="L198" s="1112" t="s">
        <v>2443</v>
      </c>
      <c r="N198" s="1133"/>
      <c r="P198" s="1134"/>
      <c r="R198" s="3172"/>
      <c r="S198" s="3173"/>
      <c r="T198" s="3173"/>
      <c r="U198" s="3210"/>
    </row>
    <row r="199" spans="1:26" s="390" customFormat="1" ht="11.25" customHeight="1">
      <c r="B199" s="986" t="s">
        <v>2371</v>
      </c>
      <c r="C199" s="2956" t="s">
        <v>4382</v>
      </c>
      <c r="D199" s="2956"/>
      <c r="E199" s="2956"/>
      <c r="F199" s="2956"/>
      <c r="G199" s="2956"/>
      <c r="H199" s="2956"/>
      <c r="I199" s="2956"/>
      <c r="J199" s="986" t="s">
        <v>2371</v>
      </c>
      <c r="K199" s="2315"/>
      <c r="L199" s="4254"/>
      <c r="M199" s="2994" t="s">
        <v>3640</v>
      </c>
      <c r="N199" s="2995"/>
      <c r="O199" s="2995"/>
      <c r="P199" s="2996"/>
      <c r="R199" s="3172"/>
      <c r="S199" s="3173"/>
      <c r="T199" s="3173"/>
      <c r="U199" s="3210"/>
      <c r="V199" s="1626"/>
      <c r="W199" s="1626"/>
      <c r="X199" s="1626"/>
      <c r="Y199" s="1626"/>
      <c r="Z199" s="1626"/>
    </row>
    <row r="200" spans="1:26" s="43" customFormat="1" ht="11.25" customHeight="1">
      <c r="A200" s="371"/>
      <c r="B200" s="373"/>
      <c r="C200" s="2956"/>
      <c r="D200" s="2956"/>
      <c r="E200" s="2956"/>
      <c r="F200" s="2956"/>
      <c r="G200" s="2956"/>
      <c r="H200" s="2956"/>
      <c r="I200" s="2956"/>
      <c r="J200" s="373"/>
      <c r="K200" s="1128"/>
      <c r="L200" s="1128"/>
      <c r="R200" s="3172"/>
      <c r="S200" s="3173"/>
      <c r="T200" s="3173"/>
      <c r="U200" s="3210"/>
    </row>
    <row r="201" spans="1:26" s="33" customFormat="1" ht="11.25" customHeight="1">
      <c r="B201" s="373" t="s">
        <v>2372</v>
      </c>
      <c r="C201" s="134" t="s">
        <v>4601</v>
      </c>
      <c r="D201" s="481"/>
      <c r="E201" s="481"/>
      <c r="F201" s="481"/>
      <c r="G201" s="481"/>
      <c r="H201" s="481"/>
      <c r="J201" s="373" t="s">
        <v>2372</v>
      </c>
      <c r="K201" s="2316"/>
      <c r="L201" s="4170"/>
      <c r="M201" s="2994" t="s">
        <v>3640</v>
      </c>
      <c r="N201" s="2995"/>
      <c r="O201" s="2995"/>
      <c r="P201" s="2996"/>
      <c r="R201" s="3172"/>
      <c r="S201" s="3173"/>
      <c r="T201" s="3173"/>
      <c r="U201" s="3210"/>
      <c r="V201" s="548"/>
      <c r="W201" s="548"/>
      <c r="X201" s="548"/>
      <c r="Y201" s="548"/>
      <c r="Z201" s="548"/>
    </row>
    <row r="202" spans="1:26" s="33" customFormat="1" ht="11.25" customHeight="1">
      <c r="B202" s="373" t="s">
        <v>2373</v>
      </c>
      <c r="C202" s="481" t="s">
        <v>4598</v>
      </c>
      <c r="D202" s="481"/>
      <c r="E202" s="481"/>
      <c r="F202" s="481"/>
      <c r="G202" s="481"/>
      <c r="H202" s="481"/>
      <c r="I202" s="481"/>
      <c r="J202" s="373" t="s">
        <v>2373</v>
      </c>
      <c r="K202" s="2317"/>
      <c r="L202" s="4255"/>
      <c r="R202" s="3172"/>
      <c r="S202" s="3173"/>
      <c r="T202" s="3173"/>
      <c r="U202" s="3210"/>
      <c r="V202" s="548"/>
      <c r="W202" s="548"/>
      <c r="X202" s="548"/>
      <c r="Y202" s="548"/>
      <c r="Z202" s="548"/>
    </row>
    <row r="203" spans="1:26" s="43" customFormat="1" ht="11.25" customHeight="1">
      <c r="A203" s="371"/>
      <c r="C203" s="373" t="s">
        <v>2374</v>
      </c>
      <c r="D203" s="428" t="s">
        <v>4381</v>
      </c>
      <c r="E203" s="1478"/>
      <c r="F203" s="1478"/>
      <c r="G203" s="1478"/>
      <c r="H203" s="1478"/>
      <c r="I203" s="1478"/>
      <c r="J203" s="373" t="s">
        <v>2374</v>
      </c>
      <c r="K203" s="2318"/>
      <c r="L203" s="4256"/>
      <c r="M203" s="481"/>
      <c r="N203" s="481"/>
      <c r="O203" s="481"/>
      <c r="P203" s="481"/>
      <c r="R203" s="3172"/>
      <c r="S203" s="3173"/>
      <c r="T203" s="3173"/>
      <c r="U203" s="3210"/>
    </row>
    <row r="204" spans="1:26" s="43" customFormat="1" ht="12" customHeight="1">
      <c r="A204" s="425"/>
      <c r="B204" s="49" t="s">
        <v>4597</v>
      </c>
      <c r="C204" s="165"/>
      <c r="D204" s="165"/>
      <c r="E204" s="165"/>
      <c r="F204" s="165"/>
      <c r="G204" s="165"/>
      <c r="H204" s="165"/>
      <c r="I204" s="165"/>
      <c r="J204" s="165"/>
      <c r="K204" s="1111" t="s">
        <v>2443</v>
      </c>
      <c r="L204" s="1112" t="s">
        <v>2443</v>
      </c>
      <c r="N204" s="1133"/>
      <c r="P204" s="1134"/>
      <c r="R204" s="3172"/>
      <c r="S204" s="3173"/>
      <c r="T204" s="3173"/>
      <c r="U204" s="3210"/>
    </row>
    <row r="205" spans="1:26" s="102" customFormat="1" ht="11.25" customHeight="1">
      <c r="A205" s="425"/>
      <c r="B205" s="373" t="s">
        <v>2375</v>
      </c>
      <c r="C205" s="2963" t="s">
        <v>4567</v>
      </c>
      <c r="D205" s="2963"/>
      <c r="E205" s="2963"/>
      <c r="F205" s="2963"/>
      <c r="G205" s="2963"/>
      <c r="J205" s="373" t="s">
        <v>2375</v>
      </c>
      <c r="K205" s="2319"/>
      <c r="L205" s="4170"/>
      <c r="M205" s="3019" t="s">
        <v>3640</v>
      </c>
      <c r="N205" s="3020"/>
      <c r="O205" s="3020"/>
      <c r="P205" s="3021"/>
      <c r="Q205" s="1612">
        <f>IF(K205="Yes",1,0)</f>
        <v>0</v>
      </c>
      <c r="R205" s="3172"/>
      <c r="S205" s="3173"/>
      <c r="T205" s="3173"/>
      <c r="U205" s="3210"/>
      <c r="V205" s="1612">
        <f>IF(L205="Yes",1,0)</f>
        <v>0</v>
      </c>
    </row>
    <row r="206" spans="1:26" s="33" customFormat="1" ht="11.25" customHeight="1">
      <c r="B206" s="385" t="s">
        <v>2391</v>
      </c>
      <c r="C206" s="481" t="s">
        <v>4311</v>
      </c>
      <c r="D206" s="481"/>
      <c r="E206" s="481"/>
      <c r="F206" s="481"/>
      <c r="G206" s="481"/>
      <c r="H206" s="481"/>
      <c r="J206" s="385" t="s">
        <v>2391</v>
      </c>
      <c r="K206" s="2320"/>
      <c r="L206" s="4171"/>
      <c r="M206" s="2997" t="s">
        <v>3640</v>
      </c>
      <c r="N206" s="2998"/>
      <c r="O206" s="2998"/>
      <c r="P206" s="2999"/>
      <c r="Q206" s="1612">
        <f t="shared" ref="Q206:Q207" si="18">IF(K206="Yes",1,0)</f>
        <v>0</v>
      </c>
      <c r="R206" s="3172"/>
      <c r="S206" s="3173"/>
      <c r="T206" s="3173"/>
      <c r="U206" s="3210"/>
      <c r="V206" s="1612">
        <f>IF(L206="Yes",1,0)</f>
        <v>0</v>
      </c>
      <c r="W206" s="548"/>
      <c r="X206" s="548"/>
      <c r="Y206" s="548"/>
      <c r="Z206" s="548"/>
    </row>
    <row r="207" spans="1:26" s="33" customFormat="1" ht="10.95" customHeight="1">
      <c r="B207" s="385" t="s">
        <v>2392</v>
      </c>
      <c r="C207" s="52" t="s">
        <v>4594</v>
      </c>
      <c r="D207" s="481"/>
      <c r="E207" s="481"/>
      <c r="F207" s="481"/>
      <c r="G207" s="481"/>
      <c r="J207" s="385" t="s">
        <v>2392</v>
      </c>
      <c r="K207" s="2321"/>
      <c r="L207" s="4172"/>
      <c r="M207" s="3201" t="s">
        <v>3640</v>
      </c>
      <c r="N207" s="3202"/>
      <c r="O207" s="3202"/>
      <c r="P207" s="3203"/>
      <c r="Q207" s="1612">
        <f t="shared" si="18"/>
        <v>0</v>
      </c>
      <c r="R207" s="3172"/>
      <c r="S207" s="3173"/>
      <c r="T207" s="3173"/>
      <c r="U207" s="3210"/>
      <c r="V207" s="1612">
        <f>IF(L207="Yes",1,0)</f>
        <v>0</v>
      </c>
      <c r="W207" s="548"/>
      <c r="X207" s="548"/>
      <c r="Y207" s="548"/>
      <c r="Z207" s="548"/>
    </row>
    <row r="208" spans="1:26" s="43" customFormat="1" ht="4.3499999999999996" customHeight="1">
      <c r="A208" s="371"/>
      <c r="B208" s="373"/>
      <c r="C208" s="1735"/>
      <c r="D208" s="1735"/>
      <c r="E208" s="1735"/>
      <c r="F208" s="1735"/>
      <c r="G208" s="1735"/>
      <c r="H208" s="1735"/>
      <c r="I208" s="1735"/>
      <c r="K208" s="1128"/>
      <c r="L208" s="1128"/>
      <c r="R208" s="3211"/>
      <c r="S208" s="3212"/>
      <c r="T208" s="3212"/>
      <c r="U208" s="3213"/>
    </row>
    <row r="209" spans="1:26" ht="11.25" customHeight="1">
      <c r="B209" s="1715" t="s">
        <v>4312</v>
      </c>
      <c r="H209" s="158"/>
      <c r="N209" s="27"/>
      <c r="O209" s="27"/>
      <c r="P209" s="27"/>
      <c r="Q209" s="983"/>
      <c r="U209" s="158"/>
      <c r="V209" s="158"/>
      <c r="W209" s="158"/>
      <c r="X209" s="2370"/>
      <c r="Y209" s="385"/>
      <c r="Z209" s="158"/>
    </row>
    <row r="210" spans="1:26" ht="22.5" customHeight="1">
      <c r="A210" s="498"/>
      <c r="B210" s="562" t="s">
        <v>1938</v>
      </c>
      <c r="C210" s="2946" t="s">
        <v>4370</v>
      </c>
      <c r="D210" s="2946"/>
      <c r="E210" s="2946"/>
      <c r="F210" s="2946"/>
      <c r="G210" s="2946"/>
      <c r="H210" s="2946"/>
      <c r="I210" s="2946"/>
      <c r="J210" s="2946"/>
      <c r="K210" s="2946"/>
      <c r="L210" s="2946"/>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4369</v>
      </c>
      <c r="D211" s="985"/>
      <c r="E211" s="985"/>
      <c r="F211" s="985"/>
      <c r="G211" s="985"/>
      <c r="H211" s="985"/>
      <c r="I211" s="985"/>
      <c r="J211" s="428" t="s">
        <v>3589</v>
      </c>
      <c r="K211" s="33"/>
      <c r="L211" s="1473" t="str">
        <f>'Part I-Project Information'!$N$39</f>
        <v>No</v>
      </c>
      <c r="M211" s="2389">
        <v>2</v>
      </c>
      <c r="N211" s="430" t="s">
        <v>1940</v>
      </c>
      <c r="O211" s="2322"/>
      <c r="P211" s="4257"/>
      <c r="Q211" s="1477" t="str">
        <f>IF(OR($O211=$M211,$O211=0,$O211=""),"","*CHECK!*")</f>
        <v/>
      </c>
      <c r="R211" s="974" t="s">
        <v>4767</v>
      </c>
    </row>
    <row r="212" spans="1:26" ht="12" customHeight="1">
      <c r="A212" s="498"/>
      <c r="B212" s="562"/>
      <c r="C212" s="2963" t="s">
        <v>4569</v>
      </c>
      <c r="D212" s="2963"/>
      <c r="E212" s="2963"/>
      <c r="F212" s="2963"/>
      <c r="G212" s="2963"/>
      <c r="H212" s="2963"/>
      <c r="I212" s="1448"/>
      <c r="J212" s="428" t="s">
        <v>3438</v>
      </c>
      <c r="K212" s="1475"/>
      <c r="L212" s="1474" t="str">
        <f>'Part I-Project Information'!$O$38</f>
        <v>13169030301</v>
      </c>
      <c r="M212" s="1449"/>
      <c r="N212" s="1077"/>
      <c r="O212" s="1077"/>
      <c r="P212" s="1077"/>
      <c r="Q212" s="978"/>
      <c r="R212" s="974"/>
    </row>
    <row r="213" spans="1:26" ht="12" customHeight="1">
      <c r="A213" s="498"/>
      <c r="B213" s="465"/>
      <c r="C213" s="2963"/>
      <c r="D213" s="2963"/>
      <c r="E213" s="2963"/>
      <c r="F213" s="2963"/>
      <c r="G213" s="2963"/>
      <c r="H213" s="2963"/>
      <c r="J213" s="428" t="s">
        <v>3264</v>
      </c>
      <c r="K213" s="33"/>
      <c r="L213" s="1472" t="str">
        <f>'Part IV-A-Uses of Funds'!$H$152</f>
        <v>&lt;&lt;Select&gt;&gt;</v>
      </c>
      <c r="M213" s="1472"/>
      <c r="N213" s="27"/>
      <c r="O213" s="27"/>
      <c r="P213" s="27"/>
      <c r="R213" s="158"/>
    </row>
    <row r="214" spans="1:26" ht="12" customHeight="1">
      <c r="A214" s="138" t="s">
        <v>1937</v>
      </c>
      <c r="B214" s="177" t="s">
        <v>4313</v>
      </c>
      <c r="D214" s="33"/>
      <c r="F214" s="1443"/>
      <c r="K214" s="1104"/>
      <c r="L214" s="374" t="str">
        <f>IF(OR($O214=$M214,$O214=0,$O214=""),"","* * Check Score! * *")</f>
        <v/>
      </c>
      <c r="M214" s="426">
        <v>2</v>
      </c>
      <c r="N214" s="63" t="s">
        <v>1937</v>
      </c>
      <c r="O214" s="2291"/>
      <c r="P214" s="4258"/>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2991"/>
      <c r="K216" s="2992"/>
      <c r="L216" s="2992"/>
      <c r="M216" s="2992"/>
      <c r="N216" s="2992"/>
      <c r="O216" s="2992"/>
      <c r="P216" s="2993"/>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2845" t="s">
        <v>2730</v>
      </c>
      <c r="K217" s="3162"/>
      <c r="L217" s="3163"/>
      <c r="M217" s="102"/>
      <c r="N217" s="102"/>
      <c r="O217" s="102"/>
      <c r="P217" s="102"/>
      <c r="V217" s="1023"/>
      <c r="W217" s="1023"/>
    </row>
    <row r="218" spans="1:26" ht="11.25" customHeight="1">
      <c r="A218" s="176"/>
      <c r="B218" s="455" t="s">
        <v>3592</v>
      </c>
      <c r="C218" s="428" t="s">
        <v>4570</v>
      </c>
      <c r="D218" s="33"/>
      <c r="E218" s="33"/>
      <c r="F218" s="561"/>
      <c r="G218" s="561"/>
      <c r="H218" s="561"/>
      <c r="I218" s="33"/>
      <c r="J218" s="2256"/>
      <c r="K218" s="3158" t="s">
        <v>4315</v>
      </c>
      <c r="L218" s="3159"/>
      <c r="M218" s="3159"/>
      <c r="N218" s="3159"/>
      <c r="O218" s="1439"/>
      <c r="P218" s="92"/>
      <c r="V218" s="1023"/>
      <c r="W218" s="1023"/>
    </row>
    <row r="219" spans="1:26" ht="11.25" customHeight="1">
      <c r="A219" s="176"/>
      <c r="B219" s="385" t="s">
        <v>3594</v>
      </c>
      <c r="C219" s="428" t="s">
        <v>4314</v>
      </c>
      <c r="D219" s="33"/>
      <c r="E219" s="33"/>
      <c r="F219" s="561"/>
      <c r="G219" s="561"/>
      <c r="H219" s="561"/>
      <c r="I219" s="33"/>
      <c r="J219" s="2257"/>
      <c r="K219" s="3158"/>
      <c r="L219" s="3159"/>
      <c r="M219" s="3159"/>
      <c r="N219" s="3159"/>
      <c r="O219" s="2323"/>
      <c r="P219" s="1440" t="s">
        <v>3597</v>
      </c>
      <c r="V219" s="1023"/>
      <c r="W219" s="1023"/>
    </row>
    <row r="220" spans="1:26" ht="11.25" customHeight="1">
      <c r="A220" s="176"/>
      <c r="B220" s="385" t="s">
        <v>3595</v>
      </c>
      <c r="C220" s="428" t="s">
        <v>4317</v>
      </c>
      <c r="D220" s="33"/>
      <c r="E220" s="33"/>
      <c r="F220" s="561"/>
      <c r="G220" s="561"/>
      <c r="H220" s="561"/>
      <c r="I220" s="33"/>
      <c r="J220" s="2258"/>
      <c r="L220" s="1441" t="s">
        <v>4316</v>
      </c>
      <c r="N220" s="1442"/>
      <c r="O220" s="3160"/>
      <c r="P220" s="3161"/>
      <c r="V220" s="1023"/>
      <c r="W220" s="1023"/>
    </row>
    <row r="221" spans="1:26" ht="2.25" customHeight="1">
      <c r="A221" s="176"/>
      <c r="G221" s="389"/>
      <c r="L221" s="1086"/>
      <c r="V221" s="1023"/>
      <c r="W221" s="1023"/>
    </row>
    <row r="222" spans="1:26" ht="21.75" customHeight="1">
      <c r="A222" s="3186" t="s">
        <v>3825</v>
      </c>
      <c r="B222" s="3184" t="s">
        <v>3823</v>
      </c>
      <c r="C222" s="3185"/>
      <c r="D222" s="2892"/>
      <c r="E222" s="2893"/>
      <c r="F222" s="2893"/>
      <c r="G222" s="2893"/>
      <c r="H222" s="2893"/>
      <c r="I222" s="2893"/>
      <c r="J222" s="2893"/>
      <c r="K222" s="2893"/>
      <c r="L222" s="2893"/>
      <c r="M222" s="2893"/>
      <c r="N222" s="2893"/>
      <c r="O222" s="2893"/>
      <c r="P222" s="2894"/>
      <c r="Q222" s="440"/>
      <c r="V222" s="1023"/>
      <c r="W222" s="1023"/>
    </row>
    <row r="223" spans="1:26" ht="22.5" customHeight="1">
      <c r="A223" s="3187"/>
      <c r="B223" s="3156" t="s">
        <v>3824</v>
      </c>
      <c r="C223" s="3157"/>
      <c r="D223" s="2888"/>
      <c r="E223" s="2889"/>
      <c r="F223" s="2889"/>
      <c r="G223" s="2889"/>
      <c r="H223" s="2889"/>
      <c r="I223" s="2889"/>
      <c r="J223" s="2889"/>
      <c r="K223" s="2889"/>
      <c r="L223" s="2889"/>
      <c r="M223" s="2889"/>
      <c r="N223" s="2889"/>
      <c r="O223" s="2889"/>
      <c r="P223" s="2890"/>
      <c r="Q223" s="440"/>
      <c r="V223" s="1023"/>
      <c r="W223" s="1023"/>
    </row>
    <row r="224" spans="1:26" ht="22.5" customHeight="1">
      <c r="A224" s="3188"/>
      <c r="B224" s="3214" t="s">
        <v>4366</v>
      </c>
      <c r="C224" s="3215"/>
      <c r="D224" s="2722"/>
      <c r="E224" s="2886"/>
      <c r="F224" s="2886"/>
      <c r="G224" s="2886"/>
      <c r="H224" s="2886"/>
      <c r="I224" s="2886"/>
      <c r="J224" s="2886"/>
      <c r="K224" s="2886"/>
      <c r="L224" s="2886"/>
      <c r="M224" s="2886"/>
      <c r="N224" s="2886"/>
      <c r="O224" s="2886"/>
      <c r="P224" s="2887"/>
      <c r="Q224" s="440"/>
      <c r="V224" s="1023"/>
      <c r="W224" s="1023"/>
    </row>
    <row r="225" spans="1:23" ht="11.25" customHeight="1">
      <c r="B225" s="36" t="s">
        <v>3338</v>
      </c>
      <c r="G225" s="2962" t="s">
        <v>2559</v>
      </c>
      <c r="H225" s="2962"/>
      <c r="J225" s="2960"/>
      <c r="K225" s="2961"/>
      <c r="L225" s="4259"/>
      <c r="M225" s="4260"/>
      <c r="V225" s="1023"/>
      <c r="W225" s="1023"/>
    </row>
    <row r="226" spans="1:23" s="43" customFormat="1" ht="11.25" customHeight="1">
      <c r="C226" s="36" t="s">
        <v>3339</v>
      </c>
      <c r="D226" s="2380"/>
      <c r="G226" s="3226">
        <f>'Part IV-A-Uses of Funds'!$G$132</f>
        <v>10740700</v>
      </c>
      <c r="H226" s="3227"/>
      <c r="J226" s="3224">
        <f>IF($J225=0,0,$J225/$G$226)</f>
        <v>0</v>
      </c>
      <c r="K226" s="3225"/>
      <c r="L226" s="3224">
        <f>IF($L225=0,0,$L225/$G$226)</f>
        <v>0</v>
      </c>
      <c r="M226" s="3225"/>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3"/>
    </row>
    <row r="228" spans="1:23" s="43" customFormat="1" ht="21.75" customHeight="1" thickTop="1" thickBot="1">
      <c r="A228" s="3003" t="s">
        <v>948</v>
      </c>
      <c r="B228" s="3004"/>
      <c r="C228" s="3004"/>
      <c r="D228" s="3004"/>
      <c r="E228" s="3004"/>
      <c r="F228" s="3004"/>
      <c r="G228" s="3004"/>
      <c r="H228" s="3004"/>
      <c r="I228" s="3004"/>
      <c r="J228" s="3004"/>
      <c r="K228" s="3004"/>
      <c r="L228" s="3004"/>
      <c r="M228" s="3004"/>
      <c r="N228" s="3004"/>
      <c r="O228" s="3004"/>
      <c r="P228" s="3005"/>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2725"/>
      <c r="B230" s="2726"/>
      <c r="C230" s="2726"/>
      <c r="D230" s="2726"/>
      <c r="E230" s="2726"/>
      <c r="F230" s="2726"/>
      <c r="G230" s="2726"/>
      <c r="H230" s="2726"/>
      <c r="I230" s="2726"/>
      <c r="J230" s="2726"/>
      <c r="K230" s="2726"/>
      <c r="L230" s="2726"/>
      <c r="M230" s="2726"/>
      <c r="N230" s="2726"/>
      <c r="O230" s="2726"/>
      <c r="P230" s="2727"/>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3738</v>
      </c>
      <c r="C232" s="2380"/>
      <c r="D232" s="2380"/>
      <c r="E232" s="2380"/>
      <c r="F232" s="2380"/>
      <c r="G232" s="2380"/>
      <c r="H232" s="2380"/>
      <c r="I232" s="2380"/>
      <c r="J232" s="2380"/>
      <c r="M232" s="846">
        <v>3</v>
      </c>
      <c r="N232" s="74"/>
      <c r="O232" s="70"/>
      <c r="P232" s="4249"/>
      <c r="Q232" s="109" t="s">
        <v>433</v>
      </c>
      <c r="R232" s="974" t="s">
        <v>2625</v>
      </c>
    </row>
    <row r="233" spans="1:23" s="43" customFormat="1" ht="13.5" customHeight="1">
      <c r="A233" s="152"/>
      <c r="B233" s="103" t="s">
        <v>4118</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4261"/>
      <c r="Q233" s="109"/>
      <c r="R233" s="3220" t="s">
        <v>4766</v>
      </c>
      <c r="S233" s="3220"/>
      <c r="T233" s="3220"/>
      <c r="U233" s="3220"/>
    </row>
    <row r="234" spans="1:23" s="43" customFormat="1" ht="13.5" customHeight="1">
      <c r="A234" s="152"/>
      <c r="B234" s="113" t="s">
        <v>3739</v>
      </c>
      <c r="C234" s="2380"/>
      <c r="D234" s="2380"/>
      <c r="E234" s="2380"/>
      <c r="F234" s="2380"/>
      <c r="G234" s="2380"/>
      <c r="H234" s="2380"/>
      <c r="I234" s="2380"/>
      <c r="J234" s="2380"/>
      <c r="K234" s="2378" t="s">
        <v>3140</v>
      </c>
      <c r="L234" s="2378" t="s">
        <v>251</v>
      </c>
      <c r="M234" s="846"/>
      <c r="N234" s="74"/>
      <c r="O234" s="70"/>
      <c r="P234" s="70"/>
      <c r="Q234" s="109"/>
      <c r="R234" s="3220"/>
      <c r="S234" s="3220"/>
      <c r="T234" s="3220"/>
      <c r="U234" s="3220"/>
    </row>
    <row r="235" spans="1:23" s="43" customFormat="1" ht="11.25" customHeight="1">
      <c r="A235" s="138"/>
      <c r="C235" s="55" t="s">
        <v>4571</v>
      </c>
      <c r="K235" s="1108">
        <f>$O$193</f>
        <v>0</v>
      </c>
      <c r="L235" s="1109">
        <f>$P$193</f>
        <v>0</v>
      </c>
      <c r="N235" s="455" t="s">
        <v>2371</v>
      </c>
      <c r="O235" s="2256"/>
      <c r="P235" s="518"/>
      <c r="R235" s="3220"/>
      <c r="S235" s="3220"/>
      <c r="T235" s="3220"/>
      <c r="U235" s="3220"/>
    </row>
    <row r="236" spans="1:23" s="43" customFormat="1" ht="11.25" customHeight="1">
      <c r="A236" s="138"/>
      <c r="C236" s="55" t="s">
        <v>4756</v>
      </c>
      <c r="K236" s="1108">
        <f>$O$112</f>
        <v>4</v>
      </c>
      <c r="L236" s="1109">
        <f>$P$112</f>
        <v>0</v>
      </c>
      <c r="N236" s="455" t="s">
        <v>2372</v>
      </c>
      <c r="O236" s="2257"/>
      <c r="P236" s="519"/>
      <c r="R236" s="3220"/>
      <c r="S236" s="3220"/>
      <c r="T236" s="3220"/>
      <c r="U236" s="3220"/>
    </row>
    <row r="237" spans="1:23" s="43" customFormat="1" ht="11.25" customHeight="1">
      <c r="C237" s="55" t="s">
        <v>4572</v>
      </c>
      <c r="N237" s="455" t="s">
        <v>2373</v>
      </c>
      <c r="O237" s="2258"/>
      <c r="P237" s="519"/>
      <c r="R237" s="3220"/>
      <c r="S237" s="3220"/>
      <c r="T237" s="3220"/>
      <c r="U237" s="3220"/>
    </row>
    <row r="238" spans="1:23" s="43" customFormat="1" ht="11.25" customHeight="1">
      <c r="A238" s="138"/>
      <c r="C238" s="55" t="s">
        <v>4757</v>
      </c>
      <c r="K238" s="1433" t="str">
        <f>'Part I-Project Information'!F38</f>
        <v>Gray</v>
      </c>
      <c r="L238" s="2399"/>
      <c r="N238" s="455" t="s">
        <v>2374</v>
      </c>
      <c r="O238" s="455"/>
      <c r="P238" s="519"/>
      <c r="R238" s="3220"/>
      <c r="S238" s="3220"/>
      <c r="T238" s="3220"/>
      <c r="U238" s="3220"/>
    </row>
    <row r="239" spans="1:23" s="43" customFormat="1" ht="11.25" customHeight="1">
      <c r="A239" s="138"/>
      <c r="C239" s="55" t="s">
        <v>4758</v>
      </c>
      <c r="K239" s="1108">
        <f>$O$150</f>
        <v>1</v>
      </c>
      <c r="L239" s="1109">
        <f>$P$150</f>
        <v>0</v>
      </c>
      <c r="N239" s="455" t="s">
        <v>2375</v>
      </c>
      <c r="O239" s="2256"/>
      <c r="P239" s="519"/>
      <c r="R239" s="3220"/>
      <c r="S239" s="3220"/>
      <c r="T239" s="3220"/>
      <c r="U239" s="3220"/>
    </row>
    <row r="240" spans="1:23" s="43" customFormat="1" ht="11.25" customHeight="1">
      <c r="A240" s="138"/>
      <c r="C240" s="55" t="s">
        <v>4759</v>
      </c>
      <c r="K240" s="1108">
        <f>$O$265</f>
        <v>5</v>
      </c>
      <c r="L240" s="1109">
        <f>$P$265</f>
        <v>0</v>
      </c>
      <c r="N240" s="455" t="s">
        <v>2374</v>
      </c>
      <c r="O240" s="2258"/>
      <c r="P240" s="520"/>
      <c r="R240" s="3220"/>
      <c r="S240" s="3220"/>
      <c r="T240" s="3220"/>
      <c r="U240" s="3220"/>
    </row>
    <row r="241" spans="1:23" s="43" customFormat="1" ht="3" customHeight="1">
      <c r="A241" s="42"/>
      <c r="C241" s="2380"/>
      <c r="D241" s="2380"/>
      <c r="E241" s="2380"/>
      <c r="F241" s="2380"/>
      <c r="G241" s="2380"/>
      <c r="H241" s="2380"/>
      <c r="I241" s="2380"/>
      <c r="J241" s="2380"/>
      <c r="K241" s="2380"/>
      <c r="L241" s="2380"/>
      <c r="M241" s="2380"/>
      <c r="N241" s="74"/>
      <c r="O241" s="70"/>
      <c r="P241" s="846"/>
      <c r="R241" s="3220"/>
      <c r="S241" s="3220"/>
      <c r="T241" s="3220"/>
      <c r="U241" s="3220"/>
    </row>
    <row r="242" spans="1:23" ht="11.25" customHeight="1">
      <c r="A242" s="138" t="s">
        <v>1935</v>
      </c>
      <c r="B242" s="177" t="s">
        <v>3741</v>
      </c>
      <c r="D242" s="33"/>
      <c r="G242" s="465" t="s">
        <v>3593</v>
      </c>
      <c r="N242" s="27"/>
      <c r="O242" s="27"/>
      <c r="P242" s="27"/>
      <c r="Q242" s="983"/>
      <c r="R242" s="3220"/>
      <c r="S242" s="3220"/>
      <c r="T242" s="3220"/>
      <c r="U242" s="3220"/>
    </row>
    <row r="243" spans="1:23" s="33" customFormat="1" ht="11.25" customHeight="1">
      <c r="A243" s="498"/>
      <c r="C243" s="134" t="s">
        <v>3645</v>
      </c>
      <c r="E243" s="3230"/>
      <c r="F243" s="3231"/>
      <c r="G243" s="3231"/>
      <c r="H243" s="3231"/>
      <c r="I243" s="3232"/>
      <c r="J243" s="2387" t="s">
        <v>2624</v>
      </c>
      <c r="K243" s="3204"/>
      <c r="L243" s="3205"/>
      <c r="M243" s="3205"/>
      <c r="N243" s="3205"/>
      <c r="O243" s="3206"/>
      <c r="P243" s="548"/>
      <c r="Q243" s="983"/>
      <c r="R243" s="3220"/>
      <c r="S243" s="3220"/>
      <c r="T243" s="3220"/>
      <c r="U243" s="3220"/>
    </row>
    <row r="244" spans="1:23" s="33" customFormat="1" ht="11.25" customHeight="1">
      <c r="A244" s="498"/>
      <c r="C244" s="134" t="s">
        <v>2143</v>
      </c>
      <c r="E244" s="3221"/>
      <c r="F244" s="3222"/>
      <c r="G244" s="3223"/>
      <c r="H244" s="1716" t="s">
        <v>1679</v>
      </c>
      <c r="I244" s="2324"/>
      <c r="J244" s="428" t="s">
        <v>1755</v>
      </c>
      <c r="K244" s="3221"/>
      <c r="L244" s="3222"/>
      <c r="M244" s="3222"/>
      <c r="N244" s="3222"/>
      <c r="O244" s="3223"/>
      <c r="Q244" s="983"/>
      <c r="R244" s="3220"/>
      <c r="S244" s="3220"/>
      <c r="T244" s="3220"/>
      <c r="U244" s="3220"/>
      <c r="V244" s="1023"/>
      <c r="W244" s="1023"/>
    </row>
    <row r="245" spans="1:23" ht="3" customHeight="1">
      <c r="A245" s="498"/>
      <c r="C245" s="985"/>
      <c r="D245" s="985"/>
      <c r="E245" s="985"/>
      <c r="F245" s="985"/>
      <c r="G245" s="985"/>
      <c r="H245" s="985"/>
      <c r="I245" s="985"/>
      <c r="J245" s="985"/>
      <c r="K245" s="985"/>
      <c r="L245" s="985"/>
      <c r="N245" s="27"/>
      <c r="O245" s="27"/>
      <c r="P245" s="27"/>
      <c r="Q245" s="983"/>
      <c r="R245" s="3220"/>
      <c r="S245" s="3220"/>
      <c r="T245" s="3220"/>
      <c r="U245" s="3220"/>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3220"/>
      <c r="S246" s="3220"/>
      <c r="T246" s="3220"/>
      <c r="U246" s="3220"/>
    </row>
    <row r="247" spans="1:23" s="33" customFormat="1" ht="21.75" customHeight="1">
      <c r="A247" s="2389"/>
      <c r="B247" s="588"/>
      <c r="C247" s="2963" t="s">
        <v>4760</v>
      </c>
      <c r="D247" s="2963"/>
      <c r="E247" s="2963"/>
      <c r="F247" s="2963"/>
      <c r="G247" s="2963"/>
      <c r="H247" s="2963"/>
      <c r="I247" s="2963"/>
      <c r="J247" s="2963"/>
      <c r="K247" s="2963"/>
      <c r="L247" s="2963"/>
      <c r="M247" s="2963"/>
      <c r="N247" s="388" t="s">
        <v>1938</v>
      </c>
      <c r="O247" s="2271"/>
      <c r="P247" s="1089"/>
      <c r="Q247" s="981"/>
      <c r="V247" s="1023"/>
      <c r="W247" s="1023"/>
    </row>
    <row r="248" spans="1:23" ht="11.25" customHeight="1">
      <c r="A248" s="498"/>
      <c r="B248" s="562" t="s">
        <v>1940</v>
      </c>
      <c r="C248" s="985" t="s">
        <v>3742</v>
      </c>
      <c r="D248" s="981"/>
      <c r="E248" s="981"/>
      <c r="F248" s="981"/>
      <c r="G248" s="465" t="s">
        <v>3593</v>
      </c>
      <c r="H248" s="981"/>
      <c r="I248" s="981"/>
      <c r="J248" s="981"/>
      <c r="K248" s="981"/>
      <c r="L248" s="981"/>
      <c r="M248" s="981"/>
      <c r="N248" s="981"/>
      <c r="O248" s="506" t="s">
        <v>2443</v>
      </c>
      <c r="P248" s="506" t="s">
        <v>2443</v>
      </c>
      <c r="Q248" s="981"/>
    </row>
    <row r="249" spans="1:23" ht="21" customHeight="1">
      <c r="A249" s="498"/>
      <c r="B249" s="987"/>
      <c r="C249" s="2956" t="s">
        <v>4573</v>
      </c>
      <c r="D249" s="2956"/>
      <c r="E249" s="2956"/>
      <c r="F249" s="2956"/>
      <c r="G249" s="2956"/>
      <c r="H249" s="2956"/>
      <c r="I249" s="2956"/>
      <c r="J249" s="2956"/>
      <c r="K249" s="2956"/>
      <c r="L249" s="2956"/>
      <c r="M249" s="2956"/>
      <c r="N249" s="388" t="s">
        <v>1940</v>
      </c>
      <c r="O249" s="2271"/>
      <c r="P249" s="1089"/>
      <c r="Q249" s="984"/>
      <c r="V249" s="1023"/>
      <c r="W249" s="1023"/>
    </row>
    <row r="250" spans="1:23" ht="11.25" customHeight="1">
      <c r="A250" s="138"/>
      <c r="B250" s="847" t="s">
        <v>2467</v>
      </c>
      <c r="C250" s="559" t="s">
        <v>3596</v>
      </c>
      <c r="D250" s="33"/>
      <c r="N250" s="27"/>
      <c r="O250" s="27"/>
      <c r="P250" s="27"/>
      <c r="Q250" s="114"/>
    </row>
    <row r="251" spans="1:23" s="33" customFormat="1" ht="21.75" customHeight="1">
      <c r="A251" s="498"/>
      <c r="B251" s="988"/>
      <c r="C251" s="2946" t="s">
        <v>3744</v>
      </c>
      <c r="D251" s="2946"/>
      <c r="E251" s="2946"/>
      <c r="F251" s="2946"/>
      <c r="G251" s="2946"/>
      <c r="H251" s="2946"/>
      <c r="I251" s="2946"/>
      <c r="J251" s="2946"/>
      <c r="K251" s="2946"/>
      <c r="L251" s="2946"/>
      <c r="M251" s="2946"/>
      <c r="N251" s="388" t="s">
        <v>2467</v>
      </c>
      <c r="O251" s="2271"/>
      <c r="P251" s="1089"/>
      <c r="Q251" s="984"/>
      <c r="V251" s="1023"/>
      <c r="W251" s="1023"/>
    </row>
    <row r="252" spans="1:23" s="33" customFormat="1" ht="10.5" customHeight="1">
      <c r="A252" s="498"/>
      <c r="B252" s="988"/>
      <c r="C252" s="2395"/>
      <c r="D252" s="2395"/>
      <c r="E252" s="2395"/>
      <c r="F252" s="2395"/>
      <c r="G252" s="588" t="s">
        <v>4383</v>
      </c>
      <c r="H252" s="2395"/>
      <c r="J252" s="2948"/>
      <c r="K252" s="2949"/>
      <c r="L252" s="2395"/>
      <c r="M252" s="2395"/>
      <c r="N252" s="2395"/>
      <c r="O252" s="2395"/>
      <c r="P252" s="2395"/>
      <c r="Q252" s="984"/>
      <c r="V252" s="1023"/>
      <c r="W252" s="1023"/>
    </row>
    <row r="253" spans="1:23" s="390" customFormat="1" ht="21" customHeight="1">
      <c r="A253" s="1727"/>
      <c r="B253" s="986" t="s">
        <v>2371</v>
      </c>
      <c r="C253" s="2946" t="s">
        <v>3745</v>
      </c>
      <c r="D253" s="2946"/>
      <c r="E253" s="2946"/>
      <c r="F253" s="2946"/>
      <c r="G253" s="2946"/>
      <c r="H253" s="2946"/>
      <c r="I253" s="2946"/>
      <c r="J253" s="2946"/>
      <c r="K253" s="2946"/>
      <c r="L253" s="2946"/>
      <c r="M253" s="2946"/>
      <c r="N253" s="986" t="s">
        <v>2371</v>
      </c>
      <c r="O253" s="2268"/>
      <c r="P253" s="1088"/>
      <c r="Q253" s="1728"/>
      <c r="V253" s="1729"/>
      <c r="W253" s="1729"/>
    </row>
    <row r="254" spans="1:23" s="33" customFormat="1" ht="11.25" customHeight="1">
      <c r="A254" s="498"/>
      <c r="B254" s="385" t="s">
        <v>2372</v>
      </c>
      <c r="C254" s="2963" t="s">
        <v>4318</v>
      </c>
      <c r="D254" s="2963"/>
      <c r="E254" s="2963"/>
      <c r="F254" s="2963"/>
      <c r="G254" s="2963"/>
      <c r="H254" s="2963"/>
      <c r="I254" s="2963"/>
      <c r="J254" s="2963"/>
      <c r="K254" s="2963"/>
      <c r="L254" s="2963"/>
      <c r="M254" s="2963"/>
      <c r="N254" s="385" t="s">
        <v>2372</v>
      </c>
      <c r="O254" s="2258"/>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3743</v>
      </c>
      <c r="D257" s="33"/>
      <c r="G257" s="465" t="s">
        <v>3593</v>
      </c>
      <c r="N257" s="27"/>
      <c r="O257" s="506" t="s">
        <v>2443</v>
      </c>
      <c r="P257" s="506" t="s">
        <v>2443</v>
      </c>
      <c r="Q257" s="983"/>
    </row>
    <row r="258" spans="1:24" ht="22.5" customHeight="1">
      <c r="B258" s="562" t="s">
        <v>1938</v>
      </c>
      <c r="C258" s="3023" t="s">
        <v>4574</v>
      </c>
      <c r="D258" s="3023"/>
      <c r="E258" s="3023"/>
      <c r="F258" s="3023"/>
      <c r="G258" s="3023"/>
      <c r="H258" s="3023"/>
      <c r="I258" s="3023"/>
      <c r="J258" s="3023"/>
      <c r="K258" s="3023"/>
      <c r="L258" s="3023"/>
      <c r="M258" s="1070" t="s">
        <v>1937</v>
      </c>
      <c r="N258" s="388" t="s">
        <v>1938</v>
      </c>
      <c r="O258" s="2268"/>
      <c r="P258" s="1088"/>
      <c r="Q258" s="983"/>
      <c r="V258" s="1023"/>
      <c r="W258" s="1023"/>
    </row>
    <row r="259" spans="1:24" s="33" customFormat="1" ht="11.25" customHeight="1">
      <c r="A259" s="498"/>
      <c r="B259" s="562" t="s">
        <v>1940</v>
      </c>
      <c r="C259" s="428" t="s">
        <v>4575</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45.6" customHeight="1" thickTop="1" thickBot="1">
      <c r="A261" s="2957" t="s">
        <v>948</v>
      </c>
      <c r="B261" s="2958"/>
      <c r="C261" s="2958"/>
      <c r="D261" s="2958"/>
      <c r="E261" s="2958"/>
      <c r="F261" s="2958"/>
      <c r="G261" s="2958"/>
      <c r="H261" s="2958"/>
      <c r="I261" s="2958"/>
      <c r="J261" s="2958"/>
      <c r="K261" s="2958"/>
      <c r="L261" s="2958"/>
      <c r="M261" s="2958"/>
      <c r="N261" s="2958"/>
      <c r="O261" s="2958"/>
      <c r="P261" s="2959"/>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35" customHeight="1">
      <c r="A263" s="4211"/>
      <c r="B263" s="4212"/>
      <c r="C263" s="4212"/>
      <c r="D263" s="4212"/>
      <c r="E263" s="4212"/>
      <c r="F263" s="4212"/>
      <c r="G263" s="4212"/>
      <c r="H263" s="4212"/>
      <c r="I263" s="4212"/>
      <c r="J263" s="4212"/>
      <c r="K263" s="4212"/>
      <c r="L263" s="4212"/>
      <c r="M263" s="4212"/>
      <c r="N263" s="4212"/>
      <c r="O263" s="4212"/>
      <c r="P263" s="4213"/>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3">
        <v>5</v>
      </c>
      <c r="N265" s="7"/>
      <c r="O265" s="1083">
        <f>O267+O276</f>
        <v>5</v>
      </c>
      <c r="P265" s="1083">
        <f>P267+P276</f>
        <v>0</v>
      </c>
      <c r="Q265" s="109" t="s">
        <v>433</v>
      </c>
      <c r="S265" s="3175" t="s">
        <v>4593</v>
      </c>
      <c r="T265" s="3176"/>
      <c r="U265" s="3177"/>
      <c r="V265" s="43"/>
      <c r="W265" s="43"/>
      <c r="X265" s="43"/>
    </row>
    <row r="266" spans="1:24" s="102" customFormat="1" ht="1.5" customHeight="1">
      <c r="A266" s="152"/>
      <c r="B266" s="106"/>
      <c r="C266" s="92"/>
      <c r="D266" s="59"/>
      <c r="E266" s="59"/>
      <c r="G266" s="172"/>
      <c r="M266" s="560"/>
      <c r="Q266" s="109"/>
      <c r="S266" s="3178"/>
      <c r="T266" s="3179"/>
      <c r="U266" s="3180"/>
      <c r="V266" s="43"/>
      <c r="W266" s="43"/>
      <c r="X266" s="43"/>
    </row>
    <row r="267" spans="1:24" s="102" customFormat="1" ht="11.25" customHeight="1">
      <c r="A267" s="2950" t="s">
        <v>1935</v>
      </c>
      <c r="B267" s="833" t="s">
        <v>4320</v>
      </c>
      <c r="C267" s="92"/>
      <c r="D267" s="59"/>
      <c r="E267" s="59"/>
      <c r="G267" s="465" t="s">
        <v>4730</v>
      </c>
      <c r="I267" s="1719" t="str">
        <f>'Part I-Project Information'!$O$38</f>
        <v>13169030301</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4262"/>
      <c r="Q267" s="109"/>
      <c r="S267" s="3178"/>
      <c r="T267" s="3179"/>
      <c r="U267" s="3180"/>
      <c r="V267" s="43"/>
      <c r="W267" s="43"/>
      <c r="X267" s="43"/>
    </row>
    <row r="268" spans="1:24" ht="11.4" customHeight="1">
      <c r="A268" s="2950"/>
      <c r="B268" s="110" t="s">
        <v>2702</v>
      </c>
      <c r="C268" s="502"/>
      <c r="D268" s="502"/>
      <c r="G268" s="503" t="str">
        <f>'Part I-Project Information'!$H$105</f>
        <v>Rural</v>
      </c>
      <c r="N268" s="1438" t="s">
        <v>1935</v>
      </c>
      <c r="O268" s="1112" t="s">
        <v>2443</v>
      </c>
      <c r="P268" s="1112" t="s">
        <v>2443</v>
      </c>
      <c r="S268" s="3178"/>
      <c r="T268" s="3179"/>
      <c r="U268" s="3180"/>
      <c r="V268" s="43"/>
      <c r="W268" s="43"/>
      <c r="X268" s="43"/>
    </row>
    <row r="269" spans="1:24" ht="11.4" customHeight="1">
      <c r="A269" s="2950"/>
      <c r="B269" s="847" t="s">
        <v>1938</v>
      </c>
      <c r="C269" s="433" t="s">
        <v>2608</v>
      </c>
      <c r="E269" s="116"/>
      <c r="M269" s="80"/>
      <c r="N269" s="174" t="s">
        <v>1938</v>
      </c>
      <c r="O269" s="2256" t="s">
        <v>2885</v>
      </c>
      <c r="P269" s="518"/>
      <c r="Q269" s="3229" t="str">
        <f>IF(AND(O269="Yes",O272="Yes"),"Only 1 or 4 can be 'Yes'!","")</f>
        <v/>
      </c>
      <c r="R269" s="3229"/>
      <c r="S269" s="3178"/>
      <c r="T269" s="3179"/>
      <c r="U269" s="3180"/>
    </row>
    <row r="270" spans="1:24" ht="11.4" customHeight="1">
      <c r="B270" s="847" t="s">
        <v>1940</v>
      </c>
      <c r="C270" s="433" t="s">
        <v>2653</v>
      </c>
      <c r="G270" s="100" t="s">
        <v>2326</v>
      </c>
      <c r="I270" s="2325">
        <v>0.1</v>
      </c>
      <c r="J270" s="433" t="s">
        <v>2654</v>
      </c>
      <c r="L270" s="134" t="s">
        <v>2652</v>
      </c>
      <c r="M270" s="848" t="str">
        <f>IF(O270&gt;I270,"CHECK ACTUAL PERCENT!!!","")</f>
        <v/>
      </c>
      <c r="N270" s="174" t="s">
        <v>1940</v>
      </c>
      <c r="O270" s="2326">
        <v>8.0500000000000002E-2</v>
      </c>
      <c r="P270" s="4263"/>
      <c r="Q270" s="3229"/>
      <c r="R270" s="3229"/>
      <c r="S270" s="3178"/>
      <c r="T270" s="3179"/>
      <c r="U270" s="3180"/>
    </row>
    <row r="271" spans="1:24" ht="11.4" customHeight="1">
      <c r="B271" s="847" t="s">
        <v>2467</v>
      </c>
      <c r="C271" s="412" t="s">
        <v>2327</v>
      </c>
      <c r="E271" s="116"/>
      <c r="G271" s="100" t="s">
        <v>2328</v>
      </c>
      <c r="J271" s="2964" t="s">
        <v>4470</v>
      </c>
      <c r="L271" s="428" t="s">
        <v>2647</v>
      </c>
      <c r="M271" s="33"/>
      <c r="N271" s="174" t="s">
        <v>2467</v>
      </c>
      <c r="O271" s="2327" t="s">
        <v>7093</v>
      </c>
      <c r="P271" s="4264" t="s">
        <v>197</v>
      </c>
      <c r="Q271" s="3229"/>
      <c r="R271" s="3229"/>
      <c r="S271" s="3178"/>
      <c r="T271" s="3179"/>
      <c r="U271" s="3180"/>
    </row>
    <row r="272" spans="1:24" s="390" customFormat="1" ht="11.4" customHeight="1">
      <c r="B272" s="562" t="s">
        <v>1198</v>
      </c>
      <c r="C272" s="2956" t="s">
        <v>4576</v>
      </c>
      <c r="D272" s="2956"/>
      <c r="E272" s="2956"/>
      <c r="F272" s="2956"/>
      <c r="G272" s="2956"/>
      <c r="H272" s="2956"/>
      <c r="I272" s="2956"/>
      <c r="J272" s="2965"/>
      <c r="K272" s="2964" t="s">
        <v>3746</v>
      </c>
      <c r="M272" s="1074">
        <v>2</v>
      </c>
      <c r="N272" s="174" t="s">
        <v>1198</v>
      </c>
      <c r="O272" s="2391" t="s">
        <v>7000</v>
      </c>
      <c r="P272" s="2251"/>
      <c r="Q272" s="3229"/>
      <c r="R272" s="3229"/>
      <c r="S272" s="3178"/>
      <c r="T272" s="3179"/>
      <c r="U272" s="3180"/>
    </row>
    <row r="273" spans="1:21" ht="11.4" customHeight="1">
      <c r="B273" s="372"/>
      <c r="C273" s="2956"/>
      <c r="D273" s="2956"/>
      <c r="E273" s="2956"/>
      <c r="F273" s="2956"/>
      <c r="G273" s="2956"/>
      <c r="H273" s="2956"/>
      <c r="I273" s="2956"/>
      <c r="J273" s="2966"/>
      <c r="K273" s="2966"/>
      <c r="L273" s="3011" t="s">
        <v>3782</v>
      </c>
      <c r="M273" s="3012"/>
      <c r="N273" s="116"/>
      <c r="S273" s="3178"/>
      <c r="T273" s="3179"/>
      <c r="U273" s="3180"/>
    </row>
    <row r="274" spans="1:21" ht="23.25" customHeight="1">
      <c r="B274" s="372"/>
      <c r="C274" s="2956"/>
      <c r="D274" s="2956"/>
      <c r="E274" s="2956"/>
      <c r="F274" s="2956"/>
      <c r="G274" s="2956"/>
      <c r="H274" s="2956"/>
      <c r="I274" s="2956"/>
      <c r="J274" s="2328"/>
      <c r="K274" s="2329"/>
      <c r="L274" s="1071">
        <f>O64</f>
        <v>10</v>
      </c>
      <c r="M274" s="1072">
        <f>P64</f>
        <v>0</v>
      </c>
      <c r="N274" s="27"/>
      <c r="S274" s="3181"/>
      <c r="T274" s="3182"/>
      <c r="U274" s="3183"/>
    </row>
    <row r="275" spans="1:21" ht="2.25" customHeight="1">
      <c r="A275" s="505"/>
      <c r="B275" s="847"/>
      <c r="C275" s="412"/>
      <c r="E275" s="116"/>
      <c r="M275" s="1073"/>
      <c r="N275" s="1069"/>
      <c r="O275" s="846"/>
      <c r="P275" s="846"/>
      <c r="S275" s="1808"/>
      <c r="T275" s="1809"/>
      <c r="U275" s="1810"/>
    </row>
    <row r="276" spans="1:21" ht="11.4" customHeight="1">
      <c r="A276" s="1614" t="s">
        <v>1937</v>
      </c>
      <c r="B276" s="847" t="s">
        <v>4321</v>
      </c>
      <c r="C276" s="412"/>
      <c r="E276" s="116"/>
      <c r="G276" s="465" t="s">
        <v>6800</v>
      </c>
      <c r="I276" s="2330">
        <v>2019</v>
      </c>
      <c r="K276" s="1438" t="s">
        <v>4611</v>
      </c>
      <c r="L276" s="2331">
        <v>13169030301</v>
      </c>
      <c r="M276" s="1073">
        <v>2</v>
      </c>
      <c r="N276" s="1075" t="s">
        <v>1937</v>
      </c>
      <c r="O276" s="2291">
        <v>2</v>
      </c>
      <c r="P276" s="4258"/>
      <c r="Q276" s="978" t="str">
        <f>IF(O276&lt;=M276,"","*CHECK!*")</f>
        <v/>
      </c>
      <c r="R276" s="974" t="s">
        <v>4767</v>
      </c>
      <c r="S276" s="1811"/>
      <c r="T276" s="1807"/>
      <c r="U276" s="1812"/>
    </row>
    <row r="277" spans="1:21" ht="11.4" customHeight="1">
      <c r="A277" s="505"/>
      <c r="B277" s="847" t="s">
        <v>1938</v>
      </c>
      <c r="C277" s="134" t="s">
        <v>4466</v>
      </c>
      <c r="D277" s="134"/>
      <c r="E277" s="1717"/>
      <c r="F277" s="1720"/>
      <c r="G277" s="134" t="s">
        <v>4322</v>
      </c>
      <c r="H277" s="930"/>
      <c r="I277" s="930"/>
      <c r="J277" s="33"/>
      <c r="K277" s="33"/>
      <c r="L277" s="170" t="s">
        <v>6801</v>
      </c>
      <c r="M277" s="72"/>
      <c r="N277" s="174" t="s">
        <v>1938</v>
      </c>
      <c r="O277" s="2268" t="s">
        <v>2885</v>
      </c>
      <c r="P277" s="1088"/>
      <c r="Q277" s="978"/>
      <c r="R277" s="974"/>
      <c r="S277" s="1807"/>
      <c r="T277" s="1807"/>
      <c r="U277" s="1807"/>
    </row>
    <row r="278" spans="1:21" ht="11.4" customHeight="1">
      <c r="A278" s="505"/>
      <c r="B278" s="847" t="s">
        <v>1940</v>
      </c>
      <c r="C278" s="134" t="s">
        <v>4467</v>
      </c>
      <c r="D278" s="134"/>
      <c r="E278" s="1717"/>
      <c r="F278" s="1718"/>
      <c r="G278" s="134" t="s">
        <v>4323</v>
      </c>
      <c r="H278" s="930"/>
      <c r="I278" s="930"/>
      <c r="J278" s="33"/>
      <c r="K278" s="33"/>
      <c r="L278" s="170" t="s">
        <v>6801</v>
      </c>
      <c r="M278" s="80"/>
      <c r="N278" s="174" t="s">
        <v>1940</v>
      </c>
      <c r="O278" s="2258" t="s">
        <v>2885</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34.950000000000003" customHeight="1" thickTop="1" thickBot="1">
      <c r="A281" s="3003" t="s">
        <v>7116</v>
      </c>
      <c r="B281" s="3004"/>
      <c r="C281" s="3004"/>
      <c r="D281" s="3004"/>
      <c r="E281" s="3004"/>
      <c r="F281" s="3004"/>
      <c r="G281" s="3004"/>
      <c r="H281" s="3004"/>
      <c r="I281" s="3004"/>
      <c r="J281" s="3004"/>
      <c r="K281" s="3004"/>
      <c r="L281" s="3004"/>
      <c r="M281" s="3004"/>
      <c r="N281" s="3004"/>
      <c r="O281" s="3004"/>
      <c r="P281" s="3005"/>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211"/>
      <c r="B284" s="4212"/>
      <c r="C284" s="4212"/>
      <c r="D284" s="4212"/>
      <c r="E284" s="4212"/>
      <c r="F284" s="4212"/>
      <c r="G284" s="4212"/>
      <c r="H284" s="4212"/>
      <c r="I284" s="4212"/>
      <c r="J284" s="4212"/>
      <c r="K284" s="4212"/>
      <c r="L284" s="4212"/>
      <c r="M284" s="4212"/>
      <c r="N284" s="4212"/>
      <c r="O284" s="4212"/>
      <c r="P284" s="4213"/>
      <c r="Q284" s="440"/>
    </row>
    <row r="285" spans="1:21" s="43" customFormat="1" ht="10.35"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4717</v>
      </c>
      <c r="C286" s="412"/>
      <c r="E286" s="116"/>
      <c r="G286" s="1616" t="s">
        <v>3606</v>
      </c>
      <c r="H286" s="2389" t="s">
        <v>3452</v>
      </c>
      <c r="I286" s="1446">
        <f>IF('Part VI-Revenues &amp; Expenses'!$P$67=0,0,'Part VI-Revenues &amp; Expenses'!$P$64/'Part VI-Revenues &amp; Expenses'!$P$67)</f>
        <v>0</v>
      </c>
      <c r="J286" s="1438" t="s">
        <v>4605</v>
      </c>
      <c r="K286" s="3198" t="str">
        <f>'Part I-Project Information'!$K$94</f>
        <v>Income Averaging</v>
      </c>
      <c r="L286" s="3199"/>
      <c r="M286" s="150">
        <v>1</v>
      </c>
      <c r="N286" s="1069"/>
      <c r="O286" s="1041">
        <f>MIN($M$286,SUM(O287:O288))</f>
        <v>1</v>
      </c>
      <c r="P286" s="1041">
        <f>MIN($M$286,SUM(P287:P288))</f>
        <v>0</v>
      </c>
      <c r="Q286" s="109" t="s">
        <v>433</v>
      </c>
    </row>
    <row r="287" spans="1:21" ht="13.8">
      <c r="A287" s="2374" t="s">
        <v>1935</v>
      </c>
      <c r="B287" s="1615" t="s">
        <v>4603</v>
      </c>
      <c r="C287" s="412"/>
      <c r="D287" s="427" t="s">
        <v>4604</v>
      </c>
      <c r="M287" s="72">
        <v>1</v>
      </c>
      <c r="N287" s="455" t="s">
        <v>1935</v>
      </c>
      <c r="O287" s="2332"/>
      <c r="P287" s="4265"/>
      <c r="Q287" s="978" t="str">
        <f>IF(OR($O287=$M287,$O287=0,$O287=""),"","*CHECK!*")</f>
        <v/>
      </c>
      <c r="R287" s="974" t="s">
        <v>4767</v>
      </c>
    </row>
    <row r="288" spans="1:21" ht="13.8">
      <c r="A288" s="2374" t="s">
        <v>1937</v>
      </c>
      <c r="B288" s="1615" t="s">
        <v>4294</v>
      </c>
      <c r="C288" s="412"/>
      <c r="D288" s="427" t="s">
        <v>4723</v>
      </c>
      <c r="M288" s="80">
        <v>1</v>
      </c>
      <c r="N288" s="455" t="s">
        <v>1937</v>
      </c>
      <c r="O288" s="2287">
        <v>1</v>
      </c>
      <c r="P288" s="4235"/>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211"/>
      <c r="B291" s="4212"/>
      <c r="C291" s="4212"/>
      <c r="D291" s="4212"/>
      <c r="E291" s="4212"/>
      <c r="F291" s="4212"/>
      <c r="G291" s="4212"/>
      <c r="H291" s="4212"/>
      <c r="I291" s="4212"/>
      <c r="J291" s="4212"/>
      <c r="K291" s="4212"/>
      <c r="L291" s="4212"/>
      <c r="M291" s="4212"/>
      <c r="N291" s="4212"/>
      <c r="O291" s="4212"/>
      <c r="P291" s="4213"/>
      <c r="Q291" s="440"/>
    </row>
    <row r="292" spans="1:27" s="43" customFormat="1" ht="10.35"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3606</v>
      </c>
      <c r="M293" s="2373">
        <v>10</v>
      </c>
      <c r="N293" s="7"/>
      <c r="O293" s="1041">
        <f>IF(OR(O193&gt;0,O265&gt;0),0,IF(OR(O294="Yes",O295="Yes"),$M$293,0))</f>
        <v>0</v>
      </c>
      <c r="P293" s="1041">
        <f>IF(OR(P193&gt;0,P265&gt;0),0,IF(OR(P294="Yes",P295="Yes"),$M$293,0))</f>
        <v>0</v>
      </c>
      <c r="Q293" s="109" t="s">
        <v>433</v>
      </c>
      <c r="R293" s="3219" t="s">
        <v>4765</v>
      </c>
      <c r="S293" s="3219"/>
      <c r="T293" s="3219"/>
      <c r="U293" s="3219"/>
      <c r="V293" s="3219"/>
    </row>
    <row r="294" spans="1:27" ht="11.25" customHeight="1">
      <c r="A294" s="2374" t="s">
        <v>1935</v>
      </c>
      <c r="B294" s="1076" t="s">
        <v>3599</v>
      </c>
      <c r="D294" s="588"/>
      <c r="E294" s="588"/>
      <c r="F294" s="588"/>
      <c r="G294" s="588"/>
      <c r="H294" s="588"/>
      <c r="I294" s="588"/>
      <c r="J294" s="588"/>
      <c r="K294" s="588"/>
      <c r="L294" s="989"/>
      <c r="M294" s="2967" t="str">
        <f>IF(OR(SUM(T294:T295)&gt;1,SUM(Q294:Q295)&gt;1),"Only one category can be met by other means!","")</f>
        <v/>
      </c>
      <c r="N294" s="455" t="s">
        <v>1935</v>
      </c>
      <c r="O294" s="2256"/>
      <c r="P294" s="518"/>
      <c r="Q294" s="999">
        <f>IF(L294="Yes",1,0)</f>
        <v>0</v>
      </c>
      <c r="R294" s="3219"/>
      <c r="S294" s="3219"/>
      <c r="T294" s="3219"/>
      <c r="U294" s="3219"/>
      <c r="V294" s="3219"/>
    </row>
    <row r="295" spans="1:27" ht="11.25" customHeight="1">
      <c r="A295" s="2374" t="s">
        <v>1937</v>
      </c>
      <c r="B295" s="1076" t="s">
        <v>3600</v>
      </c>
      <c r="D295" s="588"/>
      <c r="L295" s="989"/>
      <c r="M295" s="2967"/>
      <c r="N295" s="455" t="s">
        <v>1937</v>
      </c>
      <c r="O295" s="2258"/>
      <c r="P295" s="520"/>
      <c r="Q295" s="999">
        <f>IF(L295="Yes",1,0)</f>
        <v>0</v>
      </c>
      <c r="R295" s="3219"/>
      <c r="S295" s="3219"/>
      <c r="T295" s="3219"/>
      <c r="U295" s="3219"/>
      <c r="V295" s="3219"/>
    </row>
    <row r="296" spans="1:27" s="43" customFormat="1" ht="10.5" customHeight="1" thickBot="1">
      <c r="A296" s="42"/>
      <c r="B296" s="1132" t="s">
        <v>3567</v>
      </c>
      <c r="C296" s="42"/>
      <c r="D296" s="48"/>
      <c r="E296" s="48"/>
      <c r="F296" s="48"/>
      <c r="G296" s="48"/>
      <c r="H296" s="36"/>
      <c r="I296" s="36"/>
      <c r="J296" s="36"/>
      <c r="K296" s="36"/>
      <c r="M296" s="46"/>
      <c r="N296" s="62"/>
      <c r="O296" s="3"/>
      <c r="P296" s="2377"/>
      <c r="R296" s="3219"/>
      <c r="S296" s="3219"/>
      <c r="T296" s="3219"/>
      <c r="U296" s="3219"/>
      <c r="V296" s="3219"/>
    </row>
    <row r="297" spans="1:27" s="43" customFormat="1" ht="34.950000000000003" customHeight="1" thickTop="1" thickBot="1">
      <c r="A297" s="3003" t="s">
        <v>948</v>
      </c>
      <c r="B297" s="3004"/>
      <c r="C297" s="3004"/>
      <c r="D297" s="3004"/>
      <c r="E297" s="3004"/>
      <c r="F297" s="3004"/>
      <c r="G297" s="3004"/>
      <c r="H297" s="3004"/>
      <c r="I297" s="3004"/>
      <c r="J297" s="3004"/>
      <c r="K297" s="3004"/>
      <c r="L297" s="3004"/>
      <c r="M297" s="3004"/>
      <c r="N297" s="3004"/>
      <c r="O297" s="3004"/>
      <c r="P297" s="3005"/>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211"/>
      <c r="B299" s="4212"/>
      <c r="C299" s="4212"/>
      <c r="D299" s="4212"/>
      <c r="E299" s="4212"/>
      <c r="F299" s="4212"/>
      <c r="G299" s="4212"/>
      <c r="H299" s="4212"/>
      <c r="I299" s="4212"/>
      <c r="J299" s="4212"/>
      <c r="K299" s="4212"/>
      <c r="L299" s="4212"/>
      <c r="M299" s="4212"/>
      <c r="N299" s="4212"/>
      <c r="O299" s="4212"/>
      <c r="P299" s="4213"/>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74" t="s">
        <v>4577</v>
      </c>
      <c r="S301" s="3174"/>
      <c r="T301" s="3174"/>
      <c r="U301" s="3174"/>
      <c r="V301" s="3174"/>
      <c r="W301" s="1739"/>
      <c r="X301" s="1739"/>
    </row>
    <row r="302" spans="1:27" ht="11.25" customHeight="1">
      <c r="A302" s="2374"/>
      <c r="B302" s="1618" t="s">
        <v>4621</v>
      </c>
      <c r="D302" s="33"/>
      <c r="E302" s="33"/>
      <c r="F302" s="33"/>
      <c r="H302" s="86" t="s">
        <v>3507</v>
      </c>
      <c r="I302" s="427"/>
      <c r="J302" s="2951" t="str">
        <f>'Part I-Project Information'!$O$34</f>
        <v>No</v>
      </c>
      <c r="K302" s="2951"/>
      <c r="L302" s="887">
        <f>'Part I-Project Information'!$O$35</f>
        <v>0</v>
      </c>
      <c r="M302" s="72"/>
      <c r="N302" s="72"/>
      <c r="O302" s="72"/>
      <c r="P302" s="72"/>
      <c r="Q302" s="978" t="str">
        <f>IF(OR($O302=$M302,$O302=0,$O302=""),"","*CHECK!*")</f>
        <v/>
      </c>
      <c r="R302" s="3174"/>
      <c r="S302" s="3174"/>
      <c r="T302" s="3174"/>
      <c r="U302" s="3174"/>
      <c r="V302" s="3174"/>
    </row>
    <row r="303" spans="1:27" s="100" customFormat="1" ht="22.5" customHeight="1">
      <c r="A303" s="435" t="s">
        <v>1935</v>
      </c>
      <c r="B303" s="2946" t="s">
        <v>4620</v>
      </c>
      <c r="C303" s="2946"/>
      <c r="D303" s="2946"/>
      <c r="E303" s="2946"/>
      <c r="F303" s="2946"/>
      <c r="G303" s="2946"/>
      <c r="H303" s="2946"/>
      <c r="I303" s="2946"/>
      <c r="J303" s="2946"/>
      <c r="K303" s="2946"/>
      <c r="L303" s="2946"/>
      <c r="M303" s="2946"/>
      <c r="N303" s="160" t="s">
        <v>1935</v>
      </c>
      <c r="O303" s="2271"/>
      <c r="P303" s="1089"/>
      <c r="Q303" s="2955" t="s">
        <v>4622</v>
      </c>
      <c r="R303" s="2956"/>
      <c r="S303" s="2956"/>
      <c r="T303" s="2956"/>
      <c r="U303" s="982"/>
      <c r="V303" s="982"/>
      <c r="W303" s="982"/>
      <c r="X303" s="982"/>
      <c r="Y303" s="982"/>
      <c r="Z303" s="982"/>
      <c r="AA303" s="982"/>
    </row>
    <row r="304" spans="1:27" s="117" customFormat="1" ht="11.25" customHeight="1">
      <c r="A304" s="372"/>
      <c r="B304" s="134" t="s">
        <v>3612</v>
      </c>
      <c r="I304" s="385" t="s">
        <v>4327</v>
      </c>
      <c r="J304" s="2333"/>
      <c r="K304" s="385" t="s">
        <v>599</v>
      </c>
      <c r="L304" s="2952"/>
      <c r="M304" s="2953"/>
      <c r="N304" s="2953"/>
      <c r="O304" s="2953"/>
      <c r="P304" s="2954"/>
      <c r="Q304" s="2955"/>
      <c r="R304" s="2956"/>
      <c r="S304" s="2956"/>
      <c r="T304" s="2956"/>
    </row>
    <row r="305" spans="1:24" s="117" customFormat="1" ht="11.25" customHeight="1">
      <c r="A305" s="372"/>
      <c r="B305" s="134" t="s">
        <v>3643</v>
      </c>
      <c r="I305" s="385" t="s">
        <v>4327</v>
      </c>
      <c r="J305" s="2334"/>
      <c r="K305" s="385" t="s">
        <v>599</v>
      </c>
      <c r="L305" s="3100"/>
      <c r="M305" s="3101"/>
      <c r="N305" s="3101"/>
      <c r="O305" s="3101"/>
      <c r="P305" s="3102"/>
      <c r="Q305" s="2955"/>
      <c r="R305" s="2956"/>
      <c r="S305" s="2956"/>
      <c r="T305" s="2956"/>
    </row>
    <row r="306" spans="1:24" s="117" customFormat="1" ht="11.25" customHeight="1">
      <c r="A306" s="372" t="s">
        <v>1937</v>
      </c>
      <c r="B306" s="117" t="s">
        <v>941</v>
      </c>
      <c r="M306" s="7"/>
      <c r="N306" s="455" t="s">
        <v>1937</v>
      </c>
      <c r="O306" s="2266"/>
      <c r="P306" s="898"/>
      <c r="Q306" s="2955"/>
      <c r="R306" s="2956"/>
      <c r="S306" s="2956"/>
      <c r="T306" s="2956"/>
    </row>
    <row r="307" spans="1:24" s="117" customFormat="1" ht="11.25" customHeight="1">
      <c r="A307" s="372" t="s">
        <v>731</v>
      </c>
      <c r="B307" s="117" t="s">
        <v>942</v>
      </c>
      <c r="M307" s="7"/>
      <c r="N307" s="455" t="s">
        <v>731</v>
      </c>
      <c r="O307" s="2257"/>
      <c r="P307" s="519"/>
      <c r="Q307" s="2955"/>
      <c r="R307" s="2956"/>
      <c r="S307" s="2956"/>
      <c r="T307" s="2956"/>
    </row>
    <row r="308" spans="1:24" s="117" customFormat="1" ht="22.5" customHeight="1">
      <c r="A308" s="435" t="s">
        <v>2064</v>
      </c>
      <c r="B308" s="2946" t="s">
        <v>4623</v>
      </c>
      <c r="C308" s="2946"/>
      <c r="D308" s="2946"/>
      <c r="E308" s="2946"/>
      <c r="F308" s="2946"/>
      <c r="G308" s="2946"/>
      <c r="H308" s="2946"/>
      <c r="I308" s="2946"/>
      <c r="J308" s="2946"/>
      <c r="K308" s="2946"/>
      <c r="L308" s="2946"/>
      <c r="M308" s="2946"/>
      <c r="N308" s="160" t="s">
        <v>2064</v>
      </c>
      <c r="O308" s="2390"/>
      <c r="P308" s="2393"/>
      <c r="Q308" s="2955"/>
      <c r="R308" s="2956"/>
      <c r="S308" s="2956"/>
      <c r="T308" s="2956"/>
    </row>
    <row r="309" spans="1:24" s="117" customFormat="1" ht="11.25" customHeight="1">
      <c r="A309" s="372" t="s">
        <v>1692</v>
      </c>
      <c r="B309" s="134" t="s">
        <v>4328</v>
      </c>
      <c r="M309" s="7"/>
      <c r="N309" s="455" t="s">
        <v>1692</v>
      </c>
      <c r="O309" s="2258"/>
      <c r="P309" s="520"/>
      <c r="Q309" s="2955"/>
      <c r="R309" s="2956"/>
      <c r="S309" s="2956"/>
      <c r="T309" s="2956"/>
    </row>
    <row r="310" spans="1:24" s="117" customFormat="1" ht="11.25" customHeight="1">
      <c r="A310" s="372" t="s">
        <v>1693</v>
      </c>
      <c r="B310" s="117" t="s">
        <v>943</v>
      </c>
      <c r="M310" s="7"/>
      <c r="N310" s="455" t="s">
        <v>1693</v>
      </c>
      <c r="O310" s="2258"/>
      <c r="P310" s="520"/>
      <c r="Q310" s="2955"/>
      <c r="R310" s="2956"/>
      <c r="S310" s="2956"/>
      <c r="T310" s="2956"/>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3003" t="s">
        <v>948</v>
      </c>
      <c r="B312" s="3004"/>
      <c r="C312" s="3004"/>
      <c r="D312" s="3004"/>
      <c r="E312" s="3004"/>
      <c r="F312" s="3004"/>
      <c r="G312" s="3004"/>
      <c r="H312" s="3004"/>
      <c r="I312" s="3004"/>
      <c r="J312" s="3004"/>
      <c r="K312" s="3004"/>
      <c r="L312" s="3004"/>
      <c r="M312" s="3004"/>
      <c r="N312" s="3004"/>
      <c r="O312" s="3004"/>
      <c r="P312" s="3005"/>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2725"/>
      <c r="B314" s="2726"/>
      <c r="C314" s="2726"/>
      <c r="D314" s="2726"/>
      <c r="E314" s="2726"/>
      <c r="F314" s="2726"/>
      <c r="G314" s="2726"/>
      <c r="H314" s="2726"/>
      <c r="I314" s="2726"/>
      <c r="J314" s="2726"/>
      <c r="K314" s="2726"/>
      <c r="L314" s="2726"/>
      <c r="M314" s="2726"/>
      <c r="N314" s="2726"/>
      <c r="O314" s="2726"/>
      <c r="P314" s="2727"/>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3280</v>
      </c>
      <c r="H316" s="113" t="s">
        <v>4624</v>
      </c>
      <c r="I316" s="33"/>
      <c r="J316" s="848" t="str">
        <f>'Part I-Project Information'!F39</f>
        <v>City Limits</v>
      </c>
      <c r="M316" s="2373">
        <v>5</v>
      </c>
      <c r="N316" s="6"/>
      <c r="O316" s="1041">
        <f>IF(O301&gt;0,0,MIN($M$316,MAX(O318,O322)))</f>
        <v>4</v>
      </c>
      <c r="P316" s="1041">
        <f>IF(P301&gt;0,0,MIN($M$316,MAX(P318,P322)))</f>
        <v>0</v>
      </c>
      <c r="Q316" s="109" t="s">
        <v>433</v>
      </c>
      <c r="R316" s="3217" t="s">
        <v>4577</v>
      </c>
      <c r="S316" s="3217"/>
      <c r="T316" s="3217"/>
      <c r="U316" s="3217"/>
      <c r="V316" s="3217"/>
      <c r="W316" s="1739"/>
      <c r="X316" s="1739"/>
    </row>
    <row r="317" spans="1:24" s="33" customFormat="1" ht="11.25" customHeight="1">
      <c r="A317" s="2374" t="s">
        <v>1935</v>
      </c>
      <c r="B317" s="177" t="s">
        <v>4628</v>
      </c>
      <c r="D317" s="561"/>
      <c r="J317" s="1619" t="str">
        <f>CONCATENATE('Part I-Project Information'!F38,", ",'Part I-Project Information'!J39)</f>
        <v>Gray, Jones</v>
      </c>
      <c r="R317" s="3217"/>
      <c r="S317" s="3217"/>
      <c r="T317" s="3217"/>
      <c r="U317" s="3217"/>
      <c r="V317" s="3217"/>
    </row>
    <row r="318" spans="1:24" s="33" customFormat="1" ht="36" customHeight="1">
      <c r="A318" s="2374"/>
      <c r="B318" s="3066" t="s">
        <v>4636</v>
      </c>
      <c r="C318" s="3066"/>
      <c r="D318" s="3066"/>
      <c r="E318" s="3066"/>
      <c r="F318" s="3066"/>
      <c r="G318" s="3066"/>
      <c r="H318" s="3066"/>
      <c r="I318" s="3066"/>
      <c r="J318" s="3066"/>
      <c r="K318" s="3066"/>
      <c r="L318" s="3066"/>
      <c r="M318" s="1621">
        <v>5</v>
      </c>
      <c r="N318" s="160" t="s">
        <v>1935</v>
      </c>
      <c r="O318" s="1622">
        <f>IF(AND(O319&gt;0,O320&gt;0),"Choose!",IF(O319&gt;0, $M$319,IF(O320&gt;0, $M$320, 0)))</f>
        <v>4</v>
      </c>
      <c r="P318" s="1622">
        <f>IF(AND(P319&gt;0,P320&gt;0),"Choose!",IF(P319&gt;0, $M$319,IF(P320&gt;0, $M$320, 0)))</f>
        <v>0</v>
      </c>
      <c r="R318" s="3217"/>
      <c r="S318" s="3217"/>
      <c r="T318" s="3217"/>
      <c r="U318" s="3217"/>
      <c r="V318" s="3217"/>
    </row>
    <row r="319" spans="1:24" s="33" customFormat="1" ht="11.25" customHeight="1">
      <c r="B319" s="847" t="s">
        <v>1938</v>
      </c>
      <c r="C319" s="559" t="s">
        <v>4626</v>
      </c>
      <c r="L319" s="374" t="str">
        <f>IF(OR($O319=$M319,$O319=0,$O319=""),"","* * Check Score! * *")</f>
        <v/>
      </c>
      <c r="M319" s="72">
        <v>5</v>
      </c>
      <c r="N319" s="430" t="s">
        <v>1938</v>
      </c>
      <c r="O319" s="2335"/>
      <c r="P319" s="4247"/>
      <c r="Q319" s="978" t="str">
        <f>IF(OR($O319=$M319,$O319=0,$O319=""),"","*CHECK!*")</f>
        <v/>
      </c>
      <c r="R319" s="974" t="s">
        <v>4767</v>
      </c>
    </row>
    <row r="320" spans="1:24" ht="11.25" customHeight="1">
      <c r="A320" s="560"/>
      <c r="B320" s="562" t="s">
        <v>1940</v>
      </c>
      <c r="C320" s="434" t="s">
        <v>4627</v>
      </c>
      <c r="D320" s="33"/>
      <c r="E320" s="33"/>
      <c r="F320" s="33"/>
      <c r="G320" s="40"/>
      <c r="H320" s="61"/>
      <c r="I320" s="40"/>
      <c r="L320" s="374" t="str">
        <f>IF(OR($O320=$M320,$O320=0,$O320=""),"","* * Check Score! * *")</f>
        <v/>
      </c>
      <c r="M320" s="80">
        <v>4</v>
      </c>
      <c r="N320" s="851" t="s">
        <v>1940</v>
      </c>
      <c r="O320" s="2287">
        <v>4</v>
      </c>
      <c r="P320" s="4235"/>
      <c r="Q320" s="978" t="str">
        <f>IF(OR($O320=$M320,$O320=0,$O320=""),"","*CHECK!*")</f>
        <v/>
      </c>
      <c r="R320" s="974" t="s">
        <v>4767</v>
      </c>
    </row>
    <row r="321" spans="1:21" s="33" customFormat="1" ht="11.25" customHeight="1">
      <c r="A321" s="2374" t="s">
        <v>1937</v>
      </c>
      <c r="B321" s="177" t="s">
        <v>4629</v>
      </c>
      <c r="D321" s="561"/>
      <c r="F321" s="1620" t="s">
        <v>4625</v>
      </c>
      <c r="H321" s="86" t="s">
        <v>2702</v>
      </c>
      <c r="I321" s="43"/>
      <c r="J321" s="587" t="str">
        <f>'Part I-Project Information'!$H$105</f>
        <v>Rural</v>
      </c>
    </row>
    <row r="322" spans="1:21" s="33" customFormat="1" ht="11.25" customHeight="1">
      <c r="A322" s="2374"/>
      <c r="B322" s="850" t="s">
        <v>4637</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4631</v>
      </c>
      <c r="J323" s="1623" t="s">
        <v>4630</v>
      </c>
      <c r="L323" s="3228" t="str">
        <f>IF(OR(AND(O323&gt;0,O324&gt;0), AND(O326&gt;0,O327&gt;0), AND(O323+O324&gt;0,O326+O327&gt;0)),"Choose option 1 or 2 or 3 or 4!!!",IF(AND(J321="Rural", SUM(O326:O327)&gt;0),"Cannot choose options 3 or 4 if in Rural Pool!!!",""))</f>
        <v/>
      </c>
      <c r="M323" s="72">
        <v>3</v>
      </c>
      <c r="N323" s="430" t="s">
        <v>1938</v>
      </c>
      <c r="O323" s="2335"/>
      <c r="P323" s="4247"/>
      <c r="Q323" s="978" t="str">
        <f>IF(OR($O323=$M323,$O323=0,$O323=""),"","*CHECK!*")</f>
        <v/>
      </c>
      <c r="R323" s="974" t="s">
        <v>4767</v>
      </c>
    </row>
    <row r="324" spans="1:21" ht="11.25" customHeight="1">
      <c r="A324" s="560"/>
      <c r="B324" s="562" t="s">
        <v>1940</v>
      </c>
      <c r="C324" s="434" t="s">
        <v>4632</v>
      </c>
      <c r="D324" s="33"/>
      <c r="E324" s="33"/>
      <c r="F324" s="33"/>
      <c r="G324" s="40"/>
      <c r="H324" s="852"/>
      <c r="I324" s="40"/>
      <c r="J324" s="1623" t="s">
        <v>4630</v>
      </c>
      <c r="K324" s="1624"/>
      <c r="L324" s="3228"/>
      <c r="M324" s="80">
        <v>2</v>
      </c>
      <c r="N324" s="851" t="s">
        <v>1940</v>
      </c>
      <c r="O324" s="2287"/>
      <c r="P324" s="4235"/>
      <c r="Q324" s="978" t="str">
        <f>IF(OR($O324=$M324,$O324=0,$O324=""),"","*CHECK!*")</f>
        <v/>
      </c>
      <c r="R324" s="974" t="s">
        <v>4767</v>
      </c>
    </row>
    <row r="325" spans="1:21" ht="22.5" customHeight="1">
      <c r="A325" s="560"/>
      <c r="B325" s="3062" t="s">
        <v>4635</v>
      </c>
      <c r="C325" s="3062"/>
      <c r="D325" s="3062"/>
      <c r="E325" s="3062"/>
      <c r="F325" s="3062"/>
      <c r="G325" s="3062"/>
      <c r="H325" s="3062"/>
      <c r="I325" s="3062"/>
      <c r="J325" s="3062"/>
      <c r="K325" s="3062"/>
      <c r="L325" s="3228"/>
      <c r="M325" s="80"/>
      <c r="N325" s="80"/>
      <c r="O325" s="80"/>
      <c r="P325" s="80"/>
      <c r="Q325" s="978"/>
      <c r="R325" s="1039"/>
    </row>
    <row r="326" spans="1:21" ht="11.25" customHeight="1">
      <c r="A326" s="560"/>
      <c r="B326" s="562" t="s">
        <v>2467</v>
      </c>
      <c r="C326" s="559" t="s">
        <v>4633</v>
      </c>
      <c r="D326" s="33"/>
      <c r="E326" s="33"/>
      <c r="F326" s="33"/>
      <c r="G326" s="40"/>
      <c r="H326" s="852"/>
      <c r="I326" s="40"/>
      <c r="K326" s="1624"/>
      <c r="L326" s="3228"/>
      <c r="M326" s="80">
        <v>3</v>
      </c>
      <c r="N326" s="851" t="s">
        <v>2467</v>
      </c>
      <c r="O326" s="2336"/>
      <c r="P326" s="4266"/>
      <c r="Q326" s="978" t="str">
        <f>IF(OR($O326=$M326,$O326=0,$O326=""),"","*CHECK!*")</f>
        <v/>
      </c>
      <c r="R326" s="974" t="s">
        <v>4767</v>
      </c>
    </row>
    <row r="327" spans="1:21" ht="11.25" customHeight="1">
      <c r="A327" s="560"/>
      <c r="B327" s="562" t="s">
        <v>1198</v>
      </c>
      <c r="C327" s="434" t="s">
        <v>4634</v>
      </c>
      <c r="D327" s="33"/>
      <c r="E327" s="33"/>
      <c r="F327" s="33"/>
      <c r="G327" s="40"/>
      <c r="H327" s="61"/>
      <c r="I327" s="40"/>
      <c r="K327" s="1624"/>
      <c r="L327" s="3228"/>
      <c r="M327" s="80">
        <v>2</v>
      </c>
      <c r="N327" s="851" t="s">
        <v>1198</v>
      </c>
      <c r="O327" s="2287"/>
      <c r="P327" s="4235"/>
      <c r="Q327" s="978" t="str">
        <f>IF(OR($O327=$M327,$O327=0,$O327=""),"","*CHECK!*")</f>
        <v/>
      </c>
      <c r="R327" s="974" t="s">
        <v>4767</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3003" t="s">
        <v>7111</v>
      </c>
      <c r="B329" s="3004"/>
      <c r="C329" s="3004"/>
      <c r="D329" s="3004"/>
      <c r="E329" s="3004"/>
      <c r="F329" s="3004"/>
      <c r="G329" s="3004"/>
      <c r="H329" s="3004"/>
      <c r="I329" s="3004"/>
      <c r="J329" s="3004"/>
      <c r="K329" s="3004"/>
      <c r="L329" s="3004"/>
      <c r="M329" s="3004"/>
      <c r="N329" s="3004"/>
      <c r="O329" s="3004"/>
      <c r="P329" s="3005"/>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2725"/>
      <c r="B331" s="2726"/>
      <c r="C331" s="2726"/>
      <c r="D331" s="2726"/>
      <c r="E331" s="2726"/>
      <c r="F331" s="2726"/>
      <c r="G331" s="2726"/>
      <c r="H331" s="2726"/>
      <c r="I331" s="2726"/>
      <c r="J331" s="2726"/>
      <c r="K331" s="2726"/>
      <c r="L331" s="2726"/>
      <c r="M331" s="2726"/>
      <c r="N331" s="2726"/>
      <c r="O331" s="2726"/>
      <c r="P331" s="2727"/>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4768</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4329</v>
      </c>
      <c r="D335" s="61"/>
      <c r="E335" s="61"/>
      <c r="F335" s="44"/>
      <c r="G335" s="27"/>
      <c r="L335" s="374"/>
      <c r="M335" s="7">
        <v>3</v>
      </c>
      <c r="N335" s="430" t="s">
        <v>1938</v>
      </c>
      <c r="O335" s="2256" t="s">
        <v>2885</v>
      </c>
      <c r="P335" s="518"/>
      <c r="Q335" s="978"/>
      <c r="R335" s="1039"/>
      <c r="T335" s="1023"/>
      <c r="U335" s="1023"/>
    </row>
    <row r="336" spans="1:21" s="102" customFormat="1" ht="11.25" customHeight="1">
      <c r="A336" s="138"/>
      <c r="B336" s="562" t="s">
        <v>1940</v>
      </c>
      <c r="C336" s="40" t="s">
        <v>4330</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4331</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4578</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14" t="s">
        <v>4579</v>
      </c>
      <c r="C339" s="2714"/>
      <c r="D339" s="2714"/>
      <c r="E339" s="2714"/>
      <c r="F339" s="2714"/>
      <c r="G339" s="2714"/>
      <c r="H339" s="2714"/>
      <c r="I339" s="2714"/>
      <c r="J339" s="2714"/>
      <c r="K339" s="2714"/>
      <c r="L339" s="2714"/>
      <c r="M339" s="7"/>
      <c r="N339" s="455"/>
      <c r="O339" s="2337"/>
      <c r="P339" s="4267"/>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03" t="s">
        <v>4448</v>
      </c>
      <c r="C341" s="2703"/>
      <c r="D341" s="2703"/>
      <c r="E341" s="2703"/>
      <c r="F341" s="2703"/>
      <c r="G341" s="2703"/>
      <c r="H341" s="2703"/>
      <c r="I341" s="2703"/>
      <c r="J341" s="2703"/>
      <c r="K341" s="2703"/>
      <c r="L341" s="2703"/>
      <c r="M341" s="7"/>
      <c r="N341" s="455"/>
      <c r="O341" s="2391" t="s">
        <v>2885</v>
      </c>
      <c r="P341" s="2251"/>
      <c r="Q341" s="387"/>
      <c r="R341" s="374"/>
      <c r="T341" s="1023"/>
      <c r="U341" s="1023"/>
    </row>
    <row r="342" spans="1:21" s="43" customFormat="1" ht="22.5" customHeight="1">
      <c r="B342" s="2703" t="s">
        <v>4449</v>
      </c>
      <c r="C342" s="2703"/>
      <c r="D342" s="2703"/>
      <c r="E342" s="2703"/>
      <c r="F342" s="2703"/>
      <c r="G342" s="2703"/>
      <c r="H342" s="2703"/>
      <c r="I342" s="2703"/>
      <c r="J342" s="2703"/>
      <c r="K342" s="2703"/>
      <c r="L342" s="2703"/>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2725"/>
      <c r="B344" s="2726"/>
      <c r="C344" s="2726"/>
      <c r="D344" s="2726"/>
      <c r="E344" s="2726"/>
      <c r="F344" s="2726"/>
      <c r="G344" s="2726"/>
      <c r="H344" s="2726"/>
      <c r="I344" s="2726"/>
      <c r="J344" s="2726"/>
      <c r="K344" s="2726"/>
      <c r="L344" s="2726"/>
      <c r="M344" s="2726"/>
      <c r="N344" s="2726"/>
      <c r="O344" s="2726"/>
      <c r="P344" s="2727"/>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3748</v>
      </c>
      <c r="C346" s="87"/>
      <c r="D346" s="58"/>
      <c r="E346" s="52"/>
      <c r="G346" s="55"/>
      <c r="M346" s="2373">
        <v>2</v>
      </c>
      <c r="N346" s="6"/>
      <c r="O346" s="6"/>
      <c r="P346" s="1081">
        <f>P347+P355</f>
        <v>0</v>
      </c>
      <c r="Q346" s="109" t="s">
        <v>433</v>
      </c>
    </row>
    <row r="347" spans="1:21" s="43" customFormat="1" ht="12" customHeight="1">
      <c r="A347" s="138" t="s">
        <v>1935</v>
      </c>
      <c r="B347" s="165" t="s">
        <v>3749</v>
      </c>
      <c r="C347" s="87"/>
      <c r="D347" s="58"/>
      <c r="E347" s="52"/>
      <c r="G347" s="1782">
        <f>'Part VIII-Threshold Criteria'!I352</f>
        <v>0</v>
      </c>
      <c r="L347" s="455" t="s">
        <v>4816</v>
      </c>
      <c r="M347" s="1781" t="str">
        <f>'Part I-Project Information'!H100</f>
        <v>No</v>
      </c>
      <c r="N347" s="455" t="s">
        <v>1935</v>
      </c>
      <c r="O347" s="454" t="str">
        <f>'Part I-Project Information'!$H$100</f>
        <v>No</v>
      </c>
      <c r="P347" s="4262"/>
      <c r="Q347" s="109"/>
      <c r="R347" s="1039" t="s">
        <v>2625</v>
      </c>
    </row>
    <row r="348" spans="1:21" s="102" customFormat="1" ht="10.5" customHeight="1">
      <c r="A348" s="138"/>
      <c r="B348" s="372" t="s">
        <v>1938</v>
      </c>
      <c r="C348" s="36" t="s">
        <v>4384</v>
      </c>
      <c r="D348" s="33"/>
      <c r="N348" s="430" t="s">
        <v>4385</v>
      </c>
      <c r="O348" s="2256"/>
      <c r="P348" s="518"/>
      <c r="R348" s="374"/>
    </row>
    <row r="349" spans="1:21" s="102" customFormat="1" ht="10.5" customHeight="1">
      <c r="A349" s="138"/>
      <c r="B349" s="372"/>
      <c r="C349" s="36" t="s">
        <v>4741</v>
      </c>
      <c r="D349" s="33"/>
      <c r="N349" s="430" t="s">
        <v>4386</v>
      </c>
      <c r="O349" s="2257"/>
      <c r="P349" s="519"/>
      <c r="R349" s="374"/>
    </row>
    <row r="350" spans="1:21" s="102" customFormat="1" ht="10.5" customHeight="1">
      <c r="A350" s="138"/>
      <c r="B350" s="372" t="s">
        <v>1940</v>
      </c>
      <c r="C350" s="36" t="s">
        <v>3757</v>
      </c>
      <c r="D350" s="33"/>
      <c r="N350" s="851" t="s">
        <v>1940</v>
      </c>
      <c r="O350" s="2257"/>
      <c r="P350" s="519"/>
      <c r="R350" s="374"/>
    </row>
    <row r="351" spans="1:21" s="102" customFormat="1" ht="10.5" customHeight="1">
      <c r="A351" s="138"/>
      <c r="B351" s="372" t="s">
        <v>2467</v>
      </c>
      <c r="C351" s="36" t="s">
        <v>4387</v>
      </c>
      <c r="D351" s="33"/>
      <c r="N351" s="851" t="s">
        <v>2467</v>
      </c>
      <c r="O351" s="2257"/>
      <c r="P351" s="519"/>
      <c r="R351" s="374"/>
    </row>
    <row r="352" spans="1:21" s="102" customFormat="1" ht="10.5" customHeight="1">
      <c r="B352" s="372" t="s">
        <v>1198</v>
      </c>
      <c r="C352" s="36" t="s">
        <v>4333</v>
      </c>
      <c r="D352" s="33"/>
      <c r="N352" s="851" t="s">
        <v>1198</v>
      </c>
      <c r="O352" s="2257"/>
      <c r="P352" s="519"/>
      <c r="R352" s="374"/>
    </row>
    <row r="353" spans="1:19" s="102" customFormat="1" ht="10.5" customHeight="1">
      <c r="A353" s="138"/>
      <c r="B353" s="372" t="s">
        <v>1199</v>
      </c>
      <c r="C353" s="36" t="s">
        <v>4334</v>
      </c>
      <c r="D353" s="33"/>
      <c r="N353" s="851" t="s">
        <v>1199</v>
      </c>
      <c r="O353" s="2257"/>
      <c r="P353" s="519"/>
      <c r="R353" s="374"/>
    </row>
    <row r="354" spans="1:19" s="102" customFormat="1" ht="10.5" customHeight="1">
      <c r="A354" s="138"/>
      <c r="B354" s="372" t="s">
        <v>1833</v>
      </c>
      <c r="C354" s="36" t="s">
        <v>3758</v>
      </c>
      <c r="D354" s="33"/>
      <c r="N354" s="851" t="s">
        <v>1833</v>
      </c>
      <c r="O354" s="2258"/>
      <c r="P354" s="520"/>
      <c r="R354" s="374"/>
    </row>
    <row r="355" spans="1:19" s="43" customFormat="1" ht="12" customHeight="1">
      <c r="A355" s="138" t="s">
        <v>1937</v>
      </c>
      <c r="B355" s="165" t="s">
        <v>3750</v>
      </c>
      <c r="C355" s="87"/>
      <c r="D355" s="58"/>
      <c r="E355" s="52"/>
      <c r="G355" s="1782">
        <f>'Part I-Project Information'!D164</f>
        <v>0</v>
      </c>
      <c r="I355" s="477"/>
      <c r="L355" s="1112"/>
      <c r="M355" s="1112"/>
      <c r="N355" s="455" t="s">
        <v>1937</v>
      </c>
      <c r="P355" s="4262"/>
      <c r="Q355" s="109"/>
      <c r="R355" s="1039" t="s">
        <v>2625</v>
      </c>
    </row>
    <row r="356" spans="1:19" s="102" customFormat="1" ht="10.5" customHeight="1">
      <c r="A356" s="153"/>
      <c r="B356" s="372" t="s">
        <v>1938</v>
      </c>
      <c r="C356" s="36" t="s">
        <v>4384</v>
      </c>
      <c r="D356" s="52"/>
      <c r="E356" s="52"/>
      <c r="M356" s="2373"/>
      <c r="N356" s="430" t="s">
        <v>4385</v>
      </c>
      <c r="O356" s="2256"/>
      <c r="P356" s="518"/>
      <c r="Q356" s="109"/>
    </row>
    <row r="357" spans="1:19" s="102" customFormat="1" ht="10.5" customHeight="1">
      <c r="A357" s="138"/>
      <c r="B357" s="372"/>
      <c r="C357" s="36" t="s">
        <v>4769</v>
      </c>
      <c r="D357" s="33"/>
      <c r="N357" s="430" t="s">
        <v>4386</v>
      </c>
      <c r="O357" s="2257"/>
      <c r="P357" s="519"/>
      <c r="R357" s="374"/>
    </row>
    <row r="358" spans="1:19" s="102" customFormat="1" ht="10.5" customHeight="1">
      <c r="A358" s="138"/>
      <c r="B358" s="372" t="s">
        <v>1940</v>
      </c>
      <c r="C358" s="36" t="s">
        <v>3769</v>
      </c>
      <c r="D358" s="33"/>
      <c r="N358" s="851" t="s">
        <v>1940</v>
      </c>
      <c r="O358" s="2257"/>
      <c r="P358" s="519"/>
      <c r="R358" s="374"/>
    </row>
    <row r="359" spans="1:19" s="102" customFormat="1" ht="10.5" customHeight="1">
      <c r="B359" s="372" t="s">
        <v>2467</v>
      </c>
      <c r="C359" s="36" t="s">
        <v>3758</v>
      </c>
      <c r="D359" s="33"/>
      <c r="N359" s="851" t="s">
        <v>2467</v>
      </c>
      <c r="O359" s="2258"/>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2725"/>
      <c r="B361" s="2726"/>
      <c r="C361" s="2726"/>
      <c r="D361" s="2726"/>
      <c r="E361" s="2726"/>
      <c r="F361" s="2726"/>
      <c r="G361" s="2726"/>
      <c r="H361" s="2726"/>
      <c r="I361" s="2726"/>
      <c r="J361" s="2726"/>
      <c r="K361" s="2726"/>
      <c r="L361" s="2726"/>
      <c r="M361" s="2726"/>
      <c r="N361" s="2726"/>
      <c r="O361" s="2726"/>
      <c r="P361" s="2727"/>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v>1</v>
      </c>
      <c r="P364" s="4249"/>
      <c r="Q364" s="109" t="s">
        <v>433</v>
      </c>
      <c r="R364" s="3216" t="s">
        <v>4767</v>
      </c>
      <c r="S364" s="3216"/>
    </row>
    <row r="365" spans="1:19" s="43" customFormat="1" ht="11.25" customHeight="1">
      <c r="A365" s="138"/>
      <c r="B365" s="113" t="s">
        <v>3453</v>
      </c>
      <c r="D365" s="88"/>
      <c r="E365" s="88"/>
      <c r="G365" s="52"/>
      <c r="I365" s="3063" t="s">
        <v>7094</v>
      </c>
      <c r="J365" s="3064"/>
      <c r="K365" s="3064"/>
      <c r="L365" s="3065"/>
      <c r="M365" s="426"/>
      <c r="N365" s="393"/>
      <c r="O365" s="1112" t="s">
        <v>2443</v>
      </c>
      <c r="P365" s="1112" t="s">
        <v>2443</v>
      </c>
      <c r="Q365" s="978"/>
      <c r="R365" s="3216"/>
      <c r="S365" s="3216"/>
    </row>
    <row r="366" spans="1:19" s="43" customFormat="1" ht="11.25" customHeight="1">
      <c r="A366" s="138"/>
      <c r="B366" s="372" t="s">
        <v>1938</v>
      </c>
      <c r="C366" s="55" t="s">
        <v>6802</v>
      </c>
      <c r="D366" s="88"/>
      <c r="E366" s="1813" t="s">
        <v>4347</v>
      </c>
      <c r="G366" s="52"/>
      <c r="I366" s="1228"/>
      <c r="J366" s="997"/>
      <c r="K366" s="997"/>
      <c r="L366" s="997"/>
      <c r="M366" s="2386"/>
      <c r="N366" s="1458"/>
      <c r="O366" s="2256"/>
      <c r="P366" s="518"/>
      <c r="Q366" s="1459"/>
      <c r="R366" s="3216"/>
      <c r="S366" s="3216"/>
    </row>
    <row r="367" spans="1:19" s="102" customFormat="1" ht="11.25" customHeight="1">
      <c r="A367" s="138"/>
      <c r="B367" s="51"/>
      <c r="C367" s="36"/>
      <c r="D367" s="51" t="s">
        <v>1326</v>
      </c>
      <c r="E367" s="36" t="s">
        <v>6803</v>
      </c>
      <c r="G367" s="52"/>
      <c r="H367" s="1055"/>
      <c r="I367" s="36"/>
      <c r="J367" s="36"/>
      <c r="K367" s="36"/>
      <c r="L367" s="2338">
        <v>2020</v>
      </c>
      <c r="N367" s="1458"/>
      <c r="O367" s="2258" t="s">
        <v>2885</v>
      </c>
      <c r="P367" s="520"/>
      <c r="Q367" s="1814"/>
      <c r="R367" s="3216"/>
      <c r="S367" s="3216"/>
    </row>
    <row r="368" spans="1:19" s="43" customFormat="1" ht="11.25" customHeight="1">
      <c r="B368" s="372" t="s">
        <v>1940</v>
      </c>
      <c r="C368" s="40" t="s">
        <v>4348</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56" t="s">
        <v>2885</v>
      </c>
      <c r="P369" s="518"/>
    </row>
    <row r="370" spans="1:19" s="117" customFormat="1" ht="10.5" customHeight="1">
      <c r="B370" s="386" t="s">
        <v>2372</v>
      </c>
      <c r="C370" s="428" t="s">
        <v>3752</v>
      </c>
      <c r="N370" s="386" t="s">
        <v>2372</v>
      </c>
      <c r="O370" s="2257" t="s">
        <v>2885</v>
      </c>
      <c r="P370" s="519"/>
    </row>
    <row r="371" spans="1:19" s="117" customFormat="1" ht="10.5" customHeight="1">
      <c r="B371" s="373" t="s">
        <v>2373</v>
      </c>
      <c r="C371" s="428" t="s">
        <v>4580</v>
      </c>
      <c r="N371" s="373" t="s">
        <v>2373</v>
      </c>
      <c r="O371" s="2258" t="s">
        <v>2885</v>
      </c>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3"/>
    </row>
    <row r="375" spans="1:19" s="43" customFormat="1" ht="29.25" customHeight="1" thickTop="1" thickBot="1">
      <c r="A375" s="3003" t="s">
        <v>7112</v>
      </c>
      <c r="B375" s="3004"/>
      <c r="C375" s="3004"/>
      <c r="D375" s="3004"/>
      <c r="E375" s="3004"/>
      <c r="F375" s="3004"/>
      <c r="G375" s="3004"/>
      <c r="H375" s="3004"/>
      <c r="I375" s="3004"/>
      <c r="J375" s="3004"/>
      <c r="K375" s="3004"/>
      <c r="L375" s="3004"/>
      <c r="M375" s="3004"/>
      <c r="N375" s="3004"/>
      <c r="O375" s="3004"/>
      <c r="P375" s="3005"/>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2725"/>
      <c r="B377" s="2726"/>
      <c r="C377" s="2726"/>
      <c r="D377" s="2726"/>
      <c r="E377" s="2726"/>
      <c r="F377" s="2726"/>
      <c r="G377" s="2726"/>
      <c r="H377" s="2726"/>
      <c r="I377" s="2726"/>
      <c r="J377" s="2726"/>
      <c r="K377" s="2726"/>
      <c r="L377" s="2726"/>
      <c r="M377" s="2726"/>
      <c r="N377" s="2726"/>
      <c r="O377" s="2726"/>
      <c r="P377" s="2727"/>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4336</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96" t="str">
        <f>IF(OR(O381="No",O381="",O382="No",O382="",O383="No",O383="",O384="No",O384=""),"Unmet criterion results in no points!","")</f>
        <v>Unmet criterion results in no points!</v>
      </c>
      <c r="M381" s="3096"/>
      <c r="N381" s="373" t="s">
        <v>2371</v>
      </c>
      <c r="O381" s="2256"/>
      <c r="P381" s="518"/>
      <c r="R381" s="2947" t="str">
        <f>IF(OR(P381="No",P381="",P382="No",P382="",P383="No",P383="",P384="No",P384=""),"Unmet criterion results in no points!","")</f>
        <v>Unmet criterion results in no points!</v>
      </c>
      <c r="S381" s="2947" t="e">
        <f>IF(OR(V381="No",V381="",V382="No",V382="",V383="No",V383="",V384="No",V384="",#REF!="No",#REF!="",#REF!="No",#REF!=""),"Unmet criterion results in no points!","")</f>
        <v>#REF!</v>
      </c>
    </row>
    <row r="382" spans="1:19" s="100" customFormat="1" ht="12.75" customHeight="1">
      <c r="B382" s="373" t="s">
        <v>2372</v>
      </c>
      <c r="C382" s="134" t="s">
        <v>3615</v>
      </c>
      <c r="L382" s="3096"/>
      <c r="M382" s="3096"/>
      <c r="N382" s="373" t="s">
        <v>2372</v>
      </c>
      <c r="O382" s="2257"/>
      <c r="P382" s="519"/>
      <c r="R382" s="2947"/>
      <c r="S382" s="2947"/>
    </row>
    <row r="383" spans="1:19" s="100" customFormat="1" ht="12.75" customHeight="1">
      <c r="B383" s="373" t="s">
        <v>2373</v>
      </c>
      <c r="C383" s="134" t="s">
        <v>3614</v>
      </c>
      <c r="L383" s="3096"/>
      <c r="M383" s="3096"/>
      <c r="N383" s="373" t="s">
        <v>2373</v>
      </c>
      <c r="O383" s="2257"/>
      <c r="P383" s="519"/>
      <c r="R383" s="2947"/>
      <c r="S383" s="2947"/>
    </row>
    <row r="384" spans="1:19" s="100" customFormat="1" ht="33.75" customHeight="1">
      <c r="B384" s="386" t="s">
        <v>2374</v>
      </c>
      <c r="C384" s="2946" t="s">
        <v>4335</v>
      </c>
      <c r="D384" s="2946"/>
      <c r="E384" s="2946"/>
      <c r="F384" s="2946"/>
      <c r="G384" s="2946"/>
      <c r="H384" s="2946"/>
      <c r="I384" s="2946"/>
      <c r="J384" s="2946"/>
      <c r="K384" s="2946"/>
      <c r="L384" s="2946"/>
      <c r="M384" s="2946"/>
      <c r="N384" s="386" t="s">
        <v>2374</v>
      </c>
      <c r="O384" s="2391"/>
      <c r="P384" s="2251"/>
    </row>
    <row r="385" spans="1:20" ht="3" customHeight="1">
      <c r="C385" s="2946"/>
      <c r="D385" s="2946"/>
      <c r="E385" s="2946"/>
      <c r="F385" s="2946"/>
      <c r="G385" s="2946"/>
      <c r="H385" s="2946"/>
      <c r="I385" s="2946"/>
      <c r="J385" s="2946"/>
      <c r="K385" s="2946"/>
      <c r="L385" s="2946"/>
      <c r="M385" s="2946"/>
    </row>
    <row r="386" spans="1:20" ht="12.75" customHeight="1">
      <c r="A386" s="996" t="s">
        <v>1935</v>
      </c>
      <c r="B386" s="177" t="s">
        <v>3755</v>
      </c>
      <c r="L386" s="374" t="str">
        <f>IF(O386&lt;=M386,"","* * Check Score! * *")</f>
        <v/>
      </c>
      <c r="M386" s="1074">
        <v>3</v>
      </c>
      <c r="N386" s="455" t="s">
        <v>1935</v>
      </c>
      <c r="O386" s="2291"/>
      <c r="P386" s="4258"/>
      <c r="Q386" s="978" t="str">
        <f>IF(O386&lt;=M386,"","*CHECK!*")</f>
        <v/>
      </c>
      <c r="R386" s="2942" t="s">
        <v>4767</v>
      </c>
      <c r="S386" s="2942"/>
      <c r="T386" s="1745"/>
    </row>
    <row r="387" spans="1:20" ht="12.75" customHeight="1">
      <c r="A387" s="996"/>
      <c r="B387" s="562" t="s">
        <v>1938</v>
      </c>
      <c r="C387" s="981" t="s">
        <v>4338</v>
      </c>
      <c r="D387" s="981"/>
      <c r="E387" s="981"/>
      <c r="F387" s="981"/>
      <c r="G387" s="981"/>
      <c r="H387" s="981"/>
      <c r="I387" s="981"/>
      <c r="N387" s="27"/>
      <c r="O387" s="27"/>
      <c r="P387" s="27"/>
      <c r="R387" s="2942"/>
      <c r="S387" s="2942"/>
      <c r="T387" s="1745"/>
    </row>
    <row r="388" spans="1:20" ht="12.75" customHeight="1">
      <c r="A388" s="996"/>
      <c r="B388" s="435"/>
      <c r="C388" s="981" t="s">
        <v>4337</v>
      </c>
      <c r="D388" s="981"/>
      <c r="E388" s="981"/>
      <c r="F388" s="981"/>
      <c r="G388" s="981"/>
      <c r="H388" s="981"/>
      <c r="I388" s="981"/>
      <c r="J388" s="3095" t="s">
        <v>1942</v>
      </c>
      <c r="K388" s="3095"/>
      <c r="M388" s="3095" t="s">
        <v>1942</v>
      </c>
      <c r="N388" s="3095"/>
      <c r="O388" s="3095"/>
      <c r="P388" s="3095"/>
      <c r="R388" s="2942"/>
      <c r="S388" s="2942"/>
      <c r="T388" s="1745"/>
    </row>
    <row r="389" spans="1:20" s="43" customFormat="1" ht="12.75" customHeight="1">
      <c r="A389" s="175"/>
      <c r="B389" s="373" t="s">
        <v>2371</v>
      </c>
      <c r="C389" s="36" t="s">
        <v>1451</v>
      </c>
      <c r="I389" s="373" t="s">
        <v>2371</v>
      </c>
      <c r="J389" s="3073"/>
      <c r="K389" s="3074"/>
      <c r="L389" s="373" t="s">
        <v>2371</v>
      </c>
      <c r="M389" s="4268"/>
      <c r="N389" s="4269"/>
      <c r="O389" s="4269"/>
      <c r="P389" s="4270"/>
      <c r="R389" s="374"/>
    </row>
    <row r="390" spans="1:20" ht="12.75" customHeight="1">
      <c r="A390" s="176"/>
      <c r="B390" s="386" t="s">
        <v>2372</v>
      </c>
      <c r="C390" s="36" t="s">
        <v>3456</v>
      </c>
      <c r="I390" s="386" t="s">
        <v>2372</v>
      </c>
      <c r="J390" s="3035"/>
      <c r="K390" s="3036"/>
      <c r="L390" s="386" t="s">
        <v>2372</v>
      </c>
      <c r="M390" s="4271"/>
      <c r="N390" s="4272"/>
      <c r="O390" s="4272"/>
      <c r="P390" s="4273"/>
      <c r="R390" s="374"/>
    </row>
    <row r="391" spans="1:20" ht="12.75" customHeight="1">
      <c r="B391" s="373" t="s">
        <v>2373</v>
      </c>
      <c r="C391" s="36" t="s">
        <v>4581</v>
      </c>
      <c r="I391" s="373" t="s">
        <v>2373</v>
      </c>
      <c r="J391" s="3035"/>
      <c r="K391" s="3036"/>
      <c r="L391" s="373" t="s">
        <v>2373</v>
      </c>
      <c r="M391" s="4271"/>
      <c r="N391" s="4272"/>
      <c r="O391" s="4272"/>
      <c r="P391" s="4273"/>
      <c r="R391" s="374"/>
    </row>
    <row r="392" spans="1:20" ht="12.75" customHeight="1">
      <c r="A392" s="176"/>
      <c r="B392" s="373" t="s">
        <v>2374</v>
      </c>
      <c r="C392" s="36" t="s">
        <v>3344</v>
      </c>
      <c r="I392" s="373" t="s">
        <v>2374</v>
      </c>
      <c r="J392" s="3035"/>
      <c r="K392" s="3036"/>
      <c r="L392" s="373" t="s">
        <v>2374</v>
      </c>
      <c r="M392" s="4271"/>
      <c r="N392" s="4272"/>
      <c r="O392" s="4272"/>
      <c r="P392" s="4273"/>
      <c r="R392" s="374"/>
    </row>
    <row r="393" spans="1:20" s="43" customFormat="1" ht="12.75" customHeight="1">
      <c r="A393" s="175"/>
      <c r="B393" s="386" t="s">
        <v>2375</v>
      </c>
      <c r="C393" s="36" t="s">
        <v>2646</v>
      </c>
      <c r="I393" s="386" t="s">
        <v>2375</v>
      </c>
      <c r="J393" s="3035"/>
      <c r="K393" s="3036"/>
      <c r="L393" s="386" t="s">
        <v>2375</v>
      </c>
      <c r="M393" s="4271"/>
      <c r="N393" s="4272"/>
      <c r="O393" s="4272"/>
      <c r="P393" s="4273"/>
      <c r="R393" s="374"/>
    </row>
    <row r="394" spans="1:20" ht="12.75" customHeight="1">
      <c r="B394" s="373" t="s">
        <v>2391</v>
      </c>
      <c r="C394" s="36" t="s">
        <v>1450</v>
      </c>
      <c r="I394" s="373" t="s">
        <v>2391</v>
      </c>
      <c r="J394" s="3035"/>
      <c r="K394" s="3036"/>
      <c r="L394" s="373" t="s">
        <v>2391</v>
      </c>
      <c r="M394" s="4271"/>
      <c r="N394" s="4272"/>
      <c r="O394" s="4272"/>
      <c r="P394" s="4273"/>
      <c r="R394" s="374"/>
    </row>
    <row r="395" spans="1:20" ht="12.75" customHeight="1">
      <c r="A395" s="176"/>
      <c r="B395" s="373" t="s">
        <v>2392</v>
      </c>
      <c r="C395" s="36" t="s">
        <v>3455</v>
      </c>
      <c r="I395" s="373" t="s">
        <v>2392</v>
      </c>
      <c r="J395" s="3035"/>
      <c r="K395" s="3036"/>
      <c r="L395" s="373" t="s">
        <v>2392</v>
      </c>
      <c r="M395" s="4271"/>
      <c r="N395" s="4272"/>
      <c r="O395" s="4272"/>
      <c r="P395" s="4273"/>
      <c r="R395" s="374"/>
    </row>
    <row r="396" spans="1:20" ht="12.75" customHeight="1">
      <c r="B396" s="385" t="s">
        <v>2393</v>
      </c>
      <c r="C396" s="36" t="s">
        <v>4339</v>
      </c>
      <c r="I396" s="385" t="s">
        <v>2393</v>
      </c>
      <c r="J396" s="3035"/>
      <c r="K396" s="3036"/>
      <c r="L396" s="385" t="s">
        <v>2393</v>
      </c>
      <c r="M396" s="4271"/>
      <c r="N396" s="4272"/>
      <c r="O396" s="4272"/>
      <c r="P396" s="4273"/>
      <c r="R396" s="374"/>
    </row>
    <row r="397" spans="1:20" ht="12.75" customHeight="1">
      <c r="B397" s="385" t="s">
        <v>2394</v>
      </c>
      <c r="C397" s="36" t="s">
        <v>4340</v>
      </c>
      <c r="I397" s="385" t="s">
        <v>2394</v>
      </c>
      <c r="J397" s="3035"/>
      <c r="K397" s="3036"/>
      <c r="L397" s="385" t="s">
        <v>2394</v>
      </c>
      <c r="M397" s="4271"/>
      <c r="N397" s="4272"/>
      <c r="O397" s="4272"/>
      <c r="P397" s="4273"/>
      <c r="R397" s="374"/>
    </row>
    <row r="398" spans="1:20" ht="12.75" customHeight="1" thickBot="1">
      <c r="B398" s="385" t="s">
        <v>3457</v>
      </c>
      <c r="C398" s="36" t="s">
        <v>4341</v>
      </c>
      <c r="I398" s="385" t="s">
        <v>3457</v>
      </c>
      <c r="J398" s="3035"/>
      <c r="K398" s="3036"/>
      <c r="L398" s="385" t="s">
        <v>3457</v>
      </c>
      <c r="M398" s="4274"/>
      <c r="N398" s="4275"/>
      <c r="O398" s="4275"/>
      <c r="P398" s="4276"/>
      <c r="R398" s="374"/>
    </row>
    <row r="399" spans="1:20" ht="12.75" customHeight="1" thickBot="1">
      <c r="B399" s="1110" t="s">
        <v>4342</v>
      </c>
      <c r="H399" s="1131" t="s">
        <v>2558</v>
      </c>
      <c r="J399" s="3070">
        <f>SUM(J389:K398)</f>
        <v>0</v>
      </c>
      <c r="K399" s="3072"/>
      <c r="M399" s="3070">
        <f>SUM($M389:$M398)</f>
        <v>0</v>
      </c>
      <c r="N399" s="3071"/>
      <c r="O399" s="3071"/>
      <c r="P399" s="3072"/>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089" t="s">
        <v>4451</v>
      </c>
      <c r="D402" s="3089"/>
      <c r="E402" s="3089"/>
      <c r="F402" s="428" t="s">
        <v>4373</v>
      </c>
      <c r="H402" s="27"/>
      <c r="I402" s="2339"/>
      <c r="J402" s="3075">
        <f>'Part IV-A-Uses of Funds'!$G$132</f>
        <v>10740700</v>
      </c>
      <c r="K402" s="3076"/>
      <c r="L402" s="524"/>
      <c r="M402" s="492"/>
      <c r="N402" s="492"/>
      <c r="O402" s="1064"/>
      <c r="P402" s="492"/>
    </row>
    <row r="403" spans="1:23" ht="12.75" customHeight="1">
      <c r="C403" s="3089"/>
      <c r="D403" s="3089"/>
      <c r="E403" s="3089"/>
      <c r="F403" s="432" t="s">
        <v>4372</v>
      </c>
      <c r="I403" s="2340"/>
      <c r="J403" s="3084">
        <f>IF($J402=0,0,$J399/$J402)</f>
        <v>0</v>
      </c>
      <c r="K403" s="3085"/>
      <c r="M403" s="3086">
        <f>IF($J402=0,0,$M399/$J402)</f>
        <v>0</v>
      </c>
      <c r="N403" s="3087"/>
      <c r="O403" s="3087"/>
      <c r="P403" s="3088"/>
    </row>
    <row r="404" spans="1:23" s="43" customFormat="1" ht="12.75" customHeight="1">
      <c r="C404" s="3089"/>
      <c r="D404" s="3089"/>
      <c r="E404" s="3089"/>
      <c r="F404" s="1013" t="s">
        <v>4371</v>
      </c>
      <c r="I404" s="2341"/>
      <c r="J404" s="3081">
        <f>IF(L381="", IF($J403&gt;=0.1, 3,IF($J403&gt;=0.05, 2,IF($J403&gt;=0.02,1,0))),0)</f>
        <v>0</v>
      </c>
      <c r="K404" s="3083"/>
      <c r="L404" s="503"/>
      <c r="M404" s="3081">
        <f>IF(R381="", IF($M403&gt;=0.1, 3,IF($M403&gt;=0.05, 2,IF($M403&gt;=0.02,1,0))),0)</f>
        <v>0</v>
      </c>
      <c r="N404" s="3082"/>
      <c r="O404" s="3082"/>
      <c r="P404" s="3083"/>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2"/>
      <c r="P406" s="4249"/>
      <c r="Q406" s="109" t="s">
        <v>433</v>
      </c>
      <c r="R406" s="974" t="s">
        <v>4767</v>
      </c>
      <c r="V406" s="1023"/>
      <c r="W406" s="1023"/>
    </row>
    <row r="407" spans="1:23" s="43" customFormat="1" ht="22.5" customHeight="1">
      <c r="A407" s="138"/>
      <c r="B407" s="986" t="s">
        <v>2371</v>
      </c>
      <c r="C407" s="2703" t="s">
        <v>3756</v>
      </c>
      <c r="D407" s="2703"/>
      <c r="E407" s="2703"/>
      <c r="F407" s="2703"/>
      <c r="G407" s="2703"/>
      <c r="H407" s="2703"/>
      <c r="I407" s="2703"/>
      <c r="J407" s="2703"/>
      <c r="K407" s="2703"/>
      <c r="L407" s="2703"/>
      <c r="M407" s="2703"/>
      <c r="N407" s="386" t="s">
        <v>2371</v>
      </c>
      <c r="O407" s="2274"/>
      <c r="P407" s="4277"/>
      <c r="V407" s="1023"/>
      <c r="W407" s="1023"/>
    </row>
    <row r="408" spans="1:23" s="43" customFormat="1" ht="12.75" customHeight="1">
      <c r="A408" s="138"/>
      <c r="B408" s="373" t="s">
        <v>2372</v>
      </c>
      <c r="C408" s="52" t="s">
        <v>3607</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4343</v>
      </c>
      <c r="N409" s="373" t="s">
        <v>2373</v>
      </c>
      <c r="O409" s="2258"/>
      <c r="P409" s="520"/>
    </row>
    <row r="410" spans="1:23" ht="12" customHeight="1" thickBot="1">
      <c r="B410" s="1132" t="s">
        <v>3567</v>
      </c>
    </row>
    <row r="411" spans="1:23" s="43" customFormat="1" ht="21.75" customHeight="1" thickTop="1" thickBot="1">
      <c r="A411" s="3003" t="s">
        <v>3062</v>
      </c>
      <c r="B411" s="3004"/>
      <c r="C411" s="3004"/>
      <c r="D411" s="3004"/>
      <c r="E411" s="3004"/>
      <c r="F411" s="3004"/>
      <c r="G411" s="3004"/>
      <c r="H411" s="3004"/>
      <c r="I411" s="3004"/>
      <c r="J411" s="3004"/>
      <c r="K411" s="3004"/>
      <c r="L411" s="3004"/>
      <c r="M411" s="3004"/>
      <c r="N411" s="3004"/>
      <c r="O411" s="3004"/>
      <c r="P411" s="3005"/>
      <c r="Q411" s="1027" t="s">
        <v>1228</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2725"/>
      <c r="B413" s="2726"/>
      <c r="C413" s="2726"/>
      <c r="D413" s="2726"/>
      <c r="E413" s="2726"/>
      <c r="F413" s="2726"/>
      <c r="G413" s="2726"/>
      <c r="H413" s="2726"/>
      <c r="I413" s="2726"/>
      <c r="J413" s="2726"/>
      <c r="K413" s="2726"/>
      <c r="L413" s="2726"/>
      <c r="M413" s="2726"/>
      <c r="N413" s="2726"/>
      <c r="O413" s="2726"/>
      <c r="P413" s="2727"/>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3784</v>
      </c>
      <c r="B415" s="105" t="s">
        <v>2639</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63" t="s">
        <v>4442</v>
      </c>
      <c r="E417" s="3064"/>
      <c r="F417" s="3064"/>
      <c r="G417" s="3064"/>
      <c r="H417" s="3064"/>
      <c r="I417" s="3065"/>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4582</v>
      </c>
      <c r="C419" s="389"/>
      <c r="D419" s="389"/>
      <c r="E419" s="389"/>
      <c r="F419" s="389"/>
      <c r="G419" s="389"/>
      <c r="H419" s="389"/>
      <c r="I419" s="389"/>
      <c r="M419" s="410">
        <v>2</v>
      </c>
      <c r="N419" s="160" t="s">
        <v>1935</v>
      </c>
      <c r="O419" s="2291"/>
      <c r="P419" s="4258"/>
      <c r="Q419" s="978" t="str">
        <f>IF(OR($O419=$M419,$O419=0,$O419=""),"","*CHECK!*")</f>
        <v/>
      </c>
      <c r="R419" s="974" t="s">
        <v>4767</v>
      </c>
    </row>
    <row r="420" spans="1:19" s="409" customFormat="1" ht="12" customHeight="1">
      <c r="A420" s="408"/>
      <c r="B420" s="2880" t="s">
        <v>4584</v>
      </c>
      <c r="C420" s="2880"/>
      <c r="D420" s="2880"/>
      <c r="E420" s="2880"/>
      <c r="F420" s="2880"/>
      <c r="G420" s="2880"/>
      <c r="H420" s="2880"/>
      <c r="I420" s="2880"/>
      <c r="J420" s="2880"/>
      <c r="K420" s="2880"/>
      <c r="L420" s="2880"/>
      <c r="M420" s="3099" t="s">
        <v>4443</v>
      </c>
      <c r="N420" s="3099"/>
      <c r="Q420" s="172"/>
    </row>
    <row r="421" spans="1:19" s="409" customFormat="1" ht="12" customHeight="1">
      <c r="B421" s="2880"/>
      <c r="C421" s="2880"/>
      <c r="D421" s="2880"/>
      <c r="E421" s="2880"/>
      <c r="F421" s="2880"/>
      <c r="G421" s="2880"/>
      <c r="H421" s="2880"/>
      <c r="I421" s="2880"/>
      <c r="J421" s="2880"/>
      <c r="K421" s="2880"/>
      <c r="L421" s="2880"/>
      <c r="M421" s="3099"/>
      <c r="N421" s="3099"/>
      <c r="O421" s="3079">
        <f>'Part VI-Revenues &amp; Expenses'!$P$123</f>
        <v>0</v>
      </c>
      <c r="P421" s="3080"/>
      <c r="Q421" s="172"/>
    </row>
    <row r="422" spans="1:19" s="409" customFormat="1" ht="12" customHeight="1">
      <c r="B422" s="2880"/>
      <c r="C422" s="2880"/>
      <c r="D422" s="2880"/>
      <c r="E422" s="2880"/>
      <c r="F422" s="2880"/>
      <c r="G422" s="2880"/>
      <c r="H422" s="2880"/>
      <c r="I422" s="2880"/>
      <c r="J422" s="2880"/>
      <c r="K422" s="2880"/>
      <c r="L422" s="2880"/>
      <c r="M422" s="983" t="s">
        <v>2731</v>
      </c>
      <c r="N422" s="410"/>
      <c r="O422" s="3077">
        <f>'Part VI-Revenues &amp; Expenses'!$P$67</f>
        <v>48</v>
      </c>
      <c r="P422" s="3078"/>
      <c r="Q422" s="172"/>
    </row>
    <row r="423" spans="1:19" s="409" customFormat="1" ht="12" customHeight="1">
      <c r="B423" s="3090"/>
      <c r="C423" s="3090"/>
      <c r="D423" s="3090"/>
      <c r="E423" s="3090"/>
      <c r="F423" s="3090"/>
      <c r="G423" s="3090"/>
      <c r="H423" s="3090"/>
      <c r="I423" s="3090"/>
      <c r="J423" s="3090"/>
      <c r="K423" s="3090"/>
      <c r="L423" s="3090"/>
      <c r="M423" s="1451" t="s">
        <v>2732</v>
      </c>
      <c r="N423" s="410"/>
      <c r="O423" s="3097">
        <f>IF(O422=0,0,O421/O422)</f>
        <v>0</v>
      </c>
      <c r="P423" s="3098"/>
      <c r="Q423" s="172"/>
    </row>
    <row r="424" spans="1:19" s="43" customFormat="1" ht="66.75" customHeight="1">
      <c r="A424" s="513"/>
      <c r="B424" s="2872" t="s">
        <v>3845</v>
      </c>
      <c r="C424" s="2873"/>
      <c r="D424" s="2873"/>
      <c r="E424" s="2873"/>
      <c r="F424" s="2873"/>
      <c r="G424" s="2873"/>
      <c r="H424" s="2873"/>
      <c r="I424" s="2873"/>
      <c r="J424" s="2873"/>
      <c r="K424" s="2873"/>
      <c r="L424" s="2873"/>
      <c r="M424" s="2873"/>
      <c r="N424" s="2873"/>
      <c r="O424" s="2873"/>
      <c r="P424" s="2874"/>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4583</v>
      </c>
      <c r="C426" s="139"/>
      <c r="D426" s="835"/>
      <c r="H426" s="389"/>
      <c r="M426" s="410">
        <v>2</v>
      </c>
      <c r="N426" s="160" t="s">
        <v>1937</v>
      </c>
      <c r="O426" s="2291"/>
      <c r="P426" s="4258"/>
      <c r="Q426" s="978" t="str">
        <f>IF(OR($O426=$M426,$O426=0,$O426=""),"","*CHECK!*")</f>
        <v/>
      </c>
      <c r="R426" s="974" t="s">
        <v>4767</v>
      </c>
    </row>
    <row r="427" spans="1:19" s="409" customFormat="1" ht="11.25" customHeight="1">
      <c r="A427" s="514"/>
      <c r="B427" s="2703" t="s">
        <v>4344</v>
      </c>
      <c r="C427" s="2703"/>
      <c r="D427" s="2703"/>
      <c r="E427" s="2703"/>
      <c r="F427" s="2703"/>
      <c r="G427" s="2703"/>
      <c r="H427" s="2703"/>
      <c r="I427" s="2703"/>
      <c r="J427" s="2703"/>
      <c r="K427" s="2703"/>
      <c r="L427" s="2703"/>
      <c r="M427" s="1504" t="s">
        <v>4345</v>
      </c>
      <c r="O427" s="3068">
        <f>'Part VI-Revenues &amp; Expenses'!$P$125</f>
        <v>0</v>
      </c>
      <c r="P427" s="3069"/>
      <c r="Q427" s="172"/>
    </row>
    <row r="428" spans="1:19" s="409" customFormat="1" ht="11.25" customHeight="1">
      <c r="A428" s="514"/>
      <c r="B428" s="2703"/>
      <c r="C428" s="2703"/>
      <c r="D428" s="2703"/>
      <c r="E428" s="2703"/>
      <c r="F428" s="2703"/>
      <c r="G428" s="2703"/>
      <c r="H428" s="2703"/>
      <c r="I428" s="2703"/>
      <c r="J428" s="2703"/>
      <c r="K428" s="2703"/>
      <c r="L428" s="2703"/>
      <c r="M428" s="1146" t="s">
        <v>2731</v>
      </c>
      <c r="N428" s="410"/>
      <c r="O428" s="3077">
        <f>'Part VI-Revenues &amp; Expenses'!$P$67</f>
        <v>48</v>
      </c>
      <c r="P428" s="3078"/>
      <c r="Q428" s="172"/>
    </row>
    <row r="429" spans="1:19" s="409" customFormat="1" ht="11.25" customHeight="1">
      <c r="A429" s="514"/>
      <c r="B429" s="2703"/>
      <c r="C429" s="2703"/>
      <c r="D429" s="2703"/>
      <c r="E429" s="2703"/>
      <c r="F429" s="2703"/>
      <c r="G429" s="2703"/>
      <c r="H429" s="2703"/>
      <c r="I429" s="2703"/>
      <c r="J429" s="2703"/>
      <c r="K429" s="2703"/>
      <c r="L429" s="2703"/>
      <c r="M429" s="1451" t="s">
        <v>2732</v>
      </c>
      <c r="N429" s="410"/>
      <c r="O429" s="3097">
        <f>IF(O428=0,0,L415/O428)</f>
        <v>0</v>
      </c>
      <c r="P429" s="3098"/>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3003" t="s">
        <v>3062</v>
      </c>
      <c r="B431" s="3004"/>
      <c r="C431" s="3004"/>
      <c r="D431" s="3004"/>
      <c r="E431" s="3004"/>
      <c r="F431" s="3004"/>
      <c r="G431" s="3004"/>
      <c r="H431" s="3004"/>
      <c r="I431" s="3004"/>
      <c r="J431" s="3004"/>
      <c r="K431" s="3004"/>
      <c r="L431" s="3004"/>
      <c r="M431" s="3004"/>
      <c r="N431" s="3004"/>
      <c r="O431" s="3004"/>
      <c r="P431" s="3005"/>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35" customHeight="1">
      <c r="A433" s="2725"/>
      <c r="B433" s="2726"/>
      <c r="C433" s="2726"/>
      <c r="D433" s="2726"/>
      <c r="E433" s="2726"/>
      <c r="F433" s="2726"/>
      <c r="G433" s="2726"/>
      <c r="H433" s="2726"/>
      <c r="I433" s="2726"/>
      <c r="J433" s="2726"/>
      <c r="K433" s="2726"/>
      <c r="L433" s="2726"/>
      <c r="M433" s="2726"/>
      <c r="N433" s="2726"/>
      <c r="O433" s="2726"/>
      <c r="P433" s="2727"/>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3483</v>
      </c>
      <c r="D437" s="45"/>
      <c r="E437" s="45"/>
      <c r="F437" s="39"/>
      <c r="G437" s="36"/>
      <c r="I437" s="36"/>
      <c r="J437" s="36"/>
      <c r="K437" s="36"/>
      <c r="L437" s="374"/>
      <c r="M437" s="2373"/>
      <c r="N437" s="6"/>
      <c r="O437" s="1087">
        <v>10</v>
      </c>
      <c r="P437" s="1087">
        <v>10</v>
      </c>
      <c r="Q437" s="109"/>
    </row>
    <row r="438" spans="1:18" s="102" customFormat="1" ht="10.5" customHeight="1">
      <c r="A438" s="153"/>
      <c r="B438" s="86" t="s">
        <v>3484</v>
      </c>
      <c r="D438" s="45"/>
      <c r="E438" s="45"/>
      <c r="F438" s="39"/>
      <c r="G438" s="36"/>
      <c r="I438" s="36"/>
      <c r="J438" s="36"/>
      <c r="K438" s="36"/>
      <c r="L438" s="374"/>
      <c r="M438" s="2373"/>
      <c r="N438" s="6"/>
      <c r="O438" s="2342"/>
      <c r="P438" s="4265"/>
      <c r="Q438" s="109"/>
    </row>
    <row r="439" spans="1:18" s="102" customFormat="1" ht="10.5" customHeight="1">
      <c r="A439" s="153"/>
      <c r="B439" s="86" t="s">
        <v>3485</v>
      </c>
      <c r="D439" s="45"/>
      <c r="E439" s="45"/>
      <c r="F439" s="39"/>
      <c r="G439" s="36"/>
      <c r="I439" s="36"/>
      <c r="J439" s="36"/>
      <c r="K439" s="36"/>
      <c r="L439" s="374"/>
      <c r="M439" s="2373"/>
      <c r="N439" s="6"/>
      <c r="O439" s="2343"/>
      <c r="P439" s="4235"/>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2725"/>
      <c r="B441" s="2726"/>
      <c r="C441" s="2726"/>
      <c r="D441" s="2726"/>
      <c r="E441" s="2726"/>
      <c r="F441" s="2726"/>
      <c r="G441" s="2726"/>
      <c r="H441" s="2726"/>
      <c r="I441" s="2726"/>
      <c r="J441" s="2726"/>
      <c r="K441" s="2726"/>
      <c r="L441" s="2726"/>
      <c r="M441" s="2726"/>
      <c r="N441" s="2726"/>
      <c r="O441" s="2726"/>
      <c r="P441" s="2727"/>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3"/>
      <c r="O444" s="2373"/>
      <c r="P444" s="453">
        <f>P232</f>
        <v>0</v>
      </c>
    </row>
    <row r="445" spans="1:18" s="42" customFormat="1" ht="11.25" customHeight="1">
      <c r="A445" s="54"/>
      <c r="B445" s="67"/>
      <c r="C445" s="54"/>
      <c r="D445" s="35"/>
      <c r="E445" s="35"/>
      <c r="F445" s="69"/>
      <c r="G445" s="69"/>
      <c r="H445" s="165" t="s">
        <v>3840</v>
      </c>
      <c r="J445" s="68"/>
      <c r="K445" s="68"/>
      <c r="L445" s="43"/>
      <c r="M445" s="35"/>
      <c r="N445" s="2373"/>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67" t="s">
        <v>6847</v>
      </c>
      <c r="B448" s="3067"/>
      <c r="C448" s="3067"/>
      <c r="D448" s="3067"/>
      <c r="E448" s="3067"/>
      <c r="F448" s="3067"/>
      <c r="G448" s="3067"/>
      <c r="H448" s="3067"/>
      <c r="I448" s="3067"/>
      <c r="J448" s="3067"/>
      <c r="K448" s="3067"/>
      <c r="L448" s="3067"/>
      <c r="M448" s="3067"/>
      <c r="N448" s="3067"/>
      <c r="O448" s="3067"/>
      <c r="P448" s="3067"/>
    </row>
    <row r="449" spans="1:20" s="43" customFormat="1" ht="409.35" customHeight="1">
      <c r="A449" s="2698" t="s">
        <v>7136</v>
      </c>
      <c r="B449" s="2699"/>
      <c r="C449" s="2699"/>
      <c r="D449" s="2699"/>
      <c r="E449" s="2699"/>
      <c r="F449" s="2699"/>
      <c r="G449" s="2699"/>
      <c r="H449" s="2699"/>
      <c r="I449" s="2699"/>
      <c r="J449" s="2699"/>
      <c r="K449" s="2699"/>
      <c r="L449" s="2699"/>
      <c r="M449" s="2699"/>
      <c r="N449" s="2699"/>
      <c r="O449" s="2699"/>
      <c r="P449" s="2700"/>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218" t="s">
        <v>1472</v>
      </c>
      <c r="H469" s="3218"/>
      <c r="I469" s="3218"/>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4773</v>
      </c>
      <c r="H470" s="1769" t="s">
        <v>4774</v>
      </c>
      <c r="I470" s="1768" t="s">
        <v>4772</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3577</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4776</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4775</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4775</v>
      </c>
      <c r="J475" s="1769" t="s">
        <v>3578</v>
      </c>
      <c r="K475" s="446"/>
      <c r="L475" s="1772"/>
      <c r="M475" s="446"/>
      <c r="N475" s="447"/>
      <c r="O475" s="1760">
        <v>1</v>
      </c>
      <c r="P475" s="1760"/>
      <c r="Q475" s="1761"/>
      <c r="R475" s="1762"/>
      <c r="S475" s="1762"/>
      <c r="T475" s="1762"/>
    </row>
    <row r="476" spans="3:20" s="158" customFormat="1">
      <c r="C476" s="1770" t="s">
        <v>2701</v>
      </c>
      <c r="D476" s="446"/>
      <c r="E476" s="446"/>
      <c r="F476" s="446"/>
      <c r="G476" s="1771" t="s">
        <v>3613</v>
      </c>
      <c r="H476" s="447">
        <v>2019</v>
      </c>
      <c r="I476" s="447" t="s">
        <v>4775</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4776</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4776</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4775</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4775</v>
      </c>
      <c r="J486" s="1773" t="s">
        <v>3588</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4775</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2614</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4775</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4776</v>
      </c>
      <c r="I494" s="1768" t="s">
        <v>2614</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2614</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2614</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4775</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4775</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4776</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4776</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EAs40AoXVjda6s9ny3SBM8FATdgtpvWevU7wdZa4n6ks5Zyvlccipup2D0ByOw37tZVQgk1jTZO92CNJsm5DhQ==" saltValue="N9tWMYImIaqS9ndelMXSf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39" t="s">
        <v>2810</v>
      </c>
      <c r="B1" s="3239"/>
      <c r="C1" s="3239"/>
      <c r="D1" s="3239"/>
      <c r="E1" s="3239"/>
      <c r="F1" s="3239"/>
      <c r="G1" s="3239"/>
      <c r="H1" s="3239"/>
      <c r="I1" s="3239"/>
      <c r="J1" s="3239"/>
    </row>
    <row r="2" spans="1:16" ht="15.6">
      <c r="A2" s="3239" t="str">
        <f>'Sensitivity Analysis'!C8</f>
        <v>Dulles Park II</v>
      </c>
      <c r="B2" s="3239"/>
      <c r="C2" s="3239"/>
      <c r="D2" s="3239"/>
      <c r="E2" s="3239"/>
      <c r="F2" s="3239"/>
      <c r="G2" s="3239"/>
      <c r="H2" s="3239"/>
      <c r="I2" s="3239"/>
      <c r="J2" s="3239"/>
    </row>
    <row r="3" spans="1:16" ht="15.6">
      <c r="A3" s="3239" t="str">
        <f>'Subsidy Layering Memo'!F14</f>
        <v>Gray, Jones</v>
      </c>
      <c r="B3" s="3239"/>
      <c r="C3" s="3239"/>
      <c r="D3" s="3239"/>
      <c r="E3" s="3239"/>
      <c r="F3" s="3239"/>
      <c r="G3" s="3239"/>
      <c r="H3" s="3239"/>
      <c r="I3" s="3239"/>
      <c r="J3" s="3239"/>
    </row>
    <row r="4" spans="1:16" ht="15.6">
      <c r="A4" s="3240" t="s">
        <v>2811</v>
      </c>
      <c r="B4" s="3239"/>
      <c r="C4" s="3239"/>
      <c r="D4" s="3239"/>
      <c r="E4" s="3239"/>
      <c r="F4" s="3239"/>
      <c r="G4" s="3239"/>
      <c r="H4" s="3239"/>
      <c r="I4" s="3239"/>
      <c r="J4" s="3239"/>
    </row>
    <row r="5" spans="1:16" ht="5.25" customHeight="1"/>
    <row r="6" spans="1:16" ht="5.25" customHeight="1"/>
    <row r="7" spans="1:16" ht="15.6">
      <c r="A7" s="3241" t="s">
        <v>2812</v>
      </c>
      <c r="B7" s="3241"/>
      <c r="C7" s="3242"/>
      <c r="M7" s="3233"/>
      <c r="N7" s="3233"/>
      <c r="O7" s="3233"/>
      <c r="P7" s="3233"/>
    </row>
    <row r="8" spans="1:16" ht="57" customHeight="1">
      <c r="A8" s="3234" t="s">
        <v>4473</v>
      </c>
      <c r="B8" s="3234"/>
      <c r="C8" s="3234"/>
      <c r="D8" s="3234"/>
      <c r="E8" s="3234"/>
      <c r="F8" s="3234"/>
      <c r="G8" s="3234"/>
      <c r="H8" s="3234"/>
      <c r="I8" s="3234"/>
      <c r="J8" s="3234"/>
      <c r="K8" s="611"/>
    </row>
    <row r="9" spans="1:16" ht="45.75" customHeight="1">
      <c r="A9" s="323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Gray, Jones County, Georgia, with the development of 48 units (UNIT DESCRIPTION) set aside for HFOP.</v>
      </c>
      <c r="B9" s="3234"/>
      <c r="C9" s="3234"/>
      <c r="D9" s="3234"/>
      <c r="E9" s="3234"/>
      <c r="F9" s="3234"/>
      <c r="G9" s="3234"/>
      <c r="H9" s="3234"/>
      <c r="I9" s="3234"/>
      <c r="J9" s="3234"/>
      <c r="K9" s="611"/>
    </row>
    <row r="10" spans="1:16" ht="15.6">
      <c r="A10" s="612" t="s">
        <v>2813</v>
      </c>
    </row>
    <row r="11" spans="1:16" ht="16.5" customHeight="1">
      <c r="A11" s="3234" t="str">
        <f>'Subsidy Layering Memo'!A44</f>
        <v xml:space="preserve">Ownership entity:  (NAME) LP, a Georgia Limited Partnership, will be the ownership entity for the proposed project. </v>
      </c>
      <c r="B11" s="3236"/>
      <c r="C11" s="3236"/>
      <c r="D11" s="3236"/>
      <c r="E11" s="3236"/>
      <c r="F11" s="3236"/>
      <c r="G11" s="3236"/>
      <c r="H11" s="3236"/>
      <c r="I11" s="3236"/>
      <c r="J11" s="3234"/>
    </row>
    <row r="12" spans="1:16" ht="63.75" customHeight="1">
      <c r="A12" s="3234" t="s">
        <v>2843</v>
      </c>
      <c r="B12" s="3234"/>
      <c r="C12" s="3234"/>
      <c r="D12" s="3234"/>
      <c r="E12" s="3234"/>
      <c r="F12" s="3234"/>
      <c r="G12" s="3234"/>
      <c r="H12" s="3234"/>
      <c r="I12" s="3234"/>
      <c r="J12" s="3234"/>
    </row>
    <row r="13" spans="1:16" ht="48.75" customHeight="1">
      <c r="A13" s="3234" t="s">
        <v>2844</v>
      </c>
      <c r="B13" s="3234"/>
      <c r="C13" s="3234"/>
      <c r="D13" s="3234"/>
      <c r="E13" s="3234"/>
      <c r="F13" s="3234"/>
      <c r="G13" s="3234"/>
      <c r="H13" s="3234"/>
      <c r="I13" s="3234"/>
      <c r="J13" s="3234"/>
    </row>
    <row r="14" spans="1:16" ht="15.6">
      <c r="A14" s="612" t="s">
        <v>2814</v>
      </c>
      <c r="B14" s="613"/>
    </row>
    <row r="15" spans="1:16">
      <c r="A15" s="610" t="s">
        <v>2815</v>
      </c>
      <c r="D15" s="1530" t="s">
        <v>2816</v>
      </c>
    </row>
    <row r="16" spans="1:16">
      <c r="A16" s="610" t="s">
        <v>2817</v>
      </c>
      <c r="D16" s="1528">
        <f>'Sensitivity Analysis'!C25</f>
        <v>0</v>
      </c>
    </row>
    <row r="17" spans="1:11">
      <c r="A17" s="614" t="s">
        <v>2818</v>
      </c>
      <c r="D17" s="1529">
        <f>'Sensitivity Analysis'!C13</f>
        <v>48</v>
      </c>
    </row>
    <row r="18" spans="1:11" ht="14.25" customHeight="1"/>
    <row r="19" spans="1:11" ht="15.6">
      <c r="A19" s="612" t="s">
        <v>2819</v>
      </c>
      <c r="B19" s="613"/>
      <c r="C19" s="613"/>
    </row>
    <row r="20" spans="1:11" ht="48.75" customHeight="1">
      <c r="A20" s="3237" t="s">
        <v>2846</v>
      </c>
      <c r="B20" s="3237"/>
      <c r="C20" s="3237"/>
      <c r="D20" s="3237"/>
      <c r="E20" s="3237"/>
      <c r="F20" s="3237"/>
      <c r="G20" s="3237"/>
      <c r="H20" s="3237"/>
      <c r="I20" s="3237"/>
      <c r="J20" s="3237"/>
    </row>
    <row r="21" spans="1:11" ht="72.75" customHeight="1">
      <c r="A21" s="3234" t="s">
        <v>4472</v>
      </c>
      <c r="B21" s="3234"/>
      <c r="C21" s="3234"/>
      <c r="D21" s="3234"/>
      <c r="E21" s="3234"/>
      <c r="F21" s="3234"/>
      <c r="G21" s="3234"/>
      <c r="H21" s="3234"/>
      <c r="I21" s="3234"/>
      <c r="J21" s="3234"/>
    </row>
    <row r="22" spans="1:11" ht="15.6">
      <c r="A22" s="612" t="s">
        <v>2820</v>
      </c>
      <c r="B22" s="613"/>
      <c r="C22" s="613"/>
      <c r="D22" s="613"/>
      <c r="E22" s="613"/>
      <c r="F22" s="613"/>
    </row>
    <row r="23" spans="1:11" ht="102.75" customHeight="1">
      <c r="A23" s="3238" t="s">
        <v>2839</v>
      </c>
      <c r="B23" s="3238"/>
      <c r="C23" s="3238"/>
      <c r="D23" s="3238"/>
      <c r="E23" s="3238"/>
      <c r="F23" s="3238"/>
      <c r="G23" s="3238"/>
      <c r="H23" s="3238"/>
      <c r="I23" s="3238"/>
      <c r="J23" s="3238"/>
      <c r="K23" s="1232"/>
    </row>
    <row r="24" spans="1:11" ht="15" customHeight="1">
      <c r="A24" s="3235"/>
      <c r="B24" s="3235"/>
      <c r="C24" s="3235"/>
      <c r="D24" s="3235"/>
      <c r="E24" s="3235"/>
      <c r="F24" s="3235"/>
      <c r="G24" s="3235"/>
      <c r="H24" s="3235"/>
      <c r="I24" s="3235"/>
      <c r="J24" s="3235"/>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Dulles Park II</v>
      </c>
    </row>
    <row r="13" spans="1:10">
      <c r="A13" s="620"/>
      <c r="D13" s="619" t="s">
        <v>2834</v>
      </c>
      <c r="F13" s="1527" t="str">
        <f>'Sensitivity Analysis'!E8</f>
        <v>2020-059</v>
      </c>
    </row>
    <row r="14" spans="1:10">
      <c r="A14" s="620"/>
      <c r="D14" s="619" t="s">
        <v>2835</v>
      </c>
      <c r="F14" s="1527" t="str">
        <f>'Sensitivity Analysis'!H8</f>
        <v>Gray, Jones</v>
      </c>
    </row>
    <row r="15" spans="1:10">
      <c r="A15" s="620"/>
      <c r="D15" s="619" t="s">
        <v>3197</v>
      </c>
      <c r="F15" s="3243">
        <f>'Sensitivity Analysis'!$C$25</f>
        <v>0</v>
      </c>
      <c r="G15" s="3243"/>
      <c r="H15" s="3243"/>
    </row>
    <row r="16" spans="1:10">
      <c r="A16" s="620"/>
      <c r="D16" s="622" t="s">
        <v>2836</v>
      </c>
      <c r="F16" s="623">
        <f>'Sensitivity Analysis'!C13</f>
        <v>48</v>
      </c>
      <c r="G16" s="624" t="s">
        <v>3198</v>
      </c>
      <c r="H16" s="1168">
        <f>'Sensitivity Analysis'!E13</f>
        <v>48</v>
      </c>
    </row>
    <row r="17" spans="1:18">
      <c r="A17" s="620"/>
      <c r="D17" s="622" t="s">
        <v>2800</v>
      </c>
      <c r="F17" s="623" t="str">
        <f>'Sensitivity Analysis'!C14</f>
        <v>HFOP</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3250" t="s">
        <v>3374</v>
      </c>
      <c r="B22" s="3250"/>
      <c r="C22" s="3250"/>
      <c r="D22" s="3250"/>
      <c r="E22" s="3250"/>
      <c r="F22" s="3250"/>
      <c r="G22" s="3250"/>
      <c r="H22" s="3250"/>
      <c r="I22" s="3250"/>
      <c r="J22" s="3250"/>
      <c r="K22" s="3257" t="s">
        <v>4474</v>
      </c>
      <c r="L22" s="3257"/>
      <c r="M22" s="3257"/>
      <c r="N22" s="3257"/>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58"/>
      <c r="B24" s="3258"/>
      <c r="C24" s="3258"/>
      <c r="D24" s="3258"/>
      <c r="E24" s="3258"/>
      <c r="F24" s="3258"/>
      <c r="G24" s="3258"/>
      <c r="H24" s="3258"/>
      <c r="I24" s="3258"/>
      <c r="J24" s="3258"/>
    </row>
    <row r="25" spans="1:18" ht="10.5" hidden="1" customHeight="1">
      <c r="A25" s="3259"/>
      <c r="B25" s="3259"/>
      <c r="C25" s="3259"/>
      <c r="D25" s="3259"/>
      <c r="E25" s="3259"/>
      <c r="F25" s="3259"/>
      <c r="G25" s="3259"/>
      <c r="H25" s="3259"/>
      <c r="I25" s="3259"/>
      <c r="J25" s="3259"/>
    </row>
    <row r="26" spans="1:18">
      <c r="A26" s="625" t="s">
        <v>2838</v>
      </c>
    </row>
    <row r="27" spans="1:18" ht="14.25" customHeight="1">
      <c r="A27" s="3260" t="s">
        <v>2839</v>
      </c>
      <c r="B27" s="3260"/>
      <c r="C27" s="3260"/>
      <c r="D27" s="3260"/>
      <c r="E27" s="3260"/>
      <c r="F27" s="3260"/>
      <c r="G27" s="3260"/>
      <c r="H27" s="3260"/>
      <c r="I27" s="3260"/>
      <c r="J27" s="3260"/>
    </row>
    <row r="28" spans="1:18" ht="14.25" customHeight="1">
      <c r="A28" s="3260"/>
      <c r="B28" s="3260"/>
      <c r="C28" s="3260"/>
      <c r="D28" s="3260"/>
      <c r="E28" s="3260"/>
      <c r="F28" s="3260"/>
      <c r="G28" s="3260"/>
      <c r="H28" s="3260"/>
      <c r="I28" s="3260"/>
      <c r="J28" s="3260"/>
    </row>
    <row r="29" spans="1:18" ht="6.75" customHeight="1">
      <c r="A29" s="3260"/>
      <c r="B29" s="3260"/>
      <c r="C29" s="3260"/>
      <c r="D29" s="3260"/>
      <c r="E29" s="3260"/>
      <c r="F29" s="3260"/>
      <c r="G29" s="3260"/>
      <c r="H29" s="3260"/>
      <c r="I29" s="3260"/>
      <c r="J29" s="3260"/>
    </row>
    <row r="30" spans="1:18" ht="14.25" customHeight="1">
      <c r="A30" s="3260"/>
      <c r="B30" s="3260"/>
      <c r="C30" s="3260"/>
      <c r="D30" s="3260"/>
      <c r="E30" s="3260"/>
      <c r="F30" s="3260"/>
      <c r="G30" s="3260"/>
      <c r="H30" s="3260"/>
      <c r="I30" s="3260"/>
      <c r="J30" s="3260"/>
    </row>
    <row r="31" spans="1:18" ht="14.25" customHeight="1">
      <c r="A31" s="3260"/>
      <c r="B31" s="3260"/>
      <c r="C31" s="3260"/>
      <c r="D31" s="3260"/>
      <c r="E31" s="3260"/>
      <c r="F31" s="3260"/>
      <c r="G31" s="3260"/>
      <c r="H31" s="3260"/>
      <c r="I31" s="3260"/>
      <c r="J31" s="3260"/>
    </row>
    <row r="32" spans="1:18" ht="54.75" customHeight="1">
      <c r="A32" s="3260"/>
      <c r="B32" s="3260"/>
      <c r="C32" s="3260"/>
      <c r="D32" s="3260"/>
      <c r="E32" s="3260"/>
      <c r="F32" s="3260"/>
      <c r="G32" s="3260"/>
      <c r="H32" s="3260"/>
      <c r="I32" s="3260"/>
      <c r="J32" s="3260"/>
    </row>
    <row r="33" spans="1:10" ht="0.75" hidden="1" customHeight="1">
      <c r="A33" s="3260"/>
      <c r="B33" s="3260"/>
      <c r="C33" s="3260"/>
      <c r="D33" s="3260"/>
      <c r="E33" s="3260"/>
      <c r="F33" s="3260"/>
      <c r="G33" s="3260"/>
      <c r="H33" s="3260"/>
      <c r="I33" s="3260"/>
      <c r="J33" s="3260"/>
    </row>
    <row r="34" spans="1:10" ht="3.75" hidden="1" customHeight="1">
      <c r="A34" s="3260"/>
      <c r="B34" s="3260"/>
      <c r="C34" s="3260"/>
      <c r="D34" s="3260"/>
      <c r="E34" s="3260"/>
      <c r="F34" s="3260"/>
      <c r="G34" s="3260"/>
      <c r="H34" s="3260"/>
      <c r="I34" s="3260"/>
      <c r="J34" s="3260"/>
    </row>
    <row r="35" spans="1:10" ht="5.25" customHeight="1">
      <c r="A35" s="1523"/>
      <c r="B35" s="1523"/>
      <c r="C35" s="1523"/>
      <c r="D35" s="1523"/>
      <c r="E35" s="1523"/>
      <c r="F35" s="1523"/>
      <c r="G35" s="1523"/>
      <c r="H35" s="1523"/>
      <c r="I35" s="1523"/>
      <c r="J35" s="1523"/>
    </row>
    <row r="36" spans="1:10" ht="19.5" customHeight="1">
      <c r="A36" s="3258" t="s">
        <v>2840</v>
      </c>
      <c r="B36" s="3258"/>
      <c r="C36" s="3258"/>
      <c r="D36" s="1521"/>
      <c r="E36" s="1521"/>
      <c r="F36" s="1521"/>
      <c r="G36" s="1521"/>
      <c r="H36" s="1521"/>
      <c r="I36" s="1521"/>
      <c r="J36" s="1521"/>
    </row>
    <row r="37" spans="1:10" ht="15" customHeight="1">
      <c r="A37" s="3234"/>
      <c r="B37" s="3234"/>
      <c r="C37" s="3234"/>
      <c r="D37" s="3234"/>
      <c r="E37" s="3234"/>
      <c r="F37" s="3234"/>
      <c r="G37" s="3234"/>
      <c r="H37" s="3234"/>
      <c r="I37" s="3234"/>
      <c r="J37" s="3234"/>
    </row>
    <row r="38" spans="1:10" ht="33.75" customHeight="1">
      <c r="A38" s="3234"/>
      <c r="B38" s="3234"/>
      <c r="C38" s="3234"/>
      <c r="D38" s="3234"/>
      <c r="E38" s="3234"/>
      <c r="F38" s="3234"/>
      <c r="G38" s="3234"/>
      <c r="H38" s="3234"/>
      <c r="I38" s="3234"/>
      <c r="J38" s="3234"/>
    </row>
    <row r="39" spans="1:10" ht="2.25" customHeight="1">
      <c r="A39" s="1521"/>
      <c r="B39" s="1521"/>
      <c r="C39" s="1521"/>
      <c r="D39" s="1521"/>
      <c r="E39" s="1521"/>
      <c r="F39" s="1521"/>
      <c r="G39" s="1521"/>
      <c r="H39" s="1521"/>
      <c r="I39" s="1521"/>
      <c r="J39" s="1521"/>
    </row>
    <row r="40" spans="1:10">
      <c r="A40" s="625" t="s">
        <v>2841</v>
      </c>
    </row>
    <row r="41" spans="1:10" ht="135" customHeight="1">
      <c r="A41" s="3259" t="s">
        <v>4471</v>
      </c>
      <c r="B41" s="3259"/>
      <c r="C41" s="3259"/>
      <c r="D41" s="3259"/>
      <c r="E41" s="3259"/>
      <c r="F41" s="3259"/>
      <c r="G41" s="3259"/>
      <c r="H41" s="3259"/>
      <c r="I41" s="3259"/>
      <c r="J41" s="3259"/>
    </row>
    <row r="42" spans="1:10" ht="6" customHeight="1">
      <c r="A42" s="1522"/>
      <c r="B42" s="1522"/>
      <c r="C42" s="1522"/>
      <c r="D42" s="1522"/>
      <c r="E42" s="1522"/>
      <c r="F42" s="1522"/>
      <c r="G42" s="1522"/>
      <c r="H42" s="1522"/>
      <c r="I42" s="1522"/>
      <c r="J42" s="1522"/>
    </row>
    <row r="43" spans="1:10">
      <c r="A43" s="625" t="s">
        <v>2842</v>
      </c>
    </row>
    <row r="44" spans="1:10" ht="33" customHeight="1">
      <c r="A44" s="3234" t="s">
        <v>3883</v>
      </c>
      <c r="B44" s="3236"/>
      <c r="C44" s="3236"/>
      <c r="D44" s="3236"/>
      <c r="E44" s="3236"/>
      <c r="F44" s="3236"/>
      <c r="G44" s="3236"/>
      <c r="H44" s="3236"/>
      <c r="I44" s="3236"/>
      <c r="J44" s="3234"/>
    </row>
    <row r="45" spans="1:10" ht="3" customHeight="1"/>
    <row r="46" spans="1:10" ht="72.75" customHeight="1">
      <c r="A46" s="3234" t="s">
        <v>3884</v>
      </c>
      <c r="B46" s="3234"/>
      <c r="C46" s="3234"/>
      <c r="D46" s="3234"/>
      <c r="E46" s="3234"/>
      <c r="F46" s="3234"/>
      <c r="G46" s="3234"/>
      <c r="H46" s="3234"/>
      <c r="I46" s="3234"/>
      <c r="J46" s="3234"/>
    </row>
    <row r="47" spans="1:10" ht="3" customHeight="1">
      <c r="A47" s="1521"/>
      <c r="B47" s="1521"/>
      <c r="C47" s="1521"/>
      <c r="D47" s="1521"/>
      <c r="E47" s="1521"/>
      <c r="F47" s="1521"/>
      <c r="G47" s="1521"/>
      <c r="H47" s="1521"/>
      <c r="I47" s="1521"/>
      <c r="J47" s="1521"/>
    </row>
    <row r="48" spans="1:10" ht="56.25" customHeight="1">
      <c r="A48" s="3234" t="s">
        <v>3885</v>
      </c>
      <c r="B48" s="3234"/>
      <c r="C48" s="3234"/>
      <c r="D48" s="3234"/>
      <c r="E48" s="3234"/>
      <c r="F48" s="3234"/>
      <c r="G48" s="3234"/>
      <c r="H48" s="3234"/>
      <c r="I48" s="3234"/>
      <c r="J48" s="3234"/>
    </row>
    <row r="49" spans="1:17" ht="3" customHeight="1">
      <c r="A49" s="1521"/>
      <c r="B49" s="1521"/>
      <c r="C49" s="1521"/>
      <c r="D49" s="1521"/>
      <c r="E49" s="1521"/>
      <c r="F49" s="1521"/>
      <c r="G49" s="1521"/>
      <c r="H49" s="1521"/>
      <c r="I49" s="1521"/>
      <c r="J49" s="1521"/>
    </row>
    <row r="50" spans="1:17" ht="49.5" customHeight="1">
      <c r="A50" s="3234" t="s">
        <v>3886</v>
      </c>
      <c r="B50" s="3234"/>
      <c r="C50" s="3234"/>
      <c r="D50" s="3234"/>
      <c r="E50" s="3234"/>
      <c r="F50" s="3234"/>
      <c r="G50" s="3234"/>
      <c r="H50" s="3234"/>
      <c r="I50" s="3234"/>
      <c r="J50" s="1521"/>
    </row>
    <row r="51" spans="1:17" ht="3" customHeight="1">
      <c r="A51" s="1521"/>
      <c r="B51" s="1521"/>
      <c r="C51" s="1521"/>
      <c r="D51" s="1521"/>
      <c r="E51" s="1521"/>
      <c r="F51" s="1521"/>
      <c r="G51" s="1521"/>
      <c r="H51" s="1521"/>
      <c r="I51" s="1521"/>
      <c r="J51" s="1521"/>
    </row>
    <row r="52" spans="1:17" ht="54.75" customHeight="1">
      <c r="A52" s="3249" t="s">
        <v>3207</v>
      </c>
      <c r="B52" s="3248"/>
      <c r="C52" s="3248"/>
      <c r="D52" s="3248"/>
      <c r="E52" s="3248"/>
      <c r="F52" s="3248"/>
      <c r="G52" s="3248"/>
      <c r="H52" s="3248"/>
      <c r="I52" s="3248"/>
      <c r="J52" s="1521"/>
    </row>
    <row r="53" spans="1:17" ht="3" customHeight="1">
      <c r="A53" s="1521"/>
      <c r="B53" s="1521"/>
      <c r="C53" s="1521"/>
      <c r="D53" s="1521"/>
      <c r="E53" s="1521"/>
      <c r="F53" s="1521"/>
      <c r="G53" s="1521"/>
      <c r="H53" s="1521"/>
      <c r="I53" s="1521"/>
      <c r="J53" s="1521"/>
    </row>
    <row r="54" spans="1:17" ht="62.25" customHeight="1">
      <c r="A54" s="3248" t="s">
        <v>3887</v>
      </c>
      <c r="B54" s="3248"/>
      <c r="C54" s="3248"/>
      <c r="D54" s="3248"/>
      <c r="E54" s="3248"/>
      <c r="F54" s="3248"/>
      <c r="G54" s="3248"/>
      <c r="H54" s="3248"/>
      <c r="I54" s="3248"/>
      <c r="J54" s="3248"/>
    </row>
    <row r="55" spans="1:17" ht="3" customHeight="1"/>
    <row r="56" spans="1:17" ht="73.5" customHeight="1">
      <c r="A56" s="3234" t="s">
        <v>3888</v>
      </c>
      <c r="B56" s="3234"/>
      <c r="C56" s="3234"/>
      <c r="D56" s="3234"/>
      <c r="E56" s="3234"/>
      <c r="F56" s="3234"/>
      <c r="G56" s="3234"/>
      <c r="H56" s="3234"/>
      <c r="I56" s="3234"/>
      <c r="J56" s="3234"/>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50" t="s">
        <v>2846</v>
      </c>
      <c r="B59" s="3250"/>
      <c r="C59" s="3250"/>
      <c r="D59" s="3250"/>
      <c r="E59" s="3250"/>
      <c r="F59" s="3250"/>
      <c r="G59" s="3250"/>
      <c r="H59" s="3250"/>
      <c r="I59" s="3250"/>
      <c r="J59" s="3250"/>
      <c r="L59" s="627">
        <f>'Closing term sheet'!C133</f>
        <v>595310</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48" t="s">
        <v>3279</v>
      </c>
      <c r="B61" s="3248"/>
      <c r="C61" s="3248"/>
      <c r="D61" s="3248"/>
      <c r="E61" s="3248"/>
      <c r="F61" s="3248"/>
      <c r="G61" s="3248"/>
      <c r="H61" s="3248"/>
      <c r="I61" s="3248"/>
      <c r="J61" s="632"/>
      <c r="L61" s="633">
        <f>'Part III-Sources of Funds'!I49</f>
        <v>7374802</v>
      </c>
      <c r="M61" s="634">
        <f>'Part IV-A-Uses of Funds'!$J$184</f>
        <v>887000</v>
      </c>
      <c r="N61" s="635">
        <f>'Part IV-A-Uses of Funds'!N175</f>
        <v>0.84</v>
      </c>
      <c r="O61" s="633">
        <f>'Part III-Sources of Funds'!I50</f>
        <v>3356408</v>
      </c>
      <c r="P61" s="634">
        <f>M61</f>
        <v>887000</v>
      </c>
      <c r="Q61" s="635">
        <f>'Part IV-A-Uses of Funds'!Q175</f>
        <v>0.37</v>
      </c>
    </row>
    <row r="62" spans="1:17" ht="18.75" customHeight="1">
      <c r="A62" s="636" t="s">
        <v>2847</v>
      </c>
    </row>
    <row r="63" spans="1:17" ht="177" customHeight="1">
      <c r="A63" s="3248" t="s">
        <v>3889</v>
      </c>
      <c r="B63" s="3248"/>
      <c r="C63" s="3248"/>
      <c r="D63" s="3248"/>
      <c r="E63" s="3248"/>
      <c r="F63" s="3248"/>
      <c r="G63" s="3248"/>
      <c r="H63" s="3248"/>
      <c r="I63" s="3248"/>
      <c r="J63" s="3248"/>
      <c r="L63" s="637" t="str">
        <f>'Part VII-Pro Forma'!K71</f>
        <v/>
      </c>
      <c r="M63" s="3251" t="s">
        <v>3373</v>
      </c>
      <c r="N63" s="3252"/>
    </row>
    <row r="64" spans="1:17" ht="6" customHeight="1">
      <c r="A64" s="625"/>
    </row>
    <row r="65" spans="1:10">
      <c r="A65" s="625" t="s">
        <v>2848</v>
      </c>
    </row>
    <row r="66" spans="1:10" ht="72.599999999999994" customHeight="1">
      <c r="A66" s="3248" t="s">
        <v>2849</v>
      </c>
      <c r="B66" s="3248"/>
      <c r="C66" s="3248"/>
      <c r="D66" s="3248"/>
      <c r="E66" s="3248"/>
      <c r="F66" s="3248"/>
      <c r="G66" s="3248"/>
      <c r="H66" s="3248"/>
      <c r="I66" s="3248"/>
      <c r="J66" s="3248"/>
    </row>
    <row r="67" spans="1:10" ht="36" customHeight="1">
      <c r="A67" s="3248" t="s">
        <v>2850</v>
      </c>
      <c r="B67" s="3248"/>
      <c r="C67" s="3248"/>
      <c r="D67" s="3248"/>
      <c r="E67" s="3248"/>
      <c r="F67" s="3248"/>
      <c r="G67" s="3248"/>
      <c r="H67" s="3248"/>
      <c r="I67" s="3248"/>
      <c r="J67" s="3248"/>
    </row>
    <row r="68" spans="1:10" ht="6" customHeight="1">
      <c r="A68" s="625"/>
    </row>
    <row r="69" spans="1:10">
      <c r="A69" s="625" t="s">
        <v>2851</v>
      </c>
    </row>
    <row r="70" spans="1:10" ht="105.75" customHeight="1">
      <c r="A70" s="3234" t="s">
        <v>2852</v>
      </c>
      <c r="B70" s="3234"/>
      <c r="C70" s="3234"/>
      <c r="D70" s="3234"/>
      <c r="E70" s="3234"/>
      <c r="F70" s="3234"/>
      <c r="G70" s="3234"/>
      <c r="H70" s="3234"/>
      <c r="I70" s="3234"/>
      <c r="J70" s="3234"/>
    </row>
    <row r="71" spans="1:10" ht="6" customHeight="1">
      <c r="A71" s="625"/>
    </row>
    <row r="72" spans="1:10">
      <c r="A72" s="625" t="s">
        <v>2853</v>
      </c>
    </row>
    <row r="73" spans="1:10" ht="66" customHeight="1">
      <c r="A73" s="3234" t="s">
        <v>2854</v>
      </c>
      <c r="B73" s="3234"/>
      <c r="C73" s="3234"/>
      <c r="D73" s="3234"/>
      <c r="E73" s="3234"/>
      <c r="F73" s="3234"/>
      <c r="G73" s="3234"/>
      <c r="H73" s="3234"/>
      <c r="I73" s="3234"/>
      <c r="J73" s="3234"/>
    </row>
    <row r="74" spans="1:10" s="1523" customFormat="1" ht="6" customHeight="1">
      <c r="A74" s="3234"/>
      <c r="B74" s="3234"/>
      <c r="C74" s="3234"/>
      <c r="D74" s="3234"/>
      <c r="E74" s="3234"/>
      <c r="F74" s="3234"/>
      <c r="G74" s="3234"/>
      <c r="H74" s="3234"/>
      <c r="I74" s="3234"/>
      <c r="J74" s="3234"/>
    </row>
    <row r="75" spans="1:10" ht="16.5" customHeight="1">
      <c r="A75" s="1525" t="s">
        <v>2855</v>
      </c>
      <c r="B75" s="624"/>
      <c r="C75" s="624"/>
      <c r="D75" s="1527"/>
      <c r="E75" s="624"/>
      <c r="F75" s="624"/>
      <c r="G75" s="624"/>
      <c r="H75" s="624"/>
      <c r="I75" s="624"/>
      <c r="J75" s="638"/>
    </row>
    <row r="76" spans="1:10" s="1523" customFormat="1" ht="63" customHeight="1">
      <c r="A76" s="3234" t="s">
        <v>4097</v>
      </c>
      <c r="B76" s="3234"/>
      <c r="C76" s="3234"/>
      <c r="D76" s="3234"/>
      <c r="E76" s="3234"/>
      <c r="F76" s="3234"/>
      <c r="G76" s="3234"/>
      <c r="H76" s="3234"/>
      <c r="I76" s="3234"/>
      <c r="J76" s="3234"/>
    </row>
    <row r="77" spans="1:10" s="1523" customFormat="1" ht="6" customHeight="1">
      <c r="A77" s="1521"/>
      <c r="B77" s="1521"/>
      <c r="C77" s="1521"/>
      <c r="D77" s="1521"/>
      <c r="E77" s="1521"/>
      <c r="F77" s="1521"/>
      <c r="G77" s="1521"/>
      <c r="H77" s="1521"/>
      <c r="I77" s="1521"/>
      <c r="J77" s="1521"/>
    </row>
    <row r="78" spans="1:10" ht="16.5" customHeight="1">
      <c r="A78" s="3254" t="s">
        <v>2856</v>
      </c>
      <c r="B78" s="3255"/>
      <c r="C78" s="3255"/>
      <c r="D78" s="624"/>
      <c r="E78" s="624"/>
      <c r="F78" s="624"/>
      <c r="G78" s="624"/>
      <c r="H78" s="624"/>
      <c r="I78" s="624"/>
      <c r="J78" s="638"/>
    </row>
    <row r="79" spans="1:10" ht="41.25" customHeight="1">
      <c r="A79" s="3248" t="s">
        <v>3890</v>
      </c>
      <c r="B79" s="3256"/>
      <c r="C79" s="3256"/>
      <c r="D79" s="3256"/>
      <c r="E79" s="3256"/>
      <c r="F79" s="3256"/>
      <c r="G79" s="3256"/>
      <c r="H79" s="3256"/>
      <c r="I79" s="3256"/>
      <c r="J79" s="3256"/>
    </row>
    <row r="80" spans="1:10" ht="6" customHeight="1">
      <c r="A80" s="639"/>
      <c r="B80" s="624"/>
      <c r="C80" s="624"/>
      <c r="D80" s="624"/>
      <c r="E80" s="624"/>
      <c r="F80" s="624"/>
      <c r="G80" s="624"/>
      <c r="H80" s="624"/>
      <c r="I80" s="624"/>
      <c r="J80" s="638"/>
    </row>
    <row r="81" spans="1:15">
      <c r="A81" s="625" t="s">
        <v>2857</v>
      </c>
    </row>
    <row r="82" spans="1:15" ht="124.35" customHeight="1">
      <c r="A82" s="3248" t="s">
        <v>2858</v>
      </c>
      <c r="B82" s="3248"/>
      <c r="C82" s="3248"/>
      <c r="D82" s="3248"/>
      <c r="E82" s="3248"/>
      <c r="F82" s="3248"/>
      <c r="G82" s="3248"/>
      <c r="H82" s="3248"/>
      <c r="I82" s="3248"/>
      <c r="J82" s="3248"/>
      <c r="L82" s="3257" t="s">
        <v>2859</v>
      </c>
      <c r="M82" s="3257"/>
      <c r="N82" s="3257"/>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48" t="s">
        <v>2861</v>
      </c>
      <c r="B85" s="3248"/>
      <c r="C85" s="3248"/>
      <c r="D85" s="3248"/>
      <c r="E85" s="3248"/>
      <c r="F85" s="3248"/>
      <c r="G85" s="3248"/>
      <c r="H85" s="3248"/>
      <c r="I85" s="3248"/>
      <c r="J85" s="3248"/>
      <c r="L85" s="3257" t="s">
        <v>2862</v>
      </c>
      <c r="M85" s="3257"/>
      <c r="N85" s="640" t="e">
        <f>'After-Tax Analysis'!G66</f>
        <v>#VALUE!</v>
      </c>
      <c r="O85" s="641" t="s">
        <v>2863</v>
      </c>
    </row>
    <row r="86" spans="1:15" ht="6" customHeight="1">
      <c r="A86" s="625"/>
    </row>
    <row r="87" spans="1:15">
      <c r="A87" s="625" t="s">
        <v>2864</v>
      </c>
    </row>
    <row r="88" spans="1:15" ht="118.5" customHeight="1">
      <c r="A88" s="3234" t="s">
        <v>2865</v>
      </c>
      <c r="B88" s="3234"/>
      <c r="C88" s="3234"/>
      <c r="D88" s="3234"/>
      <c r="E88" s="3234"/>
      <c r="F88" s="3234"/>
      <c r="G88" s="3234"/>
      <c r="H88" s="3234"/>
      <c r="I88" s="3234"/>
      <c r="J88" s="3234"/>
    </row>
    <row r="89" spans="1:15" ht="20.25" customHeight="1">
      <c r="A89" s="3236" t="s">
        <v>2866</v>
      </c>
      <c r="B89" s="3236"/>
      <c r="C89" s="3236"/>
      <c r="D89" s="3234"/>
      <c r="E89" s="1521"/>
      <c r="F89" s="1521"/>
      <c r="G89" s="1521"/>
      <c r="H89" s="1521"/>
      <c r="I89" s="1521"/>
      <c r="J89" s="1521"/>
    </row>
    <row r="90" spans="1:15" ht="109.5" customHeight="1">
      <c r="A90" s="3246" t="s">
        <v>2867</v>
      </c>
      <c r="B90" s="3247"/>
      <c r="C90" s="3247"/>
      <c r="D90" s="3247"/>
      <c r="E90" s="3247"/>
      <c r="F90" s="3247"/>
      <c r="G90" s="3247"/>
      <c r="H90" s="3247"/>
      <c r="I90" s="3247"/>
      <c r="J90" s="3247"/>
    </row>
    <row r="91" spans="1:15" ht="11.25" customHeight="1">
      <c r="A91" s="625"/>
    </row>
    <row r="92" spans="1:15">
      <c r="A92" s="625" t="s">
        <v>2868</v>
      </c>
    </row>
    <row r="93" spans="1:15" ht="110.4" customHeight="1">
      <c r="A93" s="3250" t="s">
        <v>2869</v>
      </c>
      <c r="B93" s="3250"/>
      <c r="C93" s="3250"/>
      <c r="D93" s="3250"/>
      <c r="E93" s="3250"/>
      <c r="F93" s="3250"/>
      <c r="G93" s="3250"/>
      <c r="H93" s="3250"/>
      <c r="I93" s="3250"/>
      <c r="J93" s="3250"/>
      <c r="L93" s="1172" t="str">
        <f>'Part VII-Pro Forma'!K71</f>
        <v/>
      </c>
      <c r="M93" s="3253" t="s">
        <v>2870</v>
      </c>
      <c r="N93" s="3253"/>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36" t="s">
        <v>2871</v>
      </c>
      <c r="B97" s="3236"/>
      <c r="C97" s="3236"/>
      <c r="D97" s="1521"/>
      <c r="E97" s="1521"/>
      <c r="F97" s="1521"/>
      <c r="G97" s="1521"/>
      <c r="H97" s="1521"/>
      <c r="I97" s="1521"/>
      <c r="J97" s="638"/>
    </row>
    <row r="98" spans="1:10" ht="37.5" customHeight="1">
      <c r="A98" s="3248" t="s">
        <v>2872</v>
      </c>
      <c r="B98" s="3248"/>
      <c r="C98" s="3248"/>
      <c r="D98" s="3248"/>
      <c r="E98" s="3248"/>
      <c r="F98" s="3248"/>
      <c r="G98" s="3248"/>
      <c r="H98" s="3248"/>
      <c r="I98" s="3248"/>
      <c r="J98" s="3248"/>
    </row>
    <row r="99" spans="1:10" ht="6" customHeight="1">
      <c r="A99" s="625"/>
    </row>
    <row r="100" spans="1:10">
      <c r="A100" s="625" t="s">
        <v>2873</v>
      </c>
    </row>
    <row r="101" spans="1:10" ht="43.5" customHeight="1">
      <c r="A101" s="3234" t="s">
        <v>2874</v>
      </c>
      <c r="B101" s="3234"/>
      <c r="C101" s="3234"/>
      <c r="D101" s="3234"/>
      <c r="E101" s="3234"/>
      <c r="F101" s="3234"/>
      <c r="G101" s="3234"/>
      <c r="H101" s="3234"/>
      <c r="I101" s="3234"/>
      <c r="J101" s="3234"/>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44" t="s">
        <v>6836</v>
      </c>
      <c r="B113" s="3244"/>
      <c r="C113" s="3244"/>
      <c r="D113" s="3244"/>
      <c r="E113" s="3245"/>
      <c r="F113" s="2022" t="s">
        <v>6837</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2020-059  Dulles Park II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6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62"/>
      <c r="J7" s="3262"/>
      <c r="K7" s="3262"/>
      <c r="L7" s="610"/>
      <c r="M7" s="610"/>
    </row>
    <row r="8" spans="1:14" ht="15.6">
      <c r="A8" s="613" t="s">
        <v>2883</v>
      </c>
      <c r="B8" s="613"/>
      <c r="C8" s="3262" t="str">
        <f>'Part I-Project Information'!F34</f>
        <v>Dulles Park II</v>
      </c>
      <c r="D8" s="3262"/>
      <c r="E8" s="1233" t="str">
        <f>'Part I-Project Information'!O6</f>
        <v>2020-059</v>
      </c>
      <c r="F8" s="649" t="s">
        <v>2884</v>
      </c>
      <c r="G8" s="648"/>
      <c r="H8" s="3262" t="str">
        <f>CONCATENATE('Part I-Project Information'!F38,", ",'Part I-Project Information'!J39)</f>
        <v>Gray, Jones</v>
      </c>
      <c r="I8" s="3262"/>
      <c r="J8" s="3262"/>
      <c r="K8" s="3262"/>
      <c r="L8" s="610"/>
      <c r="M8" s="650"/>
    </row>
    <row r="9" spans="1:14" ht="15.6">
      <c r="A9" s="613" t="s">
        <v>2886</v>
      </c>
      <c r="B9" s="613"/>
      <c r="C9" s="3262" t="s">
        <v>1727</v>
      </c>
      <c r="D9" s="3262"/>
      <c r="E9" s="648"/>
      <c r="F9" s="649" t="s">
        <v>2887</v>
      </c>
      <c r="G9" s="648"/>
      <c r="H9" s="3262" t="str">
        <f>'Part II-Development Team'!H5</f>
        <v>Dulles Park II, LP</v>
      </c>
      <c r="I9" s="3262"/>
      <c r="J9" s="3262"/>
      <c r="K9" s="3262"/>
      <c r="L9" s="3262"/>
      <c r="M9" s="650"/>
    </row>
    <row r="10" spans="1:14" ht="15.6">
      <c r="A10" s="613" t="s">
        <v>2889</v>
      </c>
      <c r="B10" s="610"/>
      <c r="C10" s="1233" t="str">
        <f>'Part II-Development Team'!H14</f>
        <v>Potemkin-Dulles II, LLC</v>
      </c>
      <c r="D10" s="648"/>
      <c r="E10" s="648"/>
      <c r="F10" s="649" t="s">
        <v>3428</v>
      </c>
      <c r="G10" s="648"/>
      <c r="H10" s="3262" t="str">
        <f>'Part II-Development Team'!H33</f>
        <v>Affordable Equity Partners, Inc</v>
      </c>
      <c r="I10" s="3262"/>
      <c r="J10" s="3262"/>
      <c r="K10" s="3262" t="str">
        <f>'Part II-Development Team'!H39</f>
        <v>Affordable Equity Partners, Inc</v>
      </c>
      <c r="L10" s="3262"/>
    </row>
    <row r="11" spans="1:14" ht="15.6">
      <c r="A11" s="613" t="s">
        <v>2890</v>
      </c>
      <c r="B11" s="610"/>
      <c r="C11" s="1233" t="str">
        <f>IF('Part II-Development Team'!H20="","",'Part II-Development Team'!H20)</f>
        <v/>
      </c>
      <c r="D11" s="648"/>
      <c r="E11" s="1165" t="str">
        <f>IF('Part II-Development Team'!H26="","",'Part II-Development Team'!H26)</f>
        <v/>
      </c>
      <c r="F11" s="649" t="s">
        <v>634</v>
      </c>
      <c r="G11" s="648"/>
      <c r="H11" s="3262" t="str">
        <f>'Part II-Development Team'!H54</f>
        <v>Magita, Inc.</v>
      </c>
      <c r="I11" s="3262"/>
      <c r="J11" s="3262"/>
      <c r="K11" s="3262">
        <f>'Part II-Development Team'!H60</f>
        <v>0</v>
      </c>
      <c r="L11" s="3262"/>
      <c r="M11" s="3262">
        <f>'Part II-Development Team'!H66</f>
        <v>0</v>
      </c>
      <c r="N11" s="3262"/>
    </row>
    <row r="12" spans="1:14" ht="15.6">
      <c r="A12" s="613" t="s">
        <v>2891</v>
      </c>
      <c r="B12" s="610"/>
      <c r="C12" s="1233" t="str">
        <f>'Part II-Development Team'!H86</f>
        <v>Fairway Construction Company, Inc.</v>
      </c>
      <c r="D12" s="648"/>
      <c r="E12" s="648"/>
      <c r="F12" s="649" t="s">
        <v>2892</v>
      </c>
      <c r="G12" s="648"/>
      <c r="H12" s="3262" t="str">
        <f>'Part II-Development Team'!H92</f>
        <v>TMC Management and Realty, Inc</v>
      </c>
      <c r="I12" s="3262"/>
      <c r="J12" s="3262"/>
      <c r="K12" s="3262"/>
      <c r="L12" s="610"/>
      <c r="M12" s="610"/>
    </row>
    <row r="13" spans="1:14" ht="15.6">
      <c r="A13" s="613" t="s">
        <v>2893</v>
      </c>
      <c r="B13" s="649"/>
      <c r="C13" s="609">
        <f>'Part VI-Revenues &amp; Expenses'!$P$67</f>
        <v>48</v>
      </c>
      <c r="E13" s="1166">
        <f>'Part VI-Revenues &amp; Expenses'!$P$63</f>
        <v>48</v>
      </c>
      <c r="F13" s="649" t="s">
        <v>3882</v>
      </c>
      <c r="G13" s="648"/>
      <c r="H13" s="1234">
        <f>'Part I-Project Information'!H76</f>
        <v>8</v>
      </c>
      <c r="I13" s="1167"/>
      <c r="J13" s="1167"/>
      <c r="K13" s="1234">
        <f>'Part I-Project Information'!P75</f>
        <v>51400</v>
      </c>
      <c r="L13" s="610"/>
      <c r="M13" s="610"/>
    </row>
    <row r="14" spans="1:14" ht="15.6">
      <c r="A14" s="613" t="s">
        <v>3200</v>
      </c>
      <c r="B14" s="610"/>
      <c r="C14" s="1234" t="str">
        <f>'Part I-Project Information'!H82</f>
        <v>HFOP</v>
      </c>
      <c r="D14" s="3262" t="str">
        <f>IF('Part I-Project Information'!N74=0,"",'Part I-Project Information'!N74)</f>
        <v/>
      </c>
      <c r="E14" s="3262"/>
      <c r="F14" s="649" t="s">
        <v>2894</v>
      </c>
      <c r="G14" s="648"/>
      <c r="H14" s="3267" t="s">
        <v>3375</v>
      </c>
      <c r="I14" s="3267"/>
      <c r="J14" s="3267"/>
      <c r="K14" s="3267" t="s">
        <v>3375</v>
      </c>
      <c r="L14" s="3267"/>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10740700</v>
      </c>
      <c r="D18" s="1212">
        <f>IF(C18=0,"",$C$29/C18)</f>
        <v>0</v>
      </c>
      <c r="E18" s="648" t="s">
        <v>3204</v>
      </c>
      <c r="F18" s="649" t="s">
        <v>3205</v>
      </c>
      <c r="G18" s="648"/>
      <c r="H18" s="3261">
        <f>'Part IV-A-Uses of Funds'!B44</f>
        <v>7325640</v>
      </c>
      <c r="I18" s="3261"/>
      <c r="J18" s="1211">
        <f>IF(H18=0,"",$C$29/H18)</f>
        <v>0</v>
      </c>
      <c r="K18" s="3262" t="s">
        <v>3206</v>
      </c>
      <c r="L18" s="3262"/>
      <c r="M18" s="610"/>
    </row>
    <row r="19" spans="1:13" ht="15.6">
      <c r="A19" s="613" t="s">
        <v>2896</v>
      </c>
      <c r="B19" s="610"/>
      <c r="C19" s="1235">
        <f>C18/C13</f>
        <v>223764.58333333334</v>
      </c>
      <c r="D19" s="648"/>
      <c r="E19" s="610"/>
      <c r="F19" s="613" t="s">
        <v>2896</v>
      </c>
      <c r="G19" s="610"/>
      <c r="H19" s="3263">
        <f>H18/C13</f>
        <v>152617.5</v>
      </c>
      <c r="I19" s="3263"/>
      <c r="J19" s="610"/>
      <c r="K19" s="610"/>
      <c r="L19" s="610"/>
      <c r="M19" s="610"/>
    </row>
    <row r="20" spans="1:13" ht="15.6">
      <c r="A20" s="613" t="s">
        <v>2897</v>
      </c>
      <c r="B20" s="610"/>
      <c r="C20" s="1237">
        <f>C18/K13</f>
        <v>208.96303501945525</v>
      </c>
      <c r="D20" s="653"/>
      <c r="E20" s="654"/>
      <c r="F20" s="613" t="s">
        <v>2897</v>
      </c>
      <c r="G20" s="610"/>
      <c r="H20" s="3264">
        <f>H18/K13</f>
        <v>142.52217898832686</v>
      </c>
      <c r="I20" s="3263"/>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f>'Part III-Sources of Funds'!E38</f>
        <v>0</v>
      </c>
      <c r="C25" s="660">
        <f>'Part III-Sources of Funds'!I38</f>
        <v>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10731210</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v>
      </c>
      <c r="D40" s="610"/>
      <c r="E40" s="610"/>
      <c r="F40" s="613"/>
      <c r="G40" s="613" t="s">
        <v>2917</v>
      </c>
      <c r="H40" s="610"/>
      <c r="I40" s="610"/>
      <c r="K40" s="662">
        <f>C30/C18</f>
        <v>0.99911644492444629</v>
      </c>
      <c r="L40" s="610"/>
      <c r="M40" s="610"/>
    </row>
    <row r="46" spans="1:13" ht="15.6">
      <c r="A46" s="673" t="s">
        <v>2918</v>
      </c>
      <c r="B46" s="643"/>
      <c r="C46" s="643"/>
      <c r="D46" s="643"/>
      <c r="E46" s="643"/>
      <c r="F46" s="643"/>
      <c r="G46" s="643"/>
      <c r="H46" s="643"/>
      <c r="I46" s="643"/>
      <c r="J46" s="643"/>
      <c r="K46" s="643"/>
      <c r="L46" s="643"/>
      <c r="M46" s="610"/>
    </row>
    <row r="47" spans="1:13" ht="15.6">
      <c r="A47" s="673" t="str">
        <f>C8</f>
        <v>Dulles Park II</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65" t="s">
        <v>2921</v>
      </c>
      <c r="L50" s="3266"/>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311820</v>
      </c>
      <c r="D52" s="679"/>
      <c r="E52" s="679">
        <f>$C$52</f>
        <v>311820</v>
      </c>
      <c r="F52" s="679"/>
      <c r="G52" s="679">
        <f>$C$52</f>
        <v>311820</v>
      </c>
      <c r="H52" s="679"/>
      <c r="I52" s="679">
        <f>$C$52</f>
        <v>311820</v>
      </c>
      <c r="J52" s="679"/>
      <c r="K52" s="679">
        <f>$C$52</f>
        <v>311820</v>
      </c>
      <c r="L52" s="680"/>
      <c r="M52" s="27"/>
      <c r="N52" s="27"/>
    </row>
    <row r="53" spans="1:14" s="610" customFormat="1" ht="18.75" customHeight="1">
      <c r="B53" s="678" t="s">
        <v>2925</v>
      </c>
      <c r="C53" s="679">
        <f>'Part VII-Pro Forma'!B15</f>
        <v>6236.4000000000005</v>
      </c>
      <c r="D53" s="679"/>
      <c r="E53" s="679">
        <f>$C$53</f>
        <v>6236.4000000000005</v>
      </c>
      <c r="F53" s="679"/>
      <c r="G53" s="679">
        <f>$C$53</f>
        <v>6236.4000000000005</v>
      </c>
      <c r="H53" s="679"/>
      <c r="I53" s="679">
        <f>$C$53</f>
        <v>6236.4000000000005</v>
      </c>
      <c r="J53" s="679"/>
      <c r="K53" s="679">
        <f>$C$53</f>
        <v>6236.4000000000005</v>
      </c>
      <c r="L53" s="680"/>
      <c r="M53" s="27"/>
      <c r="N53" s="27"/>
    </row>
    <row r="54" spans="1:14" s="610" customFormat="1" ht="18.75" customHeight="1">
      <c r="B54" s="678" t="s">
        <v>2923</v>
      </c>
      <c r="C54" s="679">
        <f>'Part VII-Pro Forma'!B16</f>
        <v>-22263.948000000004</v>
      </c>
      <c r="D54" s="679"/>
      <c r="E54" s="679">
        <f>-($C$52+E53)*F50</f>
        <v>-31805.640000000003</v>
      </c>
      <c r="F54" s="681"/>
      <c r="G54" s="679">
        <f>-($C$52+G53)*0.07</f>
        <v>-22263.948000000004</v>
      </c>
      <c r="H54" s="679"/>
      <c r="I54" s="679">
        <f>-($C$52+I53)*0.07</f>
        <v>-22263.948000000004</v>
      </c>
      <c r="J54" s="679"/>
      <c r="K54" s="679">
        <f>-($C$52+K53)*L54</f>
        <v>-31805.640000000003</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295792.45200000005</v>
      </c>
      <c r="D56" s="679"/>
      <c r="E56" s="685">
        <f>SUM(E52:E55)</f>
        <v>286250.76</v>
      </c>
      <c r="F56" s="679"/>
      <c r="G56" s="685">
        <f>SUM(G52:G55)</f>
        <v>295792.45200000005</v>
      </c>
      <c r="H56" s="679"/>
      <c r="I56" s="685">
        <f>SUM(I52:I55)</f>
        <v>295792.45200000005</v>
      </c>
      <c r="J56" s="679"/>
      <c r="K56" s="685">
        <f>SUM(K52:K55)</f>
        <v>286250.76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87532</v>
      </c>
      <c r="D58" s="679"/>
      <c r="E58" s="679">
        <f>$C$58</f>
        <v>87532</v>
      </c>
      <c r="F58" s="679"/>
      <c r="G58" s="679">
        <f>$C$58</f>
        <v>87532</v>
      </c>
      <c r="H58" s="679"/>
      <c r="I58" s="679">
        <f>$C$58</f>
        <v>87532</v>
      </c>
      <c r="J58" s="679"/>
      <c r="K58" s="679">
        <f>$C$58</f>
        <v>87532</v>
      </c>
      <c r="L58" s="680"/>
      <c r="M58" s="27"/>
      <c r="N58" s="27"/>
    </row>
    <row r="59" spans="1:14" s="610" customFormat="1" ht="18.75" customHeight="1">
      <c r="B59" s="678" t="s">
        <v>2928</v>
      </c>
      <c r="C59" s="679">
        <f>+'Part VI-Revenues &amp; Expenses'!F246</f>
        <v>32000</v>
      </c>
      <c r="D59" s="679"/>
      <c r="E59" s="679">
        <f>$C$59</f>
        <v>32000</v>
      </c>
      <c r="F59" s="679"/>
      <c r="G59" s="679">
        <f>$C$59</f>
        <v>32000</v>
      </c>
      <c r="H59" s="679"/>
      <c r="I59" s="679">
        <f>$C$59</f>
        <v>32000</v>
      </c>
      <c r="J59" s="679"/>
      <c r="K59" s="679">
        <f>$C$59*(1+$L$59)</f>
        <v>33280</v>
      </c>
      <c r="L59" s="687">
        <v>0.04</v>
      </c>
      <c r="M59" s="27"/>
      <c r="N59" s="27"/>
    </row>
    <row r="60" spans="1:14" s="610" customFormat="1" ht="18.75" customHeight="1">
      <c r="B60" s="678" t="s">
        <v>1348</v>
      </c>
      <c r="C60" s="679">
        <f>+'Part VI-Revenues &amp; Expenses'!L239</f>
        <v>18700</v>
      </c>
      <c r="D60" s="679"/>
      <c r="E60" s="679">
        <f>$C$60</f>
        <v>18700</v>
      </c>
      <c r="F60" s="679"/>
      <c r="G60" s="679">
        <f>$C$60</f>
        <v>18700</v>
      </c>
      <c r="H60" s="679"/>
      <c r="I60" s="679">
        <f>$C$60*(1+$J$50)</f>
        <v>19261</v>
      </c>
      <c r="J60" s="681"/>
      <c r="K60" s="679">
        <f>$C$60*(1+$J$50)</f>
        <v>19261</v>
      </c>
      <c r="L60" s="682">
        <v>0.03</v>
      </c>
      <c r="M60" s="27"/>
      <c r="N60" s="27"/>
    </row>
    <row r="61" spans="1:14" s="610" customFormat="1" ht="18.75" customHeight="1">
      <c r="B61" s="678" t="s">
        <v>1349</v>
      </c>
      <c r="C61" s="679">
        <f>+'Part VI-Revenues &amp; Expenses'!L246</f>
        <v>59995</v>
      </c>
      <c r="D61" s="679"/>
      <c r="E61" s="679">
        <f>$C$61</f>
        <v>59995</v>
      </c>
      <c r="F61" s="679"/>
      <c r="G61" s="679">
        <f>$C$61*(1+H50)</f>
        <v>62994.75</v>
      </c>
      <c r="H61" s="681"/>
      <c r="I61" s="679">
        <f>$C$61</f>
        <v>59995</v>
      </c>
      <c r="J61" s="679"/>
      <c r="K61" s="679">
        <f>$C$61*(1+$L$61)</f>
        <v>62994.75</v>
      </c>
      <c r="L61" s="682">
        <v>0.05</v>
      </c>
      <c r="M61" s="27"/>
      <c r="N61" s="27"/>
    </row>
    <row r="62" spans="1:14" s="610" customFormat="1" ht="18.75" customHeight="1">
      <c r="B62" s="684" t="s">
        <v>2929</v>
      </c>
      <c r="C62" s="685">
        <f>SUM(C58:C61)</f>
        <v>198227</v>
      </c>
      <c r="D62" s="679"/>
      <c r="E62" s="685">
        <f>SUM(E58:E61)</f>
        <v>198227</v>
      </c>
      <c r="F62" s="679"/>
      <c r="G62" s="685">
        <f>SUM(G58:G61)</f>
        <v>201226.75</v>
      </c>
      <c r="H62" s="679"/>
      <c r="I62" s="685">
        <f>SUM(I58:I61)</f>
        <v>198788</v>
      </c>
      <c r="J62" s="679"/>
      <c r="K62" s="685">
        <f>SUM(K58:K61)</f>
        <v>203067.75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97565.452000000048</v>
      </c>
      <c r="D64" s="691"/>
      <c r="E64" s="691">
        <f>E56-E62</f>
        <v>88023.760000000009</v>
      </c>
      <c r="F64" s="691"/>
      <c r="G64" s="691">
        <f>G56-G62</f>
        <v>94565.702000000048</v>
      </c>
      <c r="H64" s="691"/>
      <c r="I64" s="691">
        <f>I56-I62</f>
        <v>97004.452000000048</v>
      </c>
      <c r="J64" s="691"/>
      <c r="K64" s="691">
        <f>K56-K62</f>
        <v>83183.010000000009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12000</v>
      </c>
      <c r="D66" s="686"/>
      <c r="E66" s="686">
        <f>$C$66</f>
        <v>12000</v>
      </c>
      <c r="F66" s="686"/>
      <c r="G66" s="686">
        <f>$C$66</f>
        <v>12000</v>
      </c>
      <c r="H66" s="686"/>
      <c r="I66" s="686">
        <f>$C$66</f>
        <v>12000</v>
      </c>
      <c r="J66" s="686"/>
      <c r="K66" s="686">
        <f>$C$66</f>
        <v>12000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23040</v>
      </c>
      <c r="D68" s="686"/>
      <c r="E68" s="686">
        <f>$C$68</f>
        <v>23040</v>
      </c>
      <c r="F68" s="686"/>
      <c r="G68" s="686">
        <f>$C$68</f>
        <v>23040</v>
      </c>
      <c r="H68" s="686"/>
      <c r="I68" s="686">
        <f>$C$68</f>
        <v>23040</v>
      </c>
      <c r="J68" s="686"/>
      <c r="K68" s="686">
        <f>$C$68</f>
        <v>23040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62525.452000000048</v>
      </c>
      <c r="D70" s="695"/>
      <c r="E70" s="694">
        <f>E64-E66-E68</f>
        <v>52983.760000000009</v>
      </c>
      <c r="F70" s="695"/>
      <c r="G70" s="694">
        <f>G64-G66-G68</f>
        <v>59525.702000000048</v>
      </c>
      <c r="H70" s="695"/>
      <c r="I70" s="694">
        <f>I64-I66-I68</f>
        <v>61964.452000000048</v>
      </c>
      <c r="J70" s="695"/>
      <c r="K70" s="694">
        <f>K64-K66-K68</f>
        <v>48143.010000000009</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2935</v>
      </c>
      <c r="C73" s="1214">
        <f>C76/C62</f>
        <v>0.31542348923204228</v>
      </c>
      <c r="D73" s="699"/>
      <c r="E73" s="1214">
        <f>E76/E62</f>
        <v>0.26728831087591504</v>
      </c>
      <c r="F73" s="699"/>
      <c r="G73" s="1214">
        <f>G76/G62</f>
        <v>0.29581406050636933</v>
      </c>
      <c r="H73" s="699"/>
      <c r="I73" s="1214">
        <f>I76/I62</f>
        <v>0.31171123005412826</v>
      </c>
      <c r="J73" s="699"/>
      <c r="K73" s="1214">
        <f>K76/K62</f>
        <v>0.23707856121910056</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62525.452000000048</v>
      </c>
      <c r="D76" s="679"/>
      <c r="E76" s="679">
        <f>E70+E75</f>
        <v>52983.760000000009</v>
      </c>
      <c r="F76" s="679"/>
      <c r="G76" s="679">
        <f>G70+G75</f>
        <v>59525.702000000048</v>
      </c>
      <c r="H76" s="679"/>
      <c r="I76" s="679">
        <f>I70+I75</f>
        <v>61964.452000000048</v>
      </c>
      <c r="J76" s="679"/>
      <c r="K76" s="679">
        <f>K70+K75</f>
        <v>48143.010000000009</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10740700</v>
      </c>
    </row>
    <row r="5" spans="1:7">
      <c r="A5" s="1150" t="s">
        <v>3878</v>
      </c>
      <c r="B5" s="1151">
        <f>+B18+B26+B38</f>
        <v>110</v>
      </c>
    </row>
    <row r="6" spans="1:7">
      <c r="A6" s="1150" t="s">
        <v>3848</v>
      </c>
      <c r="B6" s="1152">
        <f>+B5-B4</f>
        <v>-10740590</v>
      </c>
    </row>
    <row r="7" spans="1:7">
      <c r="A7" s="1150" t="s">
        <v>3849</v>
      </c>
      <c r="B7" s="1153">
        <f>+B6/B4</f>
        <v>-0.99998975858184291</v>
      </c>
    </row>
    <row r="8" spans="1:7" ht="9" customHeight="1"/>
    <row r="9" spans="1:7">
      <c r="A9" s="1150" t="s">
        <v>3850</v>
      </c>
      <c r="B9" s="1151">
        <f>+B18+B26+B33</f>
        <v>0</v>
      </c>
    </row>
    <row r="10" spans="1:7">
      <c r="A10" s="1150" t="s">
        <v>3848</v>
      </c>
      <c r="B10" s="1152">
        <f>+B9-B4</f>
        <v>-10740700</v>
      </c>
    </row>
    <row r="11" spans="1:7">
      <c r="A11" s="1150" t="s">
        <v>3849</v>
      </c>
      <c r="B11" s="1153">
        <f>+B10/B4</f>
        <v>-1</v>
      </c>
    </row>
    <row r="12" spans="1:7" ht="24" customHeight="1"/>
    <row r="13" spans="1:7">
      <c r="A13" s="1149" t="s">
        <v>3851</v>
      </c>
      <c r="D13" s="1219" t="s">
        <v>4107</v>
      </c>
      <c r="E13" s="1220"/>
    </row>
    <row r="14" spans="1:7">
      <c r="A14" s="1150" t="s">
        <v>3852</v>
      </c>
      <c r="B14" s="1154">
        <f>+SUM('Part III-Sources of Funds'!L49:M50)</f>
        <v>10732700</v>
      </c>
      <c r="D14" s="1220"/>
      <c r="E14" s="1220"/>
    </row>
    <row r="15" spans="1:7">
      <c r="A15" s="1150" t="s">
        <v>3853</v>
      </c>
      <c r="B15" s="1155">
        <f>+'Part IV-A-Uses of Funds'!J173</f>
        <v>1074059</v>
      </c>
      <c r="D15" s="1220" t="s">
        <v>1996</v>
      </c>
      <c r="G15" s="1221">
        <f>'Part IV-A-Uses of Funds'!J155</f>
        <v>9863789</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4691218.0484000007</v>
      </c>
    </row>
    <row r="20" spans="1:7">
      <c r="A20" s="1150" t="s">
        <v>3856</v>
      </c>
      <c r="B20" s="1154">
        <f>+B18-B14</f>
        <v>-10732700</v>
      </c>
      <c r="D20" s="1220" t="s">
        <v>4112</v>
      </c>
      <c r="G20" s="1223">
        <f>+B14-G19</f>
        <v>6041481.9515999993</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0</v>
      </c>
    </row>
    <row r="25" spans="1:7">
      <c r="A25" s="1150" t="s">
        <v>3860</v>
      </c>
      <c r="B25" s="1158">
        <f>IF('Part III-Sources of Funds'!E5="Yes","N/A",MAX(B46:P46))</f>
        <v>-40949.007602417514</v>
      </c>
    </row>
    <row r="26" spans="1:7">
      <c r="A26" s="1150" t="s">
        <v>3861</v>
      </c>
      <c r="B26" s="1148">
        <f>IFERROR(PV('Part III-Sources of Funds'!K38,'Part III-Sources of Funds'!L38,B25+B45),B24)</f>
        <v>0</v>
      </c>
    </row>
    <row r="27" spans="1:7" ht="9" customHeight="1">
      <c r="B27" s="1148"/>
    </row>
    <row r="28" spans="1:7">
      <c r="A28" s="1150" t="s">
        <v>3862</v>
      </c>
      <c r="B28" s="1159">
        <f>+B26-B24</f>
        <v>0</v>
      </c>
      <c r="C28" s="1160"/>
    </row>
    <row r="29" spans="1:7">
      <c r="A29" s="1150" t="s">
        <v>3857</v>
      </c>
      <c r="B29" s="1161" t="e">
        <f>+B28/B24</f>
        <v>#DIV/0!</v>
      </c>
    </row>
    <row r="30" spans="1:7" ht="24" customHeight="1"/>
    <row r="31" spans="1:7">
      <c r="A31" s="1149" t="s">
        <v>3770</v>
      </c>
    </row>
    <row r="32" spans="1:7">
      <c r="A32" s="1150" t="s">
        <v>3863</v>
      </c>
      <c r="B32" s="1162">
        <f>+'Part III-Sources of Funds'!I43</f>
        <v>9380</v>
      </c>
    </row>
    <row r="33" spans="1:11">
      <c r="A33" s="1150" t="s">
        <v>3864</v>
      </c>
      <c r="B33" s="1148"/>
    </row>
    <row r="34" spans="1:11" ht="9" customHeight="1">
      <c r="B34" s="1148"/>
    </row>
    <row r="35" spans="1:11">
      <c r="A35" s="1150" t="s">
        <v>3865</v>
      </c>
      <c r="B35" s="1162">
        <f>+B33-B32</f>
        <v>-9380</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62525.452000000048</v>
      </c>
      <c r="C44" s="1151">
        <f>+'Part VII-Pro Forma'!C24</f>
        <v>61443.491040000052</v>
      </c>
      <c r="D44" s="1151">
        <f>+'Part VII-Pro Forma'!D24</f>
        <v>60269.642760800009</v>
      </c>
      <c r="E44" s="1151">
        <f>+'Part VII-Pro Forma'!E24</f>
        <v>59000.59737301596</v>
      </c>
      <c r="F44" s="1151">
        <f>+'Part VII-Pro Forma'!F24</f>
        <v>57630.922130186307</v>
      </c>
      <c r="G44" s="1151">
        <f>+'Part VII-Pro Forma'!G24</f>
        <v>56158.057166791419</v>
      </c>
      <c r="H44" s="1151">
        <f>+'Part VII-Pro Forma'!H24</f>
        <v>54577.311201948556</v>
      </c>
      <c r="I44" s="1151">
        <f>+'Part VII-Pro Forma'!I24</f>
        <v>52883.857104563431</v>
      </c>
      <c r="J44" s="1151">
        <f>+'Part VII-Pro Forma'!J24</f>
        <v>51072.727315587937</v>
      </c>
      <c r="K44" s="1151">
        <f>+'Part VII-Pro Forma'!K24</f>
        <v>49138.809122901017</v>
      </c>
    </row>
    <row r="45" spans="1:11">
      <c r="A45" s="1150" t="s">
        <v>3869</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3870</v>
      </c>
      <c r="B46" s="1152">
        <f t="shared" ref="B46:K46" si="0">-B44/B48-B45</f>
        <v>-52104.543333333379</v>
      </c>
      <c r="C46" s="1152">
        <f t="shared" si="0"/>
        <v>-51202.909200000046</v>
      </c>
      <c r="D46" s="1152">
        <f t="shared" si="0"/>
        <v>-50224.702300666679</v>
      </c>
      <c r="E46" s="1152">
        <f t="shared" si="0"/>
        <v>-49167.164477513303</v>
      </c>
      <c r="F46" s="1152">
        <f t="shared" si="0"/>
        <v>-48025.768441821921</v>
      </c>
      <c r="G46" s="1152">
        <f t="shared" si="0"/>
        <v>-46798.380972326187</v>
      </c>
      <c r="H46" s="1152">
        <f t="shared" si="0"/>
        <v>-45481.092668290468</v>
      </c>
      <c r="I46" s="1152">
        <f t="shared" si="0"/>
        <v>-44069.880920469528</v>
      </c>
      <c r="J46" s="1152">
        <f t="shared" si="0"/>
        <v>-42560.606096323281</v>
      </c>
      <c r="K46" s="1152">
        <f t="shared" si="0"/>
        <v>-40949.007602417514</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62525.452000000048</v>
      </c>
      <c r="C51" s="1152">
        <f t="shared" ref="C51:K51" si="2">+C44</f>
        <v>61443.491040000052</v>
      </c>
      <c r="D51" s="1152">
        <f t="shared" si="2"/>
        <v>60269.642760800009</v>
      </c>
      <c r="E51" s="1152">
        <f t="shared" si="2"/>
        <v>59000.59737301596</v>
      </c>
      <c r="F51" s="1152">
        <f t="shared" si="2"/>
        <v>57630.922130186307</v>
      </c>
      <c r="G51" s="1152">
        <f t="shared" si="2"/>
        <v>56158.057166791419</v>
      </c>
      <c r="H51" s="1152">
        <f t="shared" si="2"/>
        <v>54577.311201948556</v>
      </c>
      <c r="I51" s="1152">
        <f t="shared" si="2"/>
        <v>52883.857104563431</v>
      </c>
      <c r="J51" s="1152">
        <f t="shared" si="2"/>
        <v>51072.727315587937</v>
      </c>
      <c r="K51" s="1152">
        <f t="shared" si="2"/>
        <v>49138.809122901017</v>
      </c>
    </row>
    <row r="52" spans="1:17">
      <c r="A52" s="1150" t="s">
        <v>3872</v>
      </c>
      <c r="B52" s="1152">
        <f>IF($B$25="N/A",B45,B45+$B$25)</f>
        <v>-40949.007602417514</v>
      </c>
      <c r="C52" s="1152">
        <f t="shared" ref="C52:K52" si="3">IF($B$25="N/A",C45,C45+$B$25)</f>
        <v>-40949.007602417514</v>
      </c>
      <c r="D52" s="1152">
        <f t="shared" si="3"/>
        <v>-40949.007602417514</v>
      </c>
      <c r="E52" s="1152">
        <f t="shared" si="3"/>
        <v>-40949.007602417514</v>
      </c>
      <c r="F52" s="1152">
        <f t="shared" si="3"/>
        <v>-40949.007602417514</v>
      </c>
      <c r="G52" s="1152">
        <f t="shared" si="3"/>
        <v>-40949.007602417514</v>
      </c>
      <c r="H52" s="1152">
        <f t="shared" si="3"/>
        <v>-40949.007602417514</v>
      </c>
      <c r="I52" s="1152">
        <f t="shared" si="3"/>
        <v>-40949.007602417514</v>
      </c>
      <c r="J52" s="1152">
        <f t="shared" si="3"/>
        <v>-40949.007602417514</v>
      </c>
      <c r="K52" s="1152">
        <f t="shared" si="3"/>
        <v>-40949.007602417514</v>
      </c>
    </row>
    <row r="53" spans="1:17">
      <c r="A53" s="1150" t="s">
        <v>3873</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3874</v>
      </c>
      <c r="B54" s="1152">
        <f>+SUM(B51:B53)</f>
        <v>16576.444397582534</v>
      </c>
      <c r="C54" s="1152">
        <f t="shared" ref="C54:K54" si="4">+SUM(C51:C53)</f>
        <v>15494.483437582538</v>
      </c>
      <c r="D54" s="1152">
        <f t="shared" si="4"/>
        <v>14320.635158382494</v>
      </c>
      <c r="E54" s="1152">
        <f t="shared" si="4"/>
        <v>13051.589770598446</v>
      </c>
      <c r="F54" s="1152">
        <f t="shared" si="4"/>
        <v>11681.914527768793</v>
      </c>
      <c r="G54" s="1152">
        <f t="shared" si="4"/>
        <v>10209.049564373905</v>
      </c>
      <c r="H54" s="1152">
        <f t="shared" si="4"/>
        <v>8628.303599531042</v>
      </c>
      <c r="I54" s="1152">
        <f t="shared" si="4"/>
        <v>6934.8495021459166</v>
      </c>
      <c r="J54" s="1152">
        <f t="shared" si="4"/>
        <v>5123.7197131704233</v>
      </c>
      <c r="K54" s="1152">
        <f t="shared" si="4"/>
        <v>3189.8015204835028</v>
      </c>
    </row>
    <row r="55" spans="1:17">
      <c r="A55" s="1150" t="s">
        <v>3770</v>
      </c>
      <c r="B55" s="1152">
        <f>-B54</f>
        <v>-16576.444397582534</v>
      </c>
      <c r="C55" s="1152">
        <f t="shared" ref="C55:K55" si="5">-C54</f>
        <v>-15494.483437582538</v>
      </c>
      <c r="D55" s="1152">
        <f t="shared" si="5"/>
        <v>-14320.635158382494</v>
      </c>
      <c r="E55" s="1152">
        <f t="shared" si="5"/>
        <v>-13051.589770598446</v>
      </c>
      <c r="F55" s="1152">
        <f t="shared" si="5"/>
        <v>-11681.914527768793</v>
      </c>
      <c r="G55" s="1152">
        <f t="shared" si="5"/>
        <v>-10209.049564373905</v>
      </c>
      <c r="H55" s="1152">
        <f t="shared" si="5"/>
        <v>-8628.303599531042</v>
      </c>
      <c r="I55" s="1152">
        <f t="shared" si="5"/>
        <v>-6934.8495021459166</v>
      </c>
      <c r="J55" s="1152">
        <f t="shared" si="5"/>
        <v>-5123.7197131704233</v>
      </c>
      <c r="K55" s="1152">
        <f t="shared" si="5"/>
        <v>-3189.8015204835028</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-40949.007602417514</v>
      </c>
      <c r="C58" s="1151">
        <f>IF($B$26="","",-FV('Part III-Sources of Funds'!$K$38/12,12,C52/12,B58))</f>
        <v>-81898.015204835028</v>
      </c>
      <c r="D58" s="1151">
        <f>IF($B$26="","",-FV('Part III-Sources of Funds'!$K$38/12,12,D52/12,C58))</f>
        <v>-122847.02280725254</v>
      </c>
      <c r="E58" s="1151">
        <f>IF($B$26="","",-FV('Part III-Sources of Funds'!$K$38/12,12,E52/12,D58))</f>
        <v>-163796.03040967006</v>
      </c>
      <c r="F58" s="1151">
        <f>IF($B$26="","",-FV('Part III-Sources of Funds'!$K$38/12,12,F52/12,E58))</f>
        <v>-204745.03801208758</v>
      </c>
      <c r="G58" s="1151">
        <f>IF($B$26="","",-FV('Part III-Sources of Funds'!$K$38/12,12,G52/12,F58))</f>
        <v>-245694.0456145051</v>
      </c>
      <c r="H58" s="1151">
        <f>IF($B$26="","",-FV('Part III-Sources of Funds'!$K$38/12,12,H52/12,G58))</f>
        <v>-286643.05321692262</v>
      </c>
      <c r="I58" s="1151">
        <f>IF($B$26="","",-FV('Part III-Sources of Funds'!$K$38/12,12,I52/12,H58))</f>
        <v>-327592.06081934011</v>
      </c>
      <c r="J58" s="1151">
        <f>IF($B$26="","",-FV('Part III-Sources of Funds'!$K$38/12,12,J52/12,I58))</f>
        <v>-368541.06842175761</v>
      </c>
      <c r="K58" s="1151">
        <f>IF($B$26="","",-FV('Part III-Sources of Funds'!$K$38/12,12,K52/12,J58))</f>
        <v>-409490.0760241751</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47077.839784190277</v>
      </c>
      <c r="C64" s="1151">
        <f>+'Part VII-Pro Forma'!C56</f>
        <v>44884.401493070342</v>
      </c>
      <c r="D64" s="1151">
        <f>+'Part VII-Pro Forma'!D56</f>
        <v>42552.916183523943</v>
      </c>
      <c r="E64" s="1151">
        <f>+'Part VII-Pro Forma'!E56</f>
        <v>40078.640167604244</v>
      </c>
      <c r="F64" s="1151">
        <f>+'Part VII-Pro Forma'!F56</f>
        <v>37454.658601178598</v>
      </c>
      <c r="G64" s="1151">
        <f>+'Part VII-Pro Forma'!G56</f>
        <v>34674.879772330823</v>
      </c>
      <c r="H64" s="1151">
        <f>+'Part VII-Pro Forma'!H56</f>
        <v>31735.029206880281</v>
      </c>
      <c r="I64" s="1151">
        <f>+'Part VII-Pro Forma'!I56</f>
        <v>28625.643585293801</v>
      </c>
      <c r="J64" s="1151">
        <f>+'Part VII-Pro Forma'!J56</f>
        <v>25343.064465103591</v>
      </c>
      <c r="K64" s="1151">
        <f>+'Part VII-Pro Forma'!K56</f>
        <v>21878.431802752897</v>
      </c>
    </row>
    <row r="65" spans="1:11">
      <c r="A65" s="1150" t="s">
        <v>3869</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3870</v>
      </c>
      <c r="B66" s="1152">
        <f t="shared" ref="B66:K66" si="7">-B64/B68-B65</f>
        <v>-39231.533153491902</v>
      </c>
      <c r="C66" s="1152">
        <f t="shared" si="7"/>
        <v>-37403.667910891956</v>
      </c>
      <c r="D66" s="1152">
        <f t="shared" si="7"/>
        <v>-35460.763486269956</v>
      </c>
      <c r="E66" s="1152">
        <f t="shared" si="7"/>
        <v>-33398.866806336875</v>
      </c>
      <c r="F66" s="1152">
        <f t="shared" si="7"/>
        <v>-31212.215500982165</v>
      </c>
      <c r="G66" s="1152">
        <f t="shared" si="7"/>
        <v>-28895.733143609021</v>
      </c>
      <c r="H66" s="1152">
        <f t="shared" si="7"/>
        <v>-26445.857672400234</v>
      </c>
      <c r="I66" s="1152">
        <f t="shared" si="7"/>
        <v>-23854.702987744837</v>
      </c>
      <c r="J66" s="1152">
        <f t="shared" si="7"/>
        <v>-21119.220387586327</v>
      </c>
      <c r="K66" s="1152">
        <f t="shared" si="7"/>
        <v>-18232.02650229408</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47077.839784190277</v>
      </c>
      <c r="C71" s="1152">
        <f t="shared" si="9"/>
        <v>44884.401493070342</v>
      </c>
      <c r="D71" s="1152">
        <f t="shared" si="9"/>
        <v>42552.916183523943</v>
      </c>
      <c r="E71" s="1152">
        <f t="shared" si="9"/>
        <v>40078.640167604244</v>
      </c>
      <c r="F71" s="1152">
        <f t="shared" si="9"/>
        <v>37454.658601178598</v>
      </c>
      <c r="G71" s="1152">
        <f t="shared" si="9"/>
        <v>34674.879772330823</v>
      </c>
      <c r="H71" s="1152">
        <f>+H64</f>
        <v>31735.029206880281</v>
      </c>
      <c r="I71" s="1152">
        <f>+I64</f>
        <v>28625.643585293801</v>
      </c>
      <c r="J71" s="1152">
        <f>+J64</f>
        <v>25343.064465103591</v>
      </c>
      <c r="K71" s="1152">
        <f>+K64</f>
        <v>21878.431802752897</v>
      </c>
    </row>
    <row r="72" spans="1:11">
      <c r="A72" s="1150" t="s">
        <v>3872</v>
      </c>
      <c r="B72" s="1152">
        <f t="shared" ref="B72:G72" si="10">IF($B$25="N/A",B65,B65+$B$25)</f>
        <v>-40949.007602417514</v>
      </c>
      <c r="C72" s="1152">
        <f t="shared" si="10"/>
        <v>-40949.007602417514</v>
      </c>
      <c r="D72" s="1152">
        <f t="shared" si="10"/>
        <v>-40949.007602417514</v>
      </c>
      <c r="E72" s="1152">
        <f t="shared" si="10"/>
        <v>-40949.007602417514</v>
      </c>
      <c r="F72" s="1152">
        <f t="shared" si="10"/>
        <v>-40949.007602417514</v>
      </c>
      <c r="G72" s="1152">
        <f t="shared" si="10"/>
        <v>-40949.007602417514</v>
      </c>
      <c r="H72" s="1152">
        <f>IF($B$25="N/A",H65,H65+$B$25)</f>
        <v>-40949.007602417514</v>
      </c>
      <c r="I72" s="1152">
        <f>IF($B$25="N/A",I65,I65+$B$25)</f>
        <v>-40949.007602417514</v>
      </c>
      <c r="J72" s="1152">
        <f>IF($B$25="N/A",J65,J65+$B$25)</f>
        <v>-40949.007602417514</v>
      </c>
      <c r="K72" s="1152">
        <f>IF($B$25="N/A",K65,K65+$B$25)</f>
        <v>-40949.007602417514</v>
      </c>
    </row>
    <row r="73" spans="1:11">
      <c r="A73" s="1150" t="s">
        <v>3873</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3874</v>
      </c>
      <c r="B74" s="1152">
        <f t="shared" ref="B74:G74" si="11">+SUM(B71:B73)</f>
        <v>1128.8321817727629</v>
      </c>
      <c r="C74" s="1152">
        <f t="shared" si="11"/>
        <v>-1064.6061093471726</v>
      </c>
      <c r="D74" s="1152">
        <f t="shared" si="11"/>
        <v>-3396.0914188935712</v>
      </c>
      <c r="E74" s="1152">
        <f t="shared" si="11"/>
        <v>-5870.3674348132699</v>
      </c>
      <c r="F74" s="1152">
        <f t="shared" si="11"/>
        <v>-8494.3490012389157</v>
      </c>
      <c r="G74" s="1152">
        <f t="shared" si="11"/>
        <v>-11274.127830086691</v>
      </c>
      <c r="H74" s="1152">
        <f>+SUM(H71:H73)</f>
        <v>-14213.978395537233</v>
      </c>
      <c r="I74" s="1152">
        <f>+SUM(I71:I73)</f>
        <v>-17323.364017123713</v>
      </c>
      <c r="J74" s="1152">
        <f>+SUM(J71:J73)</f>
        <v>-20605.943137313923</v>
      </c>
      <c r="K74" s="1152">
        <f>+SUM(K71:K73)</f>
        <v>-24070.575799664617</v>
      </c>
    </row>
    <row r="75" spans="1:11">
      <c r="A75" s="1150" t="s">
        <v>3770</v>
      </c>
      <c r="B75" s="1152">
        <f t="shared" ref="B75:G75" si="12">-B74</f>
        <v>-1128.8321817727629</v>
      </c>
      <c r="C75" s="1152">
        <f t="shared" si="12"/>
        <v>1064.6061093471726</v>
      </c>
      <c r="D75" s="1152">
        <f t="shared" si="12"/>
        <v>3396.0914188935712</v>
      </c>
      <c r="E75" s="1152">
        <f t="shared" si="12"/>
        <v>5870.3674348132699</v>
      </c>
      <c r="F75" s="1152">
        <f t="shared" si="12"/>
        <v>8494.3490012389157</v>
      </c>
      <c r="G75" s="1152">
        <f t="shared" si="12"/>
        <v>11274.127830086691</v>
      </c>
      <c r="H75" s="1152">
        <f>-H74</f>
        <v>14213.978395537233</v>
      </c>
      <c r="I75" s="1152">
        <f>-I74</f>
        <v>17323.364017123713</v>
      </c>
      <c r="J75" s="1152">
        <f>-J74</f>
        <v>20605.943137313923</v>
      </c>
      <c r="K75" s="1152">
        <f>-K74</f>
        <v>24070.575799664617</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-450439.08362659259</v>
      </c>
      <c r="C78" s="1151">
        <f>IF($B$26="","",-FV('Part III-Sources of Funds'!$K$38/12,12,C72/12,B78))</f>
        <v>-491388.09122901008</v>
      </c>
      <c r="D78" s="1151">
        <f>IF($B$26="","",-FV('Part III-Sources of Funds'!$K$38/12,12,D72/12,C78))</f>
        <v>-532337.09883142763</v>
      </c>
      <c r="E78" s="1151">
        <f>IF($B$26="","",-FV('Part III-Sources of Funds'!$K$38/12,12,E72/12,D78))</f>
        <v>-573286.10643384513</v>
      </c>
      <c r="F78" s="1151">
        <f>IF($B$26="","",-FV('Part III-Sources of Funds'!$K$38/12,12,F72/12,E78))</f>
        <v>-614235.11403626262</v>
      </c>
      <c r="G78" s="1151">
        <f>IF($B$26="","",-FV('Part III-Sources of Funds'!$K$38/12,12,G72/12,F78))</f>
        <v>-655184.12163868011</v>
      </c>
      <c r="H78" s="1151">
        <f>IF($B$26="","",-FV('Part III-Sources of Funds'!$K$38/12,12,H72/12,G78))</f>
        <v>-696133.1292410976</v>
      </c>
      <c r="I78" s="1151">
        <f>IF($B$26="","",-FV('Part III-Sources of Funds'!$K$38/12,12,I72/12,H78))</f>
        <v>-737082.13684351509</v>
      </c>
      <c r="J78" s="1151">
        <f>IF($B$26="","",-FV('Part III-Sources of Funds'!$K$38/12,12,J72/12,I78))</f>
        <v>-778031.14444593259</v>
      </c>
      <c r="K78" s="1151">
        <f>IF($B$26="","",-FV('Part III-Sources of Funds'!$K$38/12,12,K72/12,J78))</f>
        <v>-818980.15204835008</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Dulles Park II</v>
      </c>
    </row>
    <row r="2" spans="1:15" ht="13.5" customHeight="1"/>
    <row r="3" spans="1:15" ht="13.5" customHeight="1">
      <c r="A3" s="620" t="s">
        <v>2942</v>
      </c>
      <c r="C3" s="619" t="s">
        <v>2943</v>
      </c>
      <c r="E3" s="705">
        <f>SUM('Part IV-A-Uses of Funds'!J149,'Part IV-A-Uses of Funds'!M149,'Part IV-A-Uses of Funds'!P149)</f>
        <v>9863789</v>
      </c>
      <c r="F3" s="1238" t="s">
        <v>2944</v>
      </c>
      <c r="H3" s="1215">
        <v>27.5</v>
      </c>
      <c r="I3" s="619" t="s">
        <v>2404</v>
      </c>
      <c r="K3" s="624" t="s">
        <v>2965</v>
      </c>
      <c r="M3" s="1238"/>
      <c r="O3" s="706"/>
    </row>
    <row r="4" spans="1:15" ht="13.5" customHeight="1">
      <c r="C4" s="619" t="s">
        <v>3424</v>
      </c>
      <c r="E4" s="705">
        <f>SUM('Part IV-A-Uses of Funds'!G85:H89)</f>
        <v>0</v>
      </c>
      <c r="F4" s="1238" t="s">
        <v>4099</v>
      </c>
      <c r="H4" s="620">
        <f>'Part III-Sources of Funds'!M38</f>
        <v>0</v>
      </c>
      <c r="I4" s="619" t="s">
        <v>2404</v>
      </c>
      <c r="K4" s="707" t="s">
        <v>3208</v>
      </c>
      <c r="M4" s="1238"/>
    </row>
    <row r="5" spans="1:15" ht="13.5" customHeight="1">
      <c r="C5" s="619" t="s">
        <v>3425</v>
      </c>
      <c r="E5" s="705">
        <f>SUM('Part IV-A-Uses of Funds'!G96:H102)</f>
        <v>132460</v>
      </c>
      <c r="F5" s="1238" t="s">
        <v>4098</v>
      </c>
      <c r="H5" s="1215">
        <v>15</v>
      </c>
      <c r="I5" s="619" t="s">
        <v>2404</v>
      </c>
      <c r="K5" s="706">
        <f>-E6</f>
        <v>-10731210</v>
      </c>
    </row>
    <row r="6" spans="1:15" ht="13.5" customHeight="1">
      <c r="C6" s="619" t="s">
        <v>2945</v>
      </c>
      <c r="E6" s="708">
        <f>'Part III-Sources of Funds'!$I$49+'Part III-Sources of Funds'!$I$50</f>
        <v>10731210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48145.452000000048</v>
      </c>
      <c r="D9" s="713">
        <f>'Part VII-Pro Forma'!C32</f>
        <v>56443.491040000052</v>
      </c>
      <c r="E9" s="713">
        <f>'Part VII-Pro Forma'!D32</f>
        <v>55269.642760800009</v>
      </c>
      <c r="F9" s="713">
        <f>'Part VII-Pro Forma'!E32</f>
        <v>54000.59737301596</v>
      </c>
      <c r="G9" s="713">
        <f>'Part VII-Pro Forma'!F32</f>
        <v>52630.922130186307</v>
      </c>
      <c r="H9" s="713">
        <f>'Part VII-Pro Forma'!G32</f>
        <v>51158.057166791419</v>
      </c>
      <c r="I9" s="713">
        <f>'Part VII-Pro Forma'!H32</f>
        <v>49577.311201948556</v>
      </c>
      <c r="K9" s="706" t="e">
        <f>F24</f>
        <v>#VALUE!</v>
      </c>
      <c r="N9" s="714" t="s">
        <v>2951</v>
      </c>
    </row>
    <row r="10" spans="1:15" ht="13.5" customHeight="1">
      <c r="A10" s="619" t="s">
        <v>2950</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-12000</v>
      </c>
      <c r="D13" s="1176">
        <f>'Part VII-Pro Forma'!C22</f>
        <v>-12360</v>
      </c>
      <c r="E13" s="1176">
        <f>'Part VII-Pro Forma'!D22</f>
        <v>-12730.8</v>
      </c>
      <c r="F13" s="1176">
        <f>'Part VII-Pro Forma'!E22</f>
        <v>-13112.724</v>
      </c>
      <c r="G13" s="1176">
        <f>'Part VII-Pro Forma'!F22</f>
        <v>-13506.10572</v>
      </c>
      <c r="H13" s="1176">
        <f>'Part VII-Pro Forma'!G22</f>
        <v>-13911.288891599997</v>
      </c>
      <c r="I13" s="1176">
        <f>'Part VII-Pro Forma'!H22</f>
        <v>-14328.627558347998</v>
      </c>
      <c r="K13" s="706" t="e">
        <f>C44</f>
        <v>#VALUE!</v>
      </c>
      <c r="O13" s="711"/>
    </row>
    <row r="14" spans="1:15" ht="13.5" customHeight="1">
      <c r="A14" s="717" t="s">
        <v>3427</v>
      </c>
      <c r="B14" s="718"/>
      <c r="C14" s="1176">
        <f>'Part VII-Pro Forma'!B31</f>
        <v>-9380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358683.23636363639</v>
      </c>
      <c r="D15" s="720">
        <f t="shared" si="0"/>
        <v>358683.23636363639</v>
      </c>
      <c r="E15" s="720">
        <f t="shared" si="0"/>
        <v>358683.23636363639</v>
      </c>
      <c r="F15" s="720">
        <f t="shared" si="0"/>
        <v>358683.23636363639</v>
      </c>
      <c r="G15" s="720">
        <f t="shared" si="0"/>
        <v>358683.23636363639</v>
      </c>
      <c r="H15" s="720">
        <f t="shared" si="0"/>
        <v>358683.23636363639</v>
      </c>
      <c r="I15" s="720">
        <f t="shared" si="0"/>
        <v>358683.23636363639</v>
      </c>
      <c r="K15" s="706" t="e">
        <f>E44</f>
        <v>#VALUE!</v>
      </c>
      <c r="O15" s="711"/>
    </row>
    <row r="16" spans="1:15" ht="13.5" customHeight="1">
      <c r="A16" s="719" t="s">
        <v>2955</v>
      </c>
      <c r="C16" s="720">
        <f>IF(C$8&lt;=$H$4,($E$4/$H$4),0)+IF(C$8&lt;=$H$5,($E$5/$H$5),0)</f>
        <v>8830.6666666666661</v>
      </c>
      <c r="D16" s="720">
        <f t="shared" ref="D16:I16" si="1">IF(D$8&lt;=$H$4,($E$4/$H$4),0)+IF(D$8&lt;=$H$5,($E$5/$H$5),0)</f>
        <v>8830.6666666666661</v>
      </c>
      <c r="E16" s="720">
        <f t="shared" si="1"/>
        <v>8830.6666666666661</v>
      </c>
      <c r="F16" s="720">
        <f t="shared" si="1"/>
        <v>8830.6666666666661</v>
      </c>
      <c r="G16" s="720">
        <f t="shared" si="1"/>
        <v>8830.6666666666661</v>
      </c>
      <c r="H16" s="720">
        <f t="shared" si="1"/>
        <v>8830.6666666666661</v>
      </c>
      <c r="I16" s="720">
        <f t="shared" si="1"/>
        <v>8830.6666666666661</v>
      </c>
      <c r="K16" s="706" t="e">
        <f>F44</f>
        <v>#VALUE!</v>
      </c>
      <c r="M16" s="619" t="s">
        <v>2959</v>
      </c>
      <c r="O16" s="711">
        <f>E3</f>
        <v>9863789</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7173664.7272727275</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2690124.2727272725</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887000</v>
      </c>
      <c r="D21" s="721">
        <f t="shared" ref="D21:I21" si="5">C21</f>
        <v>887000</v>
      </c>
      <c r="E21" s="721">
        <f t="shared" si="5"/>
        <v>887000</v>
      </c>
      <c r="F21" s="721">
        <f t="shared" si="5"/>
        <v>887000</v>
      </c>
      <c r="G21" s="721">
        <f t="shared" si="5"/>
        <v>887000</v>
      </c>
      <c r="H21" s="721">
        <f t="shared" si="5"/>
        <v>887000</v>
      </c>
      <c r="I21" s="721">
        <f t="shared" si="5"/>
        <v>887000</v>
      </c>
      <c r="J21" s="619" t="s">
        <v>238</v>
      </c>
      <c r="K21" s="706" t="e">
        <f>D64</f>
        <v>#VALUE!</v>
      </c>
      <c r="O21" s="711"/>
    </row>
    <row r="22" spans="1:17" ht="13.5" customHeight="1">
      <c r="A22" s="619" t="s">
        <v>2962</v>
      </c>
      <c r="C22" s="721">
        <f>C21</f>
        <v>887000</v>
      </c>
      <c r="D22" s="721">
        <f t="shared" ref="D22:I22" si="6">D21</f>
        <v>887000</v>
      </c>
      <c r="E22" s="721">
        <f t="shared" si="6"/>
        <v>887000</v>
      </c>
      <c r="F22" s="721">
        <f t="shared" si="6"/>
        <v>887000</v>
      </c>
      <c r="G22" s="721">
        <f t="shared" si="6"/>
        <v>887000</v>
      </c>
      <c r="H22" s="721">
        <f t="shared" si="6"/>
        <v>887000</v>
      </c>
      <c r="I22" s="721">
        <f t="shared" si="6"/>
        <v>887000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2690124.2727272725</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-2690124.2727272725</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47883.857104563431</v>
      </c>
      <c r="D29" s="713">
        <f>'Part VII-Pro Forma'!J32</f>
        <v>46072.727315587937</v>
      </c>
      <c r="E29" s="713">
        <f>'Part VII-Pro Forma'!K32</f>
        <v>44138.809122901017</v>
      </c>
      <c r="F29" s="713">
        <f>'Part VII-Pro Forma'!B64</f>
        <v>42077.839784190277</v>
      </c>
      <c r="G29" s="713">
        <f>'Part VII-Pro Forma'!C64</f>
        <v>39884.401493070342</v>
      </c>
      <c r="H29" s="713">
        <f>'Part VII-Pro Forma'!D64</f>
        <v>37552.916183523943</v>
      </c>
      <c r="I29" s="713">
        <f>'Part VII-Pro Forma'!E64</f>
        <v>35078.640167604244</v>
      </c>
      <c r="N29" s="724"/>
      <c r="O29" s="724"/>
    </row>
    <row r="30" spans="1:17" ht="13.5" customHeight="1">
      <c r="A30" s="619" t="s">
        <v>2950</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-538024.85454545449</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-14758.48638509844</v>
      </c>
      <c r="D33" s="1176">
        <f>'Part VII-Pro Forma'!J22</f>
        <v>-15201.240976651392</v>
      </c>
      <c r="E33" s="1176">
        <f>'Part VII-Pro Forma'!K22</f>
        <v>-15657.278205950934</v>
      </c>
      <c r="F33" s="1176">
        <f>'Part VII-Pro Forma'!B54</f>
        <v>-16126.996552129462</v>
      </c>
      <c r="G33" s="1176">
        <f>'Part VII-Pro Forma'!C54</f>
        <v>-16610.806448693347</v>
      </c>
      <c r="H33" s="1176">
        <f>'Part VII-Pro Forma'!D54</f>
        <v>-17109.130642154145</v>
      </c>
      <c r="I33" s="1176">
        <f>'Part VII-Pro Forma'!E54</f>
        <v>-17622.404561418767</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358683.23636363639</v>
      </c>
      <c r="D35" s="720">
        <f t="shared" si="8"/>
        <v>358683.23636363639</v>
      </c>
      <c r="E35" s="720">
        <f t="shared" si="8"/>
        <v>358683.23636363639</v>
      </c>
      <c r="F35" s="720">
        <f t="shared" si="8"/>
        <v>358683.23636363639</v>
      </c>
      <c r="G35" s="720">
        <f t="shared" si="8"/>
        <v>358683.23636363639</v>
      </c>
      <c r="H35" s="720">
        <f t="shared" si="8"/>
        <v>358683.23636363639</v>
      </c>
      <c r="I35" s="720">
        <f t="shared" si="8"/>
        <v>358683.23636363639</v>
      </c>
    </row>
    <row r="36" spans="1:15" ht="13.5" customHeight="1">
      <c r="A36" s="719" t="s">
        <v>2955</v>
      </c>
      <c r="C36" s="713">
        <f>IF(C$28&lt;=$H$4,($E$4/$H$4),0)+IF(C$28&lt;=$H$5,($E$5/$H$5),0)</f>
        <v>8830.6666666666661</v>
      </c>
      <c r="D36" s="713">
        <f t="shared" ref="D36:I36" si="9">IF(D$28&lt;=$H$4,($E$4/$H$4),0)+IF(D$28&lt;=$H$5,($E$5/$H$5),0)</f>
        <v>8830.6666666666661</v>
      </c>
      <c r="E36" s="713">
        <f t="shared" si="9"/>
        <v>8830.6666666666661</v>
      </c>
      <c r="F36" s="713">
        <f t="shared" si="9"/>
        <v>8830.6666666666661</v>
      </c>
      <c r="G36" s="713">
        <f t="shared" si="9"/>
        <v>8830.6666666666661</v>
      </c>
      <c r="H36" s="713">
        <f t="shared" si="9"/>
        <v>8830.6666666666661</v>
      </c>
      <c r="I36" s="713">
        <f t="shared" si="9"/>
        <v>8830.6666666666661</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887000</v>
      </c>
      <c r="D41" s="721">
        <f>C41</f>
        <v>887000</v>
      </c>
      <c r="E41" s="721">
        <f>D41</f>
        <v>887000</v>
      </c>
      <c r="F41" s="721">
        <v>0</v>
      </c>
      <c r="G41" s="721">
        <v>0</v>
      </c>
      <c r="H41" s="721">
        <v>0</v>
      </c>
      <c r="I41" s="721">
        <v>0</v>
      </c>
    </row>
    <row r="42" spans="1:15" ht="13.5" customHeight="1">
      <c r="A42" s="619" t="s">
        <v>2962</v>
      </c>
      <c r="C42" s="721">
        <f>C22</f>
        <v>887000</v>
      </c>
      <c r="D42" s="721">
        <f>C42</f>
        <v>887000</v>
      </c>
      <c r="E42" s="721">
        <f>D42</f>
        <v>887000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32454.658601178598</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-18151.076698261331</v>
      </c>
      <c r="D53" s="1176">
        <f>'Part VII-Pro Forma'!G54</f>
        <v>-18695.608999209173</v>
      </c>
      <c r="E53" s="1176">
        <f>'Part VII-Pro Forma'!H54</f>
        <v>-19256.477269185445</v>
      </c>
      <c r="F53" s="1176">
        <f>'Part VII-Pro Forma'!I54</f>
        <v>-19834.171587261008</v>
      </c>
      <c r="G53" s="1176">
        <f>'Part VII-Pro Forma'!J54</f>
        <v>-20429.196734878838</v>
      </c>
      <c r="H53" s="1176">
        <f>'Part VII-Pro Forma'!K54</f>
        <v>-21042.072636925204</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358683.23636363639</v>
      </c>
      <c r="D55" s="720">
        <f t="shared" si="14"/>
        <v>358683.23636363639</v>
      </c>
      <c r="E55" s="720">
        <f t="shared" si="14"/>
        <v>358683.23636363639</v>
      </c>
      <c r="F55" s="720">
        <f t="shared" si="14"/>
        <v>358683.23636363639</v>
      </c>
      <c r="G55" s="720">
        <f t="shared" si="14"/>
        <v>358683.23636363639</v>
      </c>
      <c r="H55" s="720">
        <f t="shared" si="14"/>
        <v>358683.23636363639</v>
      </c>
    </row>
    <row r="56" spans="1:10" ht="13.5" customHeight="1">
      <c r="A56" s="719" t="s">
        <v>2955</v>
      </c>
      <c r="C56" s="713">
        <f t="shared" ref="C56:H56" si="15">IF(C$48&lt;=$H$4,($E$4/$H$4),0)+IF(C$48&lt;=$H$5,($E$5/$H$5),0)</f>
        <v>8830.6666666666661</v>
      </c>
      <c r="D56" s="713">
        <f t="shared" si="15"/>
        <v>0</v>
      </c>
      <c r="E56" s="713">
        <f t="shared" si="15"/>
        <v>0</v>
      </c>
      <c r="F56" s="713">
        <f t="shared" si="15"/>
        <v>0</v>
      </c>
      <c r="G56" s="713">
        <f t="shared" si="15"/>
        <v>0</v>
      </c>
      <c r="H56" s="713">
        <f t="shared" si="15"/>
        <v>0</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68" t="e">
        <f>IRR(K5:K25)</f>
        <v>#VALUE!</v>
      </c>
      <c r="H66" s="3269"/>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05" customFormat="1" ht="17.399999999999999" customHeight="1">
      <c r="A1" s="3271" t="str">
        <f>'Sensitivity Analysis'!C8</f>
        <v>Dulles Park II</v>
      </c>
      <c r="B1" s="3271"/>
      <c r="C1" s="3271"/>
      <c r="D1" s="3271"/>
      <c r="E1" s="3271"/>
      <c r="F1" s="3271"/>
      <c r="G1" s="3271"/>
      <c r="H1" s="3271"/>
    </row>
    <row r="2" spans="1:8" s="2005" customFormat="1" ht="17.399999999999999" customHeight="1">
      <c r="A2" s="3270" t="s">
        <v>2972</v>
      </c>
      <c r="B2" s="3270"/>
      <c r="C2" s="3270"/>
      <c r="D2" s="3270"/>
      <c r="E2" s="3270"/>
      <c r="F2" s="3270"/>
      <c r="G2" s="3270"/>
      <c r="H2" s="3270"/>
    </row>
    <row r="3" spans="1:8" ht="9" customHeight="1">
      <c r="A3" s="2004"/>
      <c r="B3" s="2004"/>
      <c r="C3" s="2004"/>
      <c r="D3" s="2004"/>
      <c r="E3" s="2004"/>
      <c r="G3" s="2004"/>
      <c r="H3" s="2004"/>
    </row>
    <row r="4" spans="1:8" ht="12.6" customHeight="1">
      <c r="A4" s="3272" t="s">
        <v>6832</v>
      </c>
      <c r="B4" s="3272"/>
      <c r="C4" s="2006"/>
      <c r="D4" s="3272" t="s">
        <v>6833</v>
      </c>
      <c r="E4" s="3272"/>
      <c r="F4" s="2007"/>
      <c r="G4" s="3272" t="s">
        <v>6834</v>
      </c>
      <c r="H4" s="3272"/>
    </row>
    <row r="5" spans="1:8" ht="25.95" customHeight="1">
      <c r="A5" s="3273">
        <f>'Part III-Sources of Funds'!E38</f>
        <v>0</v>
      </c>
      <c r="B5" s="3274"/>
      <c r="C5" s="2005"/>
      <c r="D5" s="3273">
        <f>'Part III-Sources of Funds'!E39</f>
        <v>0</v>
      </c>
      <c r="E5" s="3274"/>
      <c r="F5" s="2008"/>
      <c r="G5" s="3273">
        <f>'Part III-Sources of Funds'!E40</f>
        <v>0</v>
      </c>
      <c r="H5" s="3274"/>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8" t="str">
        <f>CONCATENATE("PART ONE - PROJECT INFORMATION"," - ",$O$6," ",$F$34,", ",'Part I-Project Information'!F38,", ",'Part I-Project Information'!J39," County")</f>
        <v>PART ONE - PROJECT INFORMATION - 2020-059 Dulles Park II, Gray, Jones County</v>
      </c>
      <c r="B1" s="2419"/>
      <c r="C1" s="2419"/>
      <c r="D1" s="2419"/>
      <c r="E1" s="2419"/>
      <c r="F1" s="2419"/>
      <c r="G1" s="2419"/>
      <c r="H1" s="2419"/>
      <c r="I1" s="2419"/>
      <c r="J1" s="2419"/>
      <c r="K1" s="2419"/>
      <c r="L1" s="2419"/>
      <c r="M1" s="2419"/>
      <c r="N1" s="2419"/>
      <c r="O1" s="2419"/>
      <c r="P1" s="242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6980</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4325</v>
      </c>
      <c r="L5" s="841"/>
      <c r="P5" s="1030" t="s">
        <v>3649</v>
      </c>
    </row>
    <row r="6" spans="1:16" s="293" customFormat="1" ht="12" customHeight="1" thickBot="1">
      <c r="B6" s="2426" t="s">
        <v>6984</v>
      </c>
      <c r="C6" s="2426"/>
      <c r="D6" s="2426"/>
      <c r="E6" s="1208"/>
      <c r="F6" s="296"/>
      <c r="G6" s="269" t="s">
        <v>4324</v>
      </c>
      <c r="H6" s="2357"/>
      <c r="I6" s="2357"/>
      <c r="J6" s="2357"/>
      <c r="O6" s="3478" t="s">
        <v>7141</v>
      </c>
      <c r="P6" s="3479"/>
    </row>
    <row r="7" spans="1:16" s="293" customFormat="1" ht="12" customHeight="1">
      <c r="B7" s="2426"/>
      <c r="C7" s="2426"/>
      <c r="D7" s="2426"/>
      <c r="E7" s="1208"/>
      <c r="F7" s="511"/>
      <c r="G7" s="172" t="s">
        <v>3212</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2314</v>
      </c>
      <c r="D9" s="270"/>
      <c r="E9" s="297"/>
      <c r="F9" s="2348" t="s">
        <v>3604</v>
      </c>
      <c r="I9" s="2421">
        <f>'Part IV-A-Uses of Funds'!$J$184</f>
        <v>887000</v>
      </c>
      <c r="J9" s="2422"/>
      <c r="L9" s="293" t="s">
        <v>3605</v>
      </c>
      <c r="O9" s="2423">
        <f>'Part III-Sources of Funds'!$H$5</f>
        <v>0</v>
      </c>
      <c r="P9" s="2424"/>
    </row>
    <row r="10" spans="1:16" s="293" customFormat="1" ht="6" customHeight="1">
      <c r="A10" s="295"/>
      <c r="B10" s="295"/>
      <c r="D10" s="270"/>
      <c r="E10" s="297"/>
      <c r="F10" s="297"/>
      <c r="I10" s="298"/>
      <c r="N10" s="299"/>
    </row>
    <row r="11" spans="1:16" s="293" customFormat="1" ht="13.35" customHeight="1">
      <c r="A11" s="298" t="s">
        <v>722</v>
      </c>
      <c r="B11" s="295" t="s">
        <v>1991</v>
      </c>
      <c r="F11" s="3480" t="s">
        <v>6985</v>
      </c>
      <c r="G11" s="3481"/>
      <c r="H11" s="3482"/>
      <c r="I11" s="3483" t="s">
        <v>3534</v>
      </c>
      <c r="J11" s="492" t="s">
        <v>4792</v>
      </c>
      <c r="K11" s="303"/>
      <c r="L11" s="2357"/>
      <c r="O11" s="3484" t="s">
        <v>7104</v>
      </c>
      <c r="P11" s="3485"/>
    </row>
    <row r="12" spans="1:16" s="293" customFormat="1" ht="12.75" customHeight="1">
      <c r="A12" s="471"/>
      <c r="B12" s="1519"/>
      <c r="C12" s="1519"/>
      <c r="D12" s="1519"/>
      <c r="E12" s="1519"/>
      <c r="H12" s="2357"/>
      <c r="J12" s="1140" t="s">
        <v>4461</v>
      </c>
      <c r="K12" s="2350"/>
      <c r="M12" s="2357"/>
      <c r="O12" s="3486" t="s">
        <v>2888</v>
      </c>
      <c r="P12" s="3487"/>
    </row>
    <row r="13" spans="1:16" s="293" customFormat="1" ht="3" customHeight="1">
      <c r="A13" s="471"/>
      <c r="B13" s="1519"/>
      <c r="C13" s="1519"/>
      <c r="D13" s="1519"/>
      <c r="E13" s="1519"/>
      <c r="H13" s="2357"/>
      <c r="J13" s="493"/>
      <c r="K13" s="2350"/>
      <c r="M13" s="2357"/>
    </row>
    <row r="14" spans="1:16" s="293" customFormat="1" ht="12.75" customHeight="1">
      <c r="A14" s="471"/>
      <c r="B14" s="1519" t="s">
        <v>4817</v>
      </c>
      <c r="C14" s="1519"/>
      <c r="D14" s="1519"/>
      <c r="E14" s="1519"/>
      <c r="F14" s="3488" t="s">
        <v>2885</v>
      </c>
      <c r="G14" s="2346" t="s">
        <v>4818</v>
      </c>
      <c r="N14" s="3480" t="s">
        <v>6985</v>
      </c>
      <c r="O14" s="3481"/>
      <c r="P14" s="3482"/>
    </row>
    <row r="15" spans="1:16" s="293" customFormat="1" ht="12.75" customHeight="1">
      <c r="A15" s="471"/>
      <c r="B15" s="293" t="s">
        <v>4800</v>
      </c>
      <c r="D15" s="303"/>
      <c r="F15" s="3489" t="s">
        <v>6991</v>
      </c>
      <c r="G15" s="3490"/>
      <c r="H15" s="3490"/>
      <c r="I15" s="3491"/>
      <c r="J15" s="293" t="s">
        <v>4514</v>
      </c>
      <c r="L15" s="3492" t="s">
        <v>7101</v>
      </c>
      <c r="M15" s="3493"/>
      <c r="N15" s="293" t="s">
        <v>4513</v>
      </c>
      <c r="P15" s="3494" t="s">
        <v>2888</v>
      </c>
    </row>
    <row r="16" spans="1:16" s="293" customFormat="1" ht="12.75" customHeight="1">
      <c r="A16" s="471"/>
      <c r="B16" s="293" t="s">
        <v>3603</v>
      </c>
      <c r="F16" s="3488" t="s">
        <v>2888</v>
      </c>
      <c r="G16" s="293" t="s">
        <v>4452</v>
      </c>
      <c r="H16" s="2357"/>
      <c r="I16" s="172"/>
      <c r="J16" s="493"/>
      <c r="N16" s="3495" t="s">
        <v>2784</v>
      </c>
      <c r="O16" s="3496"/>
      <c r="P16" s="3497"/>
    </row>
    <row r="17" spans="1:16" s="293" customFormat="1" ht="6" customHeight="1">
      <c r="I17" s="270"/>
      <c r="J17" s="270"/>
      <c r="K17" s="270"/>
      <c r="L17" s="270"/>
      <c r="M17" s="270"/>
      <c r="N17" s="270"/>
      <c r="O17" s="270"/>
      <c r="P17" s="270"/>
    </row>
    <row r="18" spans="1:16" s="293" customFormat="1" ht="13.35" customHeight="1">
      <c r="A18" s="298" t="s">
        <v>724</v>
      </c>
      <c r="B18" s="295" t="s">
        <v>4115</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3656</v>
      </c>
      <c r="F20" s="3498" t="s">
        <v>6986</v>
      </c>
      <c r="G20" s="3499"/>
      <c r="H20" s="3500"/>
      <c r="I20" s="1402" t="s">
        <v>1753</v>
      </c>
      <c r="J20" s="3501" t="s">
        <v>6989</v>
      </c>
      <c r="K20" s="3502"/>
      <c r="L20" s="3503"/>
      <c r="M20" s="325" t="s">
        <v>1932</v>
      </c>
      <c r="N20" s="3492" t="s">
        <v>6990</v>
      </c>
      <c r="O20" s="3504"/>
      <c r="P20" s="3493"/>
    </row>
    <row r="21" spans="1:16" s="293" customFormat="1" ht="13.35" customHeight="1">
      <c r="B21" s="2348" t="s">
        <v>1933</v>
      </c>
      <c r="F21" s="3505" t="s">
        <v>6987</v>
      </c>
      <c r="G21" s="3506"/>
      <c r="H21" s="3506"/>
      <c r="I21" s="3507"/>
      <c r="J21" s="3506"/>
      <c r="K21" s="3507"/>
      <c r="L21" s="3508"/>
      <c r="M21" s="2409" t="s">
        <v>3655</v>
      </c>
      <c r="N21" s="2410"/>
      <c r="O21" s="2410"/>
      <c r="P21" s="2410"/>
    </row>
    <row r="22" spans="1:16" s="293" customFormat="1" ht="13.35" customHeight="1">
      <c r="B22" s="2348" t="s">
        <v>600</v>
      </c>
      <c r="F22" s="3509" t="s">
        <v>1179</v>
      </c>
      <c r="G22" s="3510"/>
      <c r="H22" s="3511"/>
      <c r="I22" s="2348" t="s">
        <v>1754</v>
      </c>
      <c r="J22" s="3512" t="s">
        <v>828</v>
      </c>
      <c r="M22" s="2409"/>
      <c r="N22" s="2409"/>
      <c r="O22" s="2409"/>
      <c r="P22" s="2409"/>
    </row>
    <row r="23" spans="1:16" s="293" customFormat="1" ht="13.35" customHeight="1">
      <c r="B23" s="2346" t="s">
        <v>2172</v>
      </c>
      <c r="F23" s="3513">
        <v>303392063</v>
      </c>
      <c r="G23" s="3514"/>
      <c r="H23" s="3515"/>
      <c r="I23" s="2348" t="s">
        <v>1678</v>
      </c>
      <c r="J23" s="3516">
        <v>4043344590</v>
      </c>
      <c r="K23" s="3517"/>
      <c r="L23" s="2351" t="s">
        <v>1677</v>
      </c>
      <c r="M23" s="3518"/>
      <c r="N23" s="2346" t="s">
        <v>1679</v>
      </c>
      <c r="O23" s="3519">
        <v>4043344590</v>
      </c>
      <c r="P23" s="3520"/>
    </row>
    <row r="24" spans="1:16" s="293" customFormat="1" ht="13.35" customHeight="1">
      <c r="B24" s="2346" t="s">
        <v>1936</v>
      </c>
      <c r="F24" s="3521" t="s">
        <v>7139</v>
      </c>
      <c r="G24" s="3522"/>
      <c r="H24" s="3522"/>
      <c r="I24" s="3523"/>
      <c r="J24" s="3522"/>
      <c r="K24" s="3524"/>
      <c r="N24" s="2346" t="s">
        <v>1931</v>
      </c>
      <c r="O24" s="3525">
        <v>7703630414</v>
      </c>
      <c r="P24" s="3526"/>
    </row>
    <row r="25" spans="1:16" s="293" customFormat="1" ht="13.5" customHeight="1">
      <c r="A25" s="471"/>
      <c r="B25" s="295" t="s">
        <v>4114</v>
      </c>
      <c r="C25" s="301"/>
      <c r="D25" s="2356"/>
      <c r="E25" s="2356"/>
      <c r="F25" s="2356"/>
      <c r="H25" s="2357"/>
      <c r="I25" s="2356"/>
      <c r="J25" s="301"/>
      <c r="K25" s="2356"/>
      <c r="P25" s="302"/>
    </row>
    <row r="26" spans="1:16" s="293" customFormat="1" ht="13.35" customHeight="1">
      <c r="B26" s="293" t="s">
        <v>3656</v>
      </c>
      <c r="F26" s="3501"/>
      <c r="G26" s="3502"/>
      <c r="H26" s="3503"/>
      <c r="I26" s="1402" t="s">
        <v>1753</v>
      </c>
      <c r="J26" s="3501"/>
      <c r="K26" s="3502"/>
      <c r="L26" s="3503"/>
      <c r="M26" s="325" t="s">
        <v>1932</v>
      </c>
      <c r="N26" s="3492"/>
      <c r="O26" s="3504"/>
      <c r="P26" s="3493"/>
    </row>
    <row r="27" spans="1:16" s="293" customFormat="1" ht="13.35" customHeight="1">
      <c r="B27" s="2348" t="s">
        <v>1933</v>
      </c>
      <c r="F27" s="3509"/>
      <c r="G27" s="3510"/>
      <c r="H27" s="3510"/>
      <c r="I27" s="3527"/>
      <c r="J27" s="3510"/>
      <c r="K27" s="3528"/>
      <c r="L27" s="3529"/>
      <c r="M27" s="2409" t="s">
        <v>3655</v>
      </c>
      <c r="N27" s="2410"/>
      <c r="O27" s="2410"/>
      <c r="P27" s="2410"/>
    </row>
    <row r="28" spans="1:16" s="293" customFormat="1" ht="13.35" customHeight="1">
      <c r="B28" s="2348" t="s">
        <v>600</v>
      </c>
      <c r="F28" s="3509"/>
      <c r="G28" s="3510"/>
      <c r="H28" s="3511"/>
      <c r="I28" s="2348" t="s">
        <v>1754</v>
      </c>
      <c r="J28" s="3512"/>
      <c r="M28" s="2409"/>
      <c r="N28" s="2409"/>
      <c r="O28" s="2409"/>
      <c r="P28" s="2409"/>
    </row>
    <row r="29" spans="1:16" s="293" customFormat="1" ht="13.35" customHeight="1">
      <c r="B29" s="2346" t="s">
        <v>2172</v>
      </c>
      <c r="F29" s="3530"/>
      <c r="G29" s="3531"/>
      <c r="H29" s="3532"/>
      <c r="I29" s="2348" t="s">
        <v>1678</v>
      </c>
      <c r="J29" s="3533"/>
      <c r="K29" s="3534"/>
      <c r="L29" s="2351" t="s">
        <v>1677</v>
      </c>
      <c r="M29" s="3518"/>
      <c r="N29" s="2346" t="s">
        <v>1679</v>
      </c>
      <c r="O29" s="3535"/>
      <c r="P29" s="3534"/>
    </row>
    <row r="30" spans="1:16" s="293" customFormat="1" ht="13.35" customHeight="1">
      <c r="B30" s="2346" t="s">
        <v>1936</v>
      </c>
      <c r="F30" s="3536"/>
      <c r="G30" s="3527"/>
      <c r="H30" s="3527"/>
      <c r="I30" s="3504"/>
      <c r="J30" s="3527"/>
      <c r="K30" s="3537"/>
      <c r="N30" s="2346" t="s">
        <v>1931</v>
      </c>
      <c r="O30" s="3538"/>
      <c r="P30" s="3539"/>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40" t="s">
        <v>6991</v>
      </c>
      <c r="G34" s="3541"/>
      <c r="H34" s="3541"/>
      <c r="I34" s="3541"/>
      <c r="J34" s="3541"/>
      <c r="K34" s="3542"/>
      <c r="L34" s="2346" t="s">
        <v>2141</v>
      </c>
      <c r="O34" s="3501" t="s">
        <v>2888</v>
      </c>
      <c r="P34" s="3503"/>
    </row>
    <row r="35" spans="1:16" s="293" customFormat="1" ht="13.35" customHeight="1">
      <c r="A35" s="304"/>
      <c r="B35" s="293" t="s">
        <v>2619</v>
      </c>
      <c r="D35" s="305"/>
      <c r="F35" s="3543" t="s">
        <v>6992</v>
      </c>
      <c r="G35" s="3544"/>
      <c r="H35" s="3544"/>
      <c r="I35" s="3544"/>
      <c r="J35" s="3544"/>
      <c r="K35" s="3545"/>
      <c r="L35" s="293" t="s">
        <v>3506</v>
      </c>
      <c r="O35" s="3546"/>
      <c r="P35" s="3511"/>
    </row>
    <row r="36" spans="1:16" s="293" customFormat="1" ht="13.35" customHeight="1">
      <c r="A36" s="304"/>
      <c r="B36" s="293" t="s">
        <v>2648</v>
      </c>
      <c r="D36" s="305"/>
      <c r="F36" s="3546" t="s">
        <v>6992</v>
      </c>
      <c r="G36" s="3510"/>
      <c r="H36" s="3510"/>
      <c r="I36" s="3528"/>
      <c r="J36" s="3510"/>
      <c r="K36" s="3511"/>
      <c r="L36" s="2346" t="s">
        <v>2001</v>
      </c>
      <c r="N36" s="3518" t="s">
        <v>2888</v>
      </c>
      <c r="O36" s="2357" t="s">
        <v>3505</v>
      </c>
      <c r="P36" s="3547"/>
    </row>
    <row r="37" spans="1:16" s="293" customFormat="1" ht="13.35" customHeight="1">
      <c r="A37" s="304"/>
      <c r="B37" s="293" t="s">
        <v>3553</v>
      </c>
      <c r="D37" s="305"/>
      <c r="F37" s="293" t="s">
        <v>3535</v>
      </c>
      <c r="G37" s="3548">
        <v>33.00714</v>
      </c>
      <c r="H37" s="3549"/>
      <c r="I37" s="2351" t="s">
        <v>3536</v>
      </c>
      <c r="J37" s="3550">
        <v>-83.544801000000007</v>
      </c>
      <c r="K37" s="3551"/>
      <c r="L37" s="2346" t="s">
        <v>2224</v>
      </c>
      <c r="O37" s="3552">
        <v>24.58</v>
      </c>
      <c r="P37" s="3553"/>
    </row>
    <row r="38" spans="1:16" s="293" customFormat="1" ht="13.35" customHeight="1">
      <c r="A38" s="471"/>
      <c r="B38" s="293" t="s">
        <v>600</v>
      </c>
      <c r="F38" s="3501" t="s">
        <v>959</v>
      </c>
      <c r="G38" s="3554"/>
      <c r="H38" s="3555"/>
      <c r="I38" s="309" t="s">
        <v>2620</v>
      </c>
      <c r="J38" s="3530">
        <v>310325400</v>
      </c>
      <c r="K38" s="3532"/>
      <c r="L38" s="363" t="str">
        <f>IF(AND(NOT(F34=""),NOT(F38="Select from list"),J38=""),"Enter Zip!","")</f>
        <v/>
      </c>
      <c r="M38" s="307" t="s">
        <v>2802</v>
      </c>
      <c r="O38" s="3556" t="s">
        <v>6260</v>
      </c>
      <c r="P38" s="3557"/>
    </row>
    <row r="39" spans="1:16" s="293" customFormat="1" ht="13.35" customHeight="1">
      <c r="A39" s="471"/>
      <c r="B39" s="2356" t="s">
        <v>4489</v>
      </c>
      <c r="D39" s="2356"/>
      <c r="F39" s="3546" t="s">
        <v>6993</v>
      </c>
      <c r="G39" s="3528"/>
      <c r="H39" s="3529"/>
      <c r="I39" s="306" t="s">
        <v>601</v>
      </c>
      <c r="J39" s="3558" t="str">
        <f>IF(F38="","",VLOOKUP(F38,'DCA Underwriting Assumptions'!$T$173:$U$801,2,FALSE))</f>
        <v>Jones</v>
      </c>
      <c r="K39" s="3559"/>
      <c r="M39" s="2346" t="s">
        <v>442</v>
      </c>
      <c r="N39" s="3560" t="s">
        <v>2888</v>
      </c>
      <c r="O39" s="2357" t="s">
        <v>443</v>
      </c>
      <c r="P39" s="3494" t="s">
        <v>2888</v>
      </c>
    </row>
    <row r="40" spans="1:16" s="293" customFormat="1" ht="13.35" customHeight="1">
      <c r="A40" s="471"/>
      <c r="B40" s="295"/>
      <c r="C40" s="293" t="s">
        <v>1525</v>
      </c>
      <c r="F40" s="3561" t="s">
        <v>2885</v>
      </c>
      <c r="G40" s="2429" t="s">
        <v>2689</v>
      </c>
      <c r="H40" s="2430"/>
      <c r="I40" s="499" t="str">
        <f>IF($J$39="","",IF(VLOOKUP($J$39,'DCA Underwriting Assumptions'!G173:M332,7,FALSE)="Rural","Yes",IF(VLOOKUP($J$39,'DCA Underwriting Assumptions'!G173:M332,7,FALSE)="Urban","No","")))</f>
        <v>Yes</v>
      </c>
      <c r="J40" s="2351" t="s">
        <v>2707</v>
      </c>
      <c r="K40" s="1557" t="str">
        <f>IF(OR(F40="Yes",I40="Yes"),"Rural","Urban")</f>
        <v>Rural</v>
      </c>
      <c r="M40" s="2346" t="s">
        <v>2543</v>
      </c>
      <c r="N40" s="1558" t="str">
        <f>VLOOKUP($J$39,'DCA Underwriting Assumptions'!$G$173:$J$332,4)</f>
        <v>MSA</v>
      </c>
      <c r="O40" s="3562" t="str">
        <f>IF($F$38="","",VLOOKUP($J$39,'DCA Underwriting Assumptions'!$G$173:$L$332,3,FALSE))</f>
        <v>Macon</v>
      </c>
      <c r="P40" s="3563"/>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431" t="s">
        <v>2672</v>
      </c>
      <c r="G42" s="2431"/>
      <c r="H42" s="2432" t="s">
        <v>718</v>
      </c>
      <c r="I42" s="2432"/>
      <c r="J42" s="2432" t="s">
        <v>719</v>
      </c>
      <c r="K42" s="2432"/>
      <c r="L42" s="486" t="s">
        <v>4379</v>
      </c>
    </row>
    <row r="43" spans="1:16" s="293" customFormat="1" ht="13.35" customHeight="1">
      <c r="A43" s="471"/>
      <c r="B43" s="293" t="s">
        <v>2671</v>
      </c>
      <c r="D43" s="295"/>
      <c r="F43" s="3564">
        <v>8</v>
      </c>
      <c r="G43" s="3565"/>
      <c r="H43" s="3564">
        <v>26</v>
      </c>
      <c r="I43" s="3565"/>
      <c r="J43" s="3564">
        <v>129</v>
      </c>
      <c r="K43" s="3565"/>
      <c r="L43" s="482" t="s">
        <v>1257</v>
      </c>
      <c r="N43" s="2427" t="s">
        <v>1258</v>
      </c>
      <c r="O43" s="2427"/>
      <c r="P43" s="2427"/>
    </row>
    <row r="44" spans="1:16" s="293" customFormat="1" ht="12.75" customHeight="1">
      <c r="A44" s="471"/>
      <c r="B44" s="2348" t="s">
        <v>720</v>
      </c>
      <c r="F44" s="3566"/>
      <c r="G44" s="3567"/>
      <c r="H44" s="3566"/>
      <c r="I44" s="3567"/>
      <c r="J44" s="3566"/>
      <c r="K44" s="3567"/>
      <c r="L44" s="482" t="s">
        <v>2670</v>
      </c>
      <c r="N44" s="2428" t="s">
        <v>2669</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68" t="s">
        <v>6994</v>
      </c>
      <c r="G46" s="3569"/>
      <c r="H46" s="3569"/>
      <c r="I46" s="3570"/>
      <c r="J46" s="3569"/>
      <c r="K46" s="3571"/>
      <c r="L46" s="840" t="s">
        <v>2624</v>
      </c>
      <c r="M46" s="3492" t="s">
        <v>6998</v>
      </c>
      <c r="N46" s="3504"/>
      <c r="O46" s="3504"/>
      <c r="P46" s="3493"/>
    </row>
    <row r="47" spans="1:16" s="293" customFormat="1" ht="13.35" customHeight="1">
      <c r="A47" s="471"/>
      <c r="B47" s="293" t="s">
        <v>620</v>
      </c>
      <c r="F47" s="3572" t="s">
        <v>6995</v>
      </c>
      <c r="G47" s="3573"/>
      <c r="H47" s="3574"/>
      <c r="I47" s="1007" t="s">
        <v>1932</v>
      </c>
      <c r="J47" s="3543" t="s">
        <v>6997</v>
      </c>
      <c r="K47" s="3545"/>
      <c r="L47" s="840"/>
    </row>
    <row r="48" spans="1:16" s="293" customFormat="1" ht="13.35" customHeight="1">
      <c r="A48" s="471"/>
      <c r="B48" s="293" t="s">
        <v>1933</v>
      </c>
      <c r="F48" s="3575" t="s">
        <v>6996</v>
      </c>
      <c r="G48" s="3576"/>
      <c r="H48" s="3577"/>
      <c r="I48" s="3569"/>
      <c r="J48" s="3576"/>
      <c r="K48" s="3578"/>
      <c r="L48" s="2349" t="s">
        <v>600</v>
      </c>
      <c r="M48" s="3579" t="s">
        <v>959</v>
      </c>
      <c r="N48" s="3580"/>
      <c r="O48" s="3580"/>
      <c r="P48" s="3581"/>
    </row>
    <row r="49" spans="1:19" s="293" customFormat="1" ht="13.35" customHeight="1">
      <c r="A49" s="471"/>
      <c r="B49" s="2346" t="s">
        <v>2172</v>
      </c>
      <c r="F49" s="3582">
        <v>310320000</v>
      </c>
      <c r="G49" s="3583"/>
      <c r="H49" s="2351" t="s">
        <v>1934</v>
      </c>
      <c r="I49" s="3584">
        <v>4789865433</v>
      </c>
      <c r="J49" s="3585"/>
      <c r="K49" s="3586"/>
      <c r="L49" s="2348" t="s">
        <v>1755</v>
      </c>
      <c r="M49" s="3587" t="s">
        <v>6999</v>
      </c>
      <c r="N49" s="3588"/>
      <c r="O49" s="3588"/>
      <c r="P49" s="358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48</v>
      </c>
      <c r="K54" s="2348" t="s">
        <v>3498</v>
      </c>
      <c r="L54" s="293"/>
      <c r="M54" s="883" t="s">
        <v>3497</v>
      </c>
      <c r="N54" s="312">
        <f>'Part VI-Revenues &amp; Expenses'!$P$122</f>
        <v>0</v>
      </c>
      <c r="O54" s="884" t="s">
        <v>3250</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2806</v>
      </c>
      <c r="K56" s="293" t="s">
        <v>343</v>
      </c>
      <c r="P56" s="3590"/>
      <c r="Q56" s="2357"/>
    </row>
    <row r="57" spans="1:19" s="293" customFormat="1" ht="3.6" customHeight="1">
      <c r="A57" s="471"/>
      <c r="P57" s="2356"/>
    </row>
    <row r="58" spans="1:19" s="293" customFormat="1">
      <c r="A58" s="471"/>
      <c r="B58" s="471" t="s">
        <v>1937</v>
      </c>
      <c r="C58" s="295" t="s">
        <v>2237</v>
      </c>
      <c r="H58" s="3591" t="s">
        <v>2888</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3432</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48</v>
      </c>
      <c r="I61" s="605">
        <f>SUM(I62:I68)</f>
        <v>0</v>
      </c>
      <c r="J61" s="471"/>
      <c r="K61" s="301" t="s">
        <v>2681</v>
      </c>
      <c r="M61" s="2356"/>
      <c r="N61" s="2356"/>
      <c r="O61" s="2356"/>
      <c r="P61" s="1346">
        <f>SUM(P62:P68)</f>
        <v>49300</v>
      </c>
    </row>
    <row r="62" spans="1:19" s="293" customFormat="1" ht="13.35" customHeight="1">
      <c r="A62" s="471"/>
      <c r="B62" s="2347"/>
      <c r="C62" s="301"/>
      <c r="D62" s="316" t="s">
        <v>4216</v>
      </c>
      <c r="E62" s="2356"/>
      <c r="H62" s="818">
        <f>'Part VI-Revenues &amp; Expenses'!$P$56</f>
        <v>0</v>
      </c>
      <c r="I62" s="818">
        <f>'Part VI-Revenues &amp; Expenses'!$P$93</f>
        <v>0</v>
      </c>
      <c r="J62" s="471"/>
      <c r="K62" s="301"/>
      <c r="L62" s="316" t="s">
        <v>4216</v>
      </c>
      <c r="M62" s="2356"/>
      <c r="N62" s="2356"/>
      <c r="O62" s="2356"/>
      <c r="P62" s="818">
        <f>'Part VI-Revenues &amp; Expenses'!$P$159</f>
        <v>0</v>
      </c>
    </row>
    <row r="63" spans="1:19" s="293" customFormat="1" ht="13.35" customHeight="1">
      <c r="A63" s="471"/>
      <c r="B63" s="2347"/>
      <c r="C63" s="301"/>
      <c r="D63" s="316" t="s">
        <v>4217</v>
      </c>
      <c r="E63" s="2356"/>
      <c r="H63" s="1348">
        <f>'Part VI-Revenues &amp; Expenses'!$P$57</f>
        <v>0</v>
      </c>
      <c r="I63" s="1348">
        <f>'Part VI-Revenues &amp; Expenses'!$P$94</f>
        <v>0</v>
      </c>
      <c r="J63" s="471"/>
      <c r="K63" s="301"/>
      <c r="L63" s="316" t="s">
        <v>4217</v>
      </c>
      <c r="M63" s="2356"/>
      <c r="N63" s="2356"/>
      <c r="O63" s="2356"/>
      <c r="P63" s="1348">
        <f>'Part VI-Revenues &amp; Expenses'!$P$160</f>
        <v>0</v>
      </c>
    </row>
    <row r="64" spans="1:19" s="293" customFormat="1" ht="13.35" customHeight="1">
      <c r="A64" s="471"/>
      <c r="B64" s="311"/>
      <c r="D64" s="316" t="s">
        <v>4214</v>
      </c>
      <c r="E64" s="316"/>
      <c r="H64" s="1348">
        <f>'Part VI-Revenues &amp; Expenses'!$P$58</f>
        <v>38</v>
      </c>
      <c r="I64" s="1348">
        <f>'Part VI-Revenues &amp; Expenses'!$P$95</f>
        <v>0</v>
      </c>
      <c r="L64" s="316" t="s">
        <v>4214</v>
      </c>
      <c r="O64" s="2356"/>
      <c r="P64" s="1348">
        <f>'Part VI-Revenues &amp; Expenses'!$P$161</f>
        <v>39050</v>
      </c>
    </row>
    <row r="65" spans="1:16" s="293" customFormat="1" ht="13.35" customHeight="1">
      <c r="A65" s="471"/>
      <c r="D65" s="316" t="s">
        <v>4215</v>
      </c>
      <c r="E65" s="2356"/>
      <c r="H65" s="1348">
        <f>'Part VI-Revenues &amp; Expenses'!$P$59</f>
        <v>10</v>
      </c>
      <c r="I65" s="1348">
        <f>'Part VI-Revenues &amp; Expenses'!$P$96</f>
        <v>0</v>
      </c>
      <c r="L65" s="316" t="s">
        <v>4215</v>
      </c>
      <c r="O65" s="2356"/>
      <c r="P65" s="1348">
        <f>'Part VI-Revenues &amp; Expenses'!$P$162</f>
        <v>10250</v>
      </c>
    </row>
    <row r="66" spans="1:16" s="293" customFormat="1" ht="13.35" customHeight="1">
      <c r="A66" s="471"/>
      <c r="D66" s="316" t="s">
        <v>4218</v>
      </c>
      <c r="E66" s="316"/>
      <c r="H66" s="1348">
        <f>'Part VI-Revenues &amp; Expenses'!$P$60</f>
        <v>0</v>
      </c>
      <c r="I66" s="1348">
        <f>'Part VI-Revenues &amp; Expenses'!$P$97</f>
        <v>0</v>
      </c>
      <c r="L66" s="316" t="s">
        <v>4218</v>
      </c>
      <c r="O66" s="2356"/>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6"/>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6"/>
      <c r="P68" s="819">
        <f>'Part VI-Revenues &amp; Expenses'!$P$165</f>
        <v>0</v>
      </c>
    </row>
    <row r="69" spans="1:16" s="293" customFormat="1" ht="13.35" customHeight="1">
      <c r="A69" s="471"/>
      <c r="C69" s="301" t="s">
        <v>248</v>
      </c>
      <c r="D69" s="2356"/>
      <c r="E69" s="2356"/>
      <c r="H69" s="1347">
        <f>'Part VI-Revenues &amp; Expenses'!$P$64</f>
        <v>0</v>
      </c>
      <c r="J69" s="471"/>
      <c r="K69" s="301" t="s">
        <v>2682</v>
      </c>
      <c r="M69" s="2356"/>
      <c r="N69" s="2356"/>
      <c r="O69" s="2356"/>
      <c r="P69" s="1349">
        <f>'Part VI-Revenues &amp; Expenses'!$P$167</f>
        <v>0</v>
      </c>
    </row>
    <row r="70" spans="1:16" s="293" customFormat="1" ht="13.35" customHeight="1">
      <c r="A70" s="471"/>
      <c r="C70" s="301" t="s">
        <v>2344</v>
      </c>
      <c r="D70" s="2356"/>
      <c r="E70" s="2356"/>
      <c r="H70" s="818">
        <f>H61+H69</f>
        <v>48</v>
      </c>
      <c r="J70" s="471"/>
      <c r="K70" s="301" t="s">
        <v>2683</v>
      </c>
      <c r="M70" s="2356"/>
      <c r="N70" s="2356"/>
      <c r="O70" s="2356"/>
      <c r="P70" s="818">
        <f>P61+P69</f>
        <v>49300</v>
      </c>
    </row>
    <row r="71" spans="1:16" s="293" customFormat="1" ht="13.35" customHeight="1">
      <c r="A71" s="471"/>
      <c r="C71" s="301" t="s">
        <v>2345</v>
      </c>
      <c r="D71" s="2356"/>
      <c r="E71" s="2356"/>
      <c r="H71" s="819">
        <f>'Part VI-Revenues &amp; Expenses'!$P$66</f>
        <v>0</v>
      </c>
      <c r="J71" s="471"/>
      <c r="K71" s="301" t="s">
        <v>2684</v>
      </c>
      <c r="M71" s="2356"/>
      <c r="N71" s="2356"/>
      <c r="O71" s="2356"/>
      <c r="P71" s="819">
        <f>'Part VI-Revenues &amp; Expenses'!$P$169</f>
        <v>0</v>
      </c>
    </row>
    <row r="72" spans="1:16" s="293" customFormat="1" ht="13.35" customHeight="1">
      <c r="A72" s="471"/>
      <c r="C72" s="301" t="s">
        <v>1749</v>
      </c>
      <c r="D72" s="2356"/>
      <c r="E72" s="2356"/>
      <c r="H72" s="315">
        <f>+H70+H71</f>
        <v>48</v>
      </c>
      <c r="J72" s="2356"/>
      <c r="K72" s="301" t="s">
        <v>1392</v>
      </c>
      <c r="M72" s="2356"/>
      <c r="N72" s="2356"/>
      <c r="O72" s="2356"/>
      <c r="P72" s="315">
        <f>+P70+P71</f>
        <v>49300</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3592">
        <v>7</v>
      </c>
      <c r="K74" s="301" t="s">
        <v>4444</v>
      </c>
      <c r="O74" s="2356"/>
      <c r="P74" s="3593">
        <v>2100</v>
      </c>
    </row>
    <row r="75" spans="1:16" s="293" customFormat="1" ht="13.35" customHeight="1">
      <c r="A75" s="471"/>
      <c r="B75" s="471"/>
      <c r="D75" s="2347" t="s">
        <v>1949</v>
      </c>
      <c r="H75" s="3594">
        <v>1</v>
      </c>
      <c r="I75" s="2356"/>
      <c r="K75" s="301" t="s">
        <v>247</v>
      </c>
      <c r="O75" s="2356"/>
      <c r="P75" s="315">
        <f>+P72+P74</f>
        <v>51400</v>
      </c>
    </row>
    <row r="76" spans="1:16" s="293" customFormat="1" ht="13.35" customHeight="1">
      <c r="A76" s="471"/>
      <c r="B76" s="471"/>
      <c r="D76" s="2347" t="s">
        <v>1950</v>
      </c>
      <c r="H76" s="315">
        <f>+H74+H75</f>
        <v>8</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2742</v>
      </c>
      <c r="D78" s="2356"/>
      <c r="E78" s="2356"/>
      <c r="F78" s="2356"/>
      <c r="G78" s="2356"/>
      <c r="H78" s="3593">
        <v>130</v>
      </c>
      <c r="K78" s="2402" t="s">
        <v>3636</v>
      </c>
      <c r="L78" s="2402"/>
      <c r="M78" s="2402"/>
      <c r="N78" s="2402"/>
      <c r="O78" s="2402"/>
      <c r="P78" s="2402"/>
    </row>
    <row r="79" spans="1:16" s="293" customFormat="1" ht="6" customHeight="1">
      <c r="A79" s="471"/>
      <c r="B79" s="471"/>
      <c r="C79" s="301"/>
      <c r="D79" s="2356"/>
      <c r="E79" s="2356"/>
      <c r="F79" s="2356"/>
      <c r="G79" s="2357"/>
      <c r="H79" s="2356"/>
      <c r="I79" s="301"/>
      <c r="J79" s="301"/>
      <c r="K79" s="2402"/>
      <c r="L79" s="2402"/>
      <c r="M79" s="2402"/>
      <c r="N79" s="2402"/>
      <c r="O79" s="2402"/>
      <c r="P79" s="2402"/>
    </row>
    <row r="80" spans="1:16" s="293" customFormat="1" ht="13.35" customHeight="1">
      <c r="A80" s="471" t="s">
        <v>516</v>
      </c>
      <c r="B80" s="317" t="s">
        <v>1166</v>
      </c>
      <c r="D80" s="317"/>
      <c r="E80" s="317"/>
      <c r="F80" s="2356"/>
      <c r="G80" s="2357"/>
      <c r="H80" s="497"/>
      <c r="K80" s="2402"/>
      <c r="L80" s="2402"/>
      <c r="M80" s="2402"/>
      <c r="N80" s="2402"/>
      <c r="O80" s="2402"/>
      <c r="P80" s="2402"/>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3595" t="s">
        <v>2809</v>
      </c>
      <c r="I82" s="3596"/>
      <c r="K82" s="2415" t="s">
        <v>1728</v>
      </c>
      <c r="L82" s="2415"/>
      <c r="M82" s="3492"/>
      <c r="N82" s="3504"/>
      <c r="O82" s="3504"/>
      <c r="P82" s="3493"/>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17" t="s">
        <v>4391</v>
      </c>
      <c r="L84" s="318" t="s">
        <v>2807</v>
      </c>
      <c r="M84" s="3597"/>
      <c r="N84" s="318" t="s">
        <v>2808</v>
      </c>
      <c r="O84" s="3597"/>
      <c r="P84" s="2348" t="s">
        <v>4390</v>
      </c>
    </row>
    <row r="85" spans="1:16" s="293" customFormat="1">
      <c r="A85" s="471"/>
      <c r="B85" s="471"/>
      <c r="D85" s="2346"/>
      <c r="E85" s="1481"/>
      <c r="J85" s="1479"/>
      <c r="K85" s="2417"/>
      <c r="L85" s="305" t="s">
        <v>2809</v>
      </c>
      <c r="M85" s="3594">
        <v>48</v>
      </c>
      <c r="N85" s="305" t="s">
        <v>3652</v>
      </c>
      <c r="O85" s="3594"/>
      <c r="P85" s="3598"/>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3</v>
      </c>
      <c r="K87" s="2415" t="s">
        <v>506</v>
      </c>
      <c r="L87" s="2415"/>
      <c r="N87" s="1559">
        <f>IF('Part VI-Revenues &amp; Expenses'!$P$67=0,0,H87/'Part VI-Revenues &amp; Expenses'!$P$67)</f>
        <v>6.25E-2</v>
      </c>
      <c r="O87" s="305" t="s">
        <v>3517</v>
      </c>
      <c r="P87" s="895">
        <f>'DCA Underwriting Assumptions'!$Q$154</f>
        <v>0.05</v>
      </c>
    </row>
    <row r="88" spans="1:16" s="293" customFormat="1">
      <c r="A88" s="471"/>
      <c r="B88" s="471"/>
      <c r="D88" s="2347" t="s">
        <v>2740</v>
      </c>
      <c r="E88" s="2347"/>
      <c r="F88" s="2347" t="s">
        <v>776</v>
      </c>
      <c r="H88" s="605">
        <f>'Part VIII-Threshold Criteria'!K306</f>
        <v>3</v>
      </c>
      <c r="K88" s="2356" t="s">
        <v>2741</v>
      </c>
      <c r="L88" s="2356"/>
      <c r="N88" s="1559">
        <f>IF(H87=0,0,H88/H87)</f>
        <v>1</v>
      </c>
      <c r="O88" s="305" t="s">
        <v>3517</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1</v>
      </c>
      <c r="K90" s="2415" t="s">
        <v>506</v>
      </c>
      <c r="L90" s="2415"/>
      <c r="N90" s="1559">
        <f>IF('Part VI-Revenues &amp; Expenses'!$P$67=0,0,H90/'Part VI-Revenues &amp; Expenses'!$P$67)</f>
        <v>2.0833333333333332E-2</v>
      </c>
      <c r="O90" s="305" t="s">
        <v>3517</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4326</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1935</v>
      </c>
      <c r="C94" s="2350" t="s">
        <v>2315</v>
      </c>
      <c r="D94" s="2347"/>
      <c r="F94" s="2346"/>
      <c r="K94" s="3599" t="s">
        <v>4294</v>
      </c>
      <c r="L94" s="3600"/>
      <c r="M94" s="3601"/>
      <c r="N94" s="2356"/>
    </row>
    <row r="95" spans="1:16" s="293" customFormat="1" ht="1.5" customHeight="1">
      <c r="A95" s="471"/>
      <c r="B95" s="471"/>
      <c r="D95" s="2347"/>
      <c r="F95" s="2347"/>
      <c r="G95" s="2347"/>
      <c r="H95" s="472" t="s">
        <v>4485</v>
      </c>
      <c r="L95" s="2357"/>
      <c r="M95" s="2357"/>
    </row>
    <row r="96" spans="1:16" s="293" customFormat="1" ht="13.35" customHeight="1">
      <c r="B96" s="471" t="s">
        <v>1937</v>
      </c>
      <c r="C96" s="295" t="s">
        <v>1502</v>
      </c>
      <c r="K96" s="2348" t="s">
        <v>4374</v>
      </c>
      <c r="N96" s="320"/>
      <c r="P96" s="3602" t="s">
        <v>7000</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1992</v>
      </c>
      <c r="D98" s="2347"/>
    </row>
    <row r="99" spans="1:16" s="293" customFormat="1" ht="1.5" customHeight="1">
      <c r="A99" s="471"/>
      <c r="B99" s="471"/>
      <c r="D99" s="2347"/>
      <c r="N99" s="2356"/>
      <c r="P99" s="302"/>
    </row>
    <row r="100" spans="1:16" s="293" customFormat="1" ht="13.35" customHeight="1">
      <c r="A100" s="319"/>
      <c r="B100" s="471" t="s">
        <v>1935</v>
      </c>
      <c r="C100" s="295" t="s">
        <v>2627</v>
      </c>
      <c r="F100" s="316" t="s">
        <v>2532</v>
      </c>
      <c r="H100" s="3603" t="s">
        <v>2888</v>
      </c>
      <c r="K100" s="2346" t="s">
        <v>3665</v>
      </c>
      <c r="P100" s="3603" t="s">
        <v>2888</v>
      </c>
    </row>
    <row r="101" spans="1:16" s="293" customFormat="1" ht="13.35" customHeight="1">
      <c r="A101" s="319"/>
      <c r="B101" s="471"/>
      <c r="C101" s="295"/>
      <c r="F101" s="2347" t="s">
        <v>3669</v>
      </c>
      <c r="H101" s="3604" t="s">
        <v>2888</v>
      </c>
      <c r="K101" s="2346" t="s">
        <v>4229</v>
      </c>
      <c r="P101" s="3604" t="s">
        <v>2888</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1937</v>
      </c>
      <c r="C103" s="295" t="s">
        <v>2628</v>
      </c>
      <c r="F103" s="2346" t="s">
        <v>2602</v>
      </c>
      <c r="H103" s="3591" t="s">
        <v>2888</v>
      </c>
      <c r="J103" s="2357"/>
      <c r="K103" s="466" t="s">
        <v>2629</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2691</v>
      </c>
      <c r="D105" s="2347"/>
      <c r="H105" s="3599" t="s">
        <v>2531</v>
      </c>
      <c r="I105" s="3601"/>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501"/>
      <c r="F109" s="3502"/>
      <c r="G109" s="3502"/>
      <c r="H109" s="3502"/>
      <c r="I109" s="3502"/>
      <c r="J109" s="3502"/>
      <c r="K109" s="3502"/>
      <c r="L109" s="3503"/>
      <c r="M109" s="2416" t="s">
        <v>537</v>
      </c>
      <c r="N109" s="2416"/>
      <c r="O109" s="3605"/>
      <c r="P109" s="3606"/>
    </row>
    <row r="110" spans="1:16" s="293" customFormat="1" ht="13.35" customHeight="1">
      <c r="C110" s="2348" t="s">
        <v>999</v>
      </c>
      <c r="D110" s="305"/>
      <c r="E110" s="3509"/>
      <c r="F110" s="3510"/>
      <c r="G110" s="3510"/>
      <c r="H110" s="3528"/>
      <c r="I110" s="3510"/>
      <c r="J110" s="3528"/>
      <c r="K110" s="3510"/>
      <c r="L110" s="3511"/>
      <c r="M110" s="2416" t="s">
        <v>788</v>
      </c>
      <c r="N110" s="2416"/>
      <c r="O110" s="3607"/>
      <c r="P110" s="3608"/>
    </row>
    <row r="111" spans="1:16" s="293" customFormat="1" ht="13.35" customHeight="1">
      <c r="C111" s="2348" t="s">
        <v>600</v>
      </c>
      <c r="E111" s="3543"/>
      <c r="F111" s="3609"/>
      <c r="G111" s="3610"/>
      <c r="H111" s="2351" t="s">
        <v>1754</v>
      </c>
      <c r="I111" s="3611"/>
      <c r="J111" s="321" t="s">
        <v>2172</v>
      </c>
      <c r="K111" s="3612"/>
      <c r="L111" s="3613"/>
      <c r="M111" s="270" t="s">
        <v>3488</v>
      </c>
      <c r="N111" s="270"/>
      <c r="O111" s="3614"/>
      <c r="P111" s="3615"/>
    </row>
    <row r="112" spans="1:16" s="293" customFormat="1" ht="13.35" customHeight="1">
      <c r="C112" s="293" t="s">
        <v>2143</v>
      </c>
      <c r="E112" s="3543"/>
      <c r="F112" s="3609"/>
      <c r="G112" s="3610"/>
      <c r="H112" s="928" t="s">
        <v>1932</v>
      </c>
      <c r="I112" s="3616"/>
      <c r="J112" s="3617"/>
      <c r="K112" s="3618"/>
      <c r="L112" s="2369" t="s">
        <v>1936</v>
      </c>
      <c r="M112" s="3501"/>
      <c r="N112" s="3619"/>
      <c r="O112" s="3620"/>
      <c r="P112" s="3621"/>
    </row>
    <row r="113" spans="1:16" s="293" customFormat="1" ht="13.35" customHeight="1">
      <c r="C113" s="2348" t="s">
        <v>2142</v>
      </c>
      <c r="E113" s="3538"/>
      <c r="F113" s="3622"/>
      <c r="G113" s="3539"/>
      <c r="H113" s="928" t="s">
        <v>1756</v>
      </c>
      <c r="I113" s="3538"/>
      <c r="J113" s="3623"/>
      <c r="K113" s="2351" t="s">
        <v>2624</v>
      </c>
      <c r="L113" s="3489"/>
      <c r="M113" s="3624"/>
      <c r="N113" s="3624"/>
      <c r="O113" s="3624"/>
      <c r="P113" s="362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7"/>
      <c r="G119" s="2357"/>
      <c r="H119" s="3626">
        <v>1</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7"/>
      <c r="G121" s="2357"/>
      <c r="H121" s="3627">
        <v>887000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3628" t="s">
        <v>6989</v>
      </c>
      <c r="D125" s="3629"/>
      <c r="E125" s="3629"/>
      <c r="F125" s="3630" t="s">
        <v>6991</v>
      </c>
      <c r="G125" s="3631"/>
      <c r="H125" s="3632"/>
      <c r="I125" s="3633" t="s">
        <v>7102</v>
      </c>
      <c r="J125" s="3628">
        <v>7</v>
      </c>
      <c r="K125" s="3629"/>
      <c r="L125" s="3629"/>
      <c r="M125" s="3630"/>
      <c r="N125" s="3631"/>
      <c r="O125" s="3632"/>
      <c r="P125" s="3633"/>
    </row>
    <row r="126" spans="1:16" s="293" customFormat="1" ht="13.35" customHeight="1">
      <c r="A126" s="471"/>
      <c r="B126" s="471"/>
      <c r="C126" s="3634">
        <v>2</v>
      </c>
      <c r="D126" s="3635"/>
      <c r="E126" s="3635"/>
      <c r="F126" s="3636"/>
      <c r="G126" s="3637"/>
      <c r="H126" s="3638"/>
      <c r="I126" s="3639"/>
      <c r="J126" s="3634">
        <v>8</v>
      </c>
      <c r="K126" s="3635"/>
      <c r="L126" s="3635"/>
      <c r="M126" s="3636"/>
      <c r="N126" s="3637"/>
      <c r="O126" s="3638"/>
      <c r="P126" s="3639"/>
    </row>
    <row r="127" spans="1:16" s="293" customFormat="1" ht="13.35" customHeight="1">
      <c r="A127" s="471"/>
      <c r="B127" s="471"/>
      <c r="C127" s="3634">
        <v>3</v>
      </c>
      <c r="D127" s="3635"/>
      <c r="E127" s="3635"/>
      <c r="F127" s="3636"/>
      <c r="G127" s="3637"/>
      <c r="H127" s="3638"/>
      <c r="I127" s="3639"/>
      <c r="J127" s="3634">
        <v>9</v>
      </c>
      <c r="K127" s="3635"/>
      <c r="L127" s="3635"/>
      <c r="M127" s="3636"/>
      <c r="N127" s="3637"/>
      <c r="O127" s="3638"/>
      <c r="P127" s="3639"/>
    </row>
    <row r="128" spans="1:16" s="293" customFormat="1" ht="13.35" customHeight="1">
      <c r="A128" s="471"/>
      <c r="B128" s="471"/>
      <c r="C128" s="3634">
        <v>4</v>
      </c>
      <c r="D128" s="3635"/>
      <c r="E128" s="3635"/>
      <c r="F128" s="3636"/>
      <c r="G128" s="3637"/>
      <c r="H128" s="3638"/>
      <c r="I128" s="3639"/>
      <c r="J128" s="3634">
        <v>10</v>
      </c>
      <c r="K128" s="3635"/>
      <c r="L128" s="3635"/>
      <c r="M128" s="3636"/>
      <c r="N128" s="3637"/>
      <c r="O128" s="3638"/>
      <c r="P128" s="3639"/>
    </row>
    <row r="129" spans="1:16" s="293" customFormat="1" ht="13.35" customHeight="1">
      <c r="A129" s="471"/>
      <c r="B129" s="471"/>
      <c r="C129" s="3634">
        <v>5</v>
      </c>
      <c r="D129" s="3635"/>
      <c r="E129" s="3635"/>
      <c r="F129" s="3636"/>
      <c r="G129" s="3637"/>
      <c r="H129" s="3638"/>
      <c r="I129" s="3639"/>
      <c r="J129" s="3634">
        <v>11</v>
      </c>
      <c r="K129" s="3635"/>
      <c r="L129" s="3635"/>
      <c r="M129" s="3636"/>
      <c r="N129" s="3637"/>
      <c r="O129" s="3638"/>
      <c r="P129" s="3639"/>
    </row>
    <row r="130" spans="1:16" s="293" customFormat="1" ht="13.35" customHeight="1">
      <c r="A130" s="471"/>
      <c r="B130" s="471"/>
      <c r="C130" s="3640">
        <v>6</v>
      </c>
      <c r="D130" s="3641"/>
      <c r="E130" s="3641"/>
      <c r="F130" s="3642"/>
      <c r="G130" s="3643"/>
      <c r="H130" s="3644"/>
      <c r="I130" s="3645"/>
      <c r="J130" s="3640">
        <v>12</v>
      </c>
      <c r="K130" s="3641"/>
      <c r="L130" s="3641"/>
      <c r="M130" s="3642"/>
      <c r="N130" s="3643"/>
      <c r="O130" s="3644"/>
      <c r="P130" s="364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08" t="s">
        <v>1800</v>
      </c>
      <c r="D132" s="2408"/>
      <c r="E132" s="2408"/>
      <c r="F132" s="2408"/>
      <c r="G132" s="2408"/>
      <c r="H132" s="2408"/>
      <c r="I132" s="2408"/>
      <c r="J132" s="2408"/>
      <c r="K132" s="2408"/>
      <c r="L132" s="2408"/>
      <c r="M132" s="2408"/>
      <c r="N132" s="2408"/>
      <c r="O132" s="2408"/>
      <c r="P132" s="2408"/>
    </row>
    <row r="133" spans="1:16" s="293" customFormat="1" ht="13.35" customHeight="1">
      <c r="A133" s="471"/>
      <c r="B133" s="471"/>
      <c r="C133" s="2408"/>
      <c r="D133" s="2408"/>
      <c r="E133" s="2408"/>
      <c r="F133" s="2408"/>
      <c r="G133" s="2408"/>
      <c r="H133" s="2408"/>
      <c r="I133" s="2408"/>
      <c r="J133" s="2408"/>
      <c r="K133" s="2408"/>
      <c r="L133" s="2408"/>
      <c r="M133" s="2408"/>
      <c r="N133" s="2408"/>
      <c r="O133" s="2408"/>
      <c r="P133" s="2408"/>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3628">
        <v>1</v>
      </c>
      <c r="D135" s="3629"/>
      <c r="E135" s="3629"/>
      <c r="F135" s="3630"/>
      <c r="G135" s="3631"/>
      <c r="H135" s="3631"/>
      <c r="I135" s="3646"/>
      <c r="J135" s="3628">
        <v>7</v>
      </c>
      <c r="K135" s="3629"/>
      <c r="L135" s="3629"/>
      <c r="M135" s="3630"/>
      <c r="N135" s="3631"/>
      <c r="O135" s="3631"/>
      <c r="P135" s="3646"/>
    </row>
    <row r="136" spans="1:16" s="293" customFormat="1" ht="13.35" customHeight="1">
      <c r="A136" s="471"/>
      <c r="B136" s="471"/>
      <c r="C136" s="3634">
        <v>2</v>
      </c>
      <c r="D136" s="3635"/>
      <c r="E136" s="3635"/>
      <c r="F136" s="3636"/>
      <c r="G136" s="3637"/>
      <c r="H136" s="3637"/>
      <c r="I136" s="3647"/>
      <c r="J136" s="3634">
        <v>8</v>
      </c>
      <c r="K136" s="3635"/>
      <c r="L136" s="3635"/>
      <c r="M136" s="3636"/>
      <c r="N136" s="3637"/>
      <c r="O136" s="3637"/>
      <c r="P136" s="3647"/>
    </row>
    <row r="137" spans="1:16" s="293" customFormat="1" ht="13.35" customHeight="1">
      <c r="A137" s="471"/>
      <c r="B137" s="471"/>
      <c r="C137" s="3634">
        <v>3</v>
      </c>
      <c r="D137" s="3635"/>
      <c r="E137" s="3635"/>
      <c r="F137" s="3636"/>
      <c r="G137" s="3637"/>
      <c r="H137" s="3637"/>
      <c r="I137" s="3647"/>
      <c r="J137" s="3634">
        <v>9</v>
      </c>
      <c r="K137" s="3635"/>
      <c r="L137" s="3635"/>
      <c r="M137" s="3636"/>
      <c r="N137" s="3637"/>
      <c r="O137" s="3637"/>
      <c r="P137" s="3647"/>
    </row>
    <row r="138" spans="1:16" s="293" customFormat="1" ht="13.35" customHeight="1">
      <c r="A138" s="471"/>
      <c r="B138" s="471"/>
      <c r="C138" s="3634">
        <v>4</v>
      </c>
      <c r="D138" s="3635"/>
      <c r="E138" s="3635"/>
      <c r="F138" s="3636"/>
      <c r="G138" s="3637"/>
      <c r="H138" s="3637"/>
      <c r="I138" s="3647"/>
      <c r="J138" s="3634">
        <v>10</v>
      </c>
      <c r="K138" s="3635"/>
      <c r="L138" s="3635"/>
      <c r="M138" s="3636"/>
      <c r="N138" s="3637"/>
      <c r="O138" s="3637"/>
      <c r="P138" s="3647"/>
    </row>
    <row r="139" spans="1:16" s="293" customFormat="1" ht="13.35" customHeight="1">
      <c r="A139" s="471"/>
      <c r="B139" s="471"/>
      <c r="C139" s="3634">
        <v>5</v>
      </c>
      <c r="D139" s="3635"/>
      <c r="E139" s="3635"/>
      <c r="F139" s="3636"/>
      <c r="G139" s="3637"/>
      <c r="H139" s="3637"/>
      <c r="I139" s="3647"/>
      <c r="J139" s="3634">
        <v>11</v>
      </c>
      <c r="K139" s="3635"/>
      <c r="L139" s="3635"/>
      <c r="M139" s="3636"/>
      <c r="N139" s="3637"/>
      <c r="O139" s="3637"/>
      <c r="P139" s="3647"/>
    </row>
    <row r="140" spans="1:16" s="293" customFormat="1" ht="13.35" customHeight="1">
      <c r="A140" s="471"/>
      <c r="B140" s="471"/>
      <c r="C140" s="3640">
        <v>6</v>
      </c>
      <c r="D140" s="3641"/>
      <c r="E140" s="3641"/>
      <c r="F140" s="3642"/>
      <c r="G140" s="3643"/>
      <c r="H140" s="3643"/>
      <c r="I140" s="3648"/>
      <c r="J140" s="3640">
        <v>12</v>
      </c>
      <c r="K140" s="3641"/>
      <c r="L140" s="3641"/>
      <c r="M140" s="3642"/>
      <c r="N140" s="3643"/>
      <c r="O140" s="3643"/>
      <c r="P140" s="3648"/>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4395</v>
      </c>
      <c r="D142" s="303"/>
      <c r="E142" s="303"/>
      <c r="F142" s="303"/>
      <c r="I142" s="3649" t="s">
        <v>2888</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1671</v>
      </c>
      <c r="I144" s="3603" t="s">
        <v>2888</v>
      </c>
      <c r="M144" s="2357"/>
      <c r="N144" s="2356"/>
      <c r="O144" s="2356"/>
      <c r="P144" s="302"/>
    </row>
    <row r="145" spans="1:16" s="293" customFormat="1" ht="13.35" customHeight="1">
      <c r="A145" s="471"/>
      <c r="B145" s="471"/>
      <c r="C145" s="2347" t="s">
        <v>2356</v>
      </c>
      <c r="D145" s="2347"/>
      <c r="E145" s="2347"/>
      <c r="F145" s="2357"/>
      <c r="I145" s="3650"/>
      <c r="N145" s="2356"/>
      <c r="O145" s="2356"/>
      <c r="P145" s="302"/>
    </row>
    <row r="146" spans="1:16" s="293" customFormat="1" ht="13.35" customHeight="1">
      <c r="A146" s="471"/>
      <c r="B146" s="471"/>
      <c r="C146" s="324" t="s">
        <v>1670</v>
      </c>
      <c r="D146" s="2348"/>
      <c r="I146" s="3547"/>
      <c r="P146" s="302"/>
    </row>
    <row r="147" spans="1:16" s="293" customFormat="1" ht="13.35" customHeight="1">
      <c r="A147" s="471"/>
      <c r="B147" s="471"/>
      <c r="C147" s="2347" t="s">
        <v>2357</v>
      </c>
      <c r="D147" s="2347"/>
      <c r="E147" s="1481"/>
      <c r="F147" s="2357"/>
      <c r="I147" s="3650"/>
      <c r="K147" s="270" t="s">
        <v>2187</v>
      </c>
      <c r="O147" s="3501" t="s">
        <v>475</v>
      </c>
      <c r="P147" s="3503"/>
    </row>
    <row r="148" spans="1:16" s="293" customFormat="1" ht="13.35" customHeight="1">
      <c r="A148" s="471"/>
      <c r="B148" s="471"/>
      <c r="C148" s="2347" t="s">
        <v>2355</v>
      </c>
      <c r="F148" s="2357"/>
      <c r="I148" s="3651"/>
      <c r="K148" s="270" t="s">
        <v>2188</v>
      </c>
      <c r="O148" s="3546" t="s">
        <v>475</v>
      </c>
      <c r="P148" s="3529"/>
    </row>
    <row r="149" spans="1:16" s="293" customFormat="1" ht="13.35" customHeight="1">
      <c r="A149" s="471"/>
      <c r="B149" s="471"/>
      <c r="C149" s="2347" t="s">
        <v>2115</v>
      </c>
      <c r="D149" s="2347"/>
      <c r="E149" s="2347"/>
      <c r="F149" s="2357"/>
      <c r="I149" s="3652"/>
      <c r="J149" s="3653"/>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20" t="s">
        <v>2621</v>
      </c>
      <c r="D151" s="2347"/>
      <c r="E151" s="316" t="s">
        <v>4463</v>
      </c>
      <c r="F151" s="316"/>
      <c r="G151" s="316"/>
      <c r="I151" s="3654" t="s">
        <v>2888</v>
      </c>
      <c r="K151" s="316" t="s">
        <v>4465</v>
      </c>
      <c r="L151" s="316"/>
      <c r="M151" s="316"/>
      <c r="O151" s="3655" t="s">
        <v>2888</v>
      </c>
      <c r="P151" s="302"/>
    </row>
    <row r="152" spans="1:16" s="293" customFormat="1" ht="13.35" customHeight="1">
      <c r="A152" s="471"/>
      <c r="C152" s="1481"/>
      <c r="D152" s="2347"/>
      <c r="E152" s="316" t="s">
        <v>4464</v>
      </c>
      <c r="F152" s="316"/>
      <c r="G152" s="316"/>
      <c r="I152" s="3656" t="s">
        <v>2888</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4462</v>
      </c>
      <c r="D154" s="2347"/>
      <c r="E154" s="2347"/>
      <c r="F154" s="2357"/>
      <c r="I154" s="3626" t="s">
        <v>2888</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57" t="s">
        <v>2888</v>
      </c>
      <c r="N159" s="2356"/>
      <c r="O159" s="2356"/>
      <c r="P159" s="302"/>
    </row>
    <row r="160" spans="1:16" s="293" customFormat="1" ht="12.6" customHeight="1">
      <c r="A160" s="471"/>
      <c r="B160" s="471"/>
      <c r="C160" s="2402" t="s">
        <v>4523</v>
      </c>
      <c r="D160" s="2402"/>
      <c r="E160" s="2402"/>
      <c r="F160" s="2402"/>
      <c r="G160" s="293" t="s">
        <v>4273</v>
      </c>
      <c r="I160" s="3658"/>
      <c r="K160" s="2348" t="s">
        <v>1751</v>
      </c>
      <c r="P160" s="1416">
        <f>IF('Part VI-Revenues &amp; Expenses'!$P$65=0,0,I160/'Part VI-Revenues &amp; Expenses'!$P$65)</f>
        <v>0</v>
      </c>
    </row>
    <row r="161" spans="1:16" s="293" customFormat="1" ht="12.6" customHeight="1">
      <c r="A161" s="471"/>
      <c r="B161" s="471"/>
      <c r="C161" s="2402"/>
      <c r="D161" s="2402"/>
      <c r="E161" s="2402"/>
      <c r="F161" s="2402"/>
      <c r="G161" s="293" t="s">
        <v>4272</v>
      </c>
      <c r="I161" s="3658"/>
      <c r="K161" s="2348" t="s">
        <v>1751</v>
      </c>
      <c r="O161" s="2362"/>
      <c r="P161" s="1417">
        <f>IF('Part VI-Revenues &amp; Expenses'!$P$65=0,0,I161/'Part VI-Revenues &amp; Expenses'!$P$65)</f>
        <v>0</v>
      </c>
    </row>
    <row r="162" spans="1:16" s="293" customFormat="1" ht="12" customHeight="1">
      <c r="A162" s="471"/>
      <c r="B162" s="471"/>
      <c r="C162" s="2348" t="s">
        <v>4274</v>
      </c>
      <c r="I162" s="3594"/>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01"/>
      <c r="E164" s="3502"/>
      <c r="F164" s="3502"/>
      <c r="G164" s="3502"/>
      <c r="H164" s="3503"/>
      <c r="I164" s="2348" t="s">
        <v>4227</v>
      </c>
      <c r="N164" s="3535"/>
      <c r="O164" s="3659"/>
      <c r="P164" s="3534"/>
    </row>
    <row r="165" spans="1:16" s="293" customFormat="1" ht="12.6" customHeight="1">
      <c r="A165" s="471"/>
      <c r="B165" s="471"/>
      <c r="C165" s="2348" t="s">
        <v>4228</v>
      </c>
      <c r="D165" s="3543"/>
      <c r="E165" s="3544"/>
      <c r="F165" s="3510"/>
      <c r="G165" s="3544"/>
      <c r="H165" s="3545"/>
      <c r="I165" s="2355" t="s">
        <v>1753</v>
      </c>
      <c r="J165" s="3501"/>
      <c r="K165" s="3502"/>
      <c r="L165" s="3503"/>
      <c r="M165" s="1403" t="s">
        <v>1932</v>
      </c>
      <c r="N165" s="3543"/>
      <c r="O165" s="3544"/>
      <c r="P165" s="3545"/>
    </row>
    <row r="166" spans="1:16" s="293" customFormat="1" ht="12.6" customHeight="1">
      <c r="A166" s="471"/>
      <c r="B166" s="471"/>
      <c r="C166" s="2348" t="s">
        <v>600</v>
      </c>
      <c r="D166" s="3543"/>
      <c r="E166" s="3545"/>
      <c r="F166" s="1401" t="s">
        <v>2172</v>
      </c>
      <c r="G166" s="3660"/>
      <c r="H166" s="3661"/>
      <c r="I166" s="325" t="s">
        <v>1756</v>
      </c>
      <c r="J166" s="3662"/>
      <c r="K166" s="3663"/>
      <c r="L166" s="3664"/>
      <c r="M166" s="1402" t="s">
        <v>1931</v>
      </c>
      <c r="N166" s="3662"/>
      <c r="O166" s="3663"/>
      <c r="P166" s="3664"/>
    </row>
    <row r="167" spans="1:16" s="293" customFormat="1" ht="12.6" customHeight="1">
      <c r="A167" s="471"/>
      <c r="B167" s="471"/>
      <c r="C167" s="293" t="s">
        <v>2624</v>
      </c>
      <c r="D167" s="3536"/>
      <c r="E167" s="3527"/>
      <c r="F167" s="3527"/>
      <c r="G167" s="3527"/>
      <c r="H167" s="3537"/>
      <c r="I167" s="325" t="s">
        <v>1755</v>
      </c>
      <c r="J167" s="3665"/>
      <c r="K167" s="3624"/>
      <c r="L167" s="3624"/>
      <c r="M167" s="3624"/>
      <c r="N167" s="3624"/>
      <c r="O167" s="3624"/>
      <c r="P167" s="3625"/>
    </row>
    <row r="168" spans="1:16" s="293" customFormat="1" ht="12" customHeight="1">
      <c r="A168" s="471"/>
      <c r="B168" s="471"/>
      <c r="C168" s="293" t="s">
        <v>4275</v>
      </c>
      <c r="E168" s="326"/>
      <c r="F168" s="326"/>
      <c r="G168" s="326"/>
      <c r="H168" s="2357"/>
      <c r="I168" s="3655"/>
      <c r="J168" s="2403" t="s">
        <v>743</v>
      </c>
      <c r="K168" s="2404"/>
      <c r="L168" s="3626"/>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3666"/>
      <c r="J170" s="2411" t="s">
        <v>743</v>
      </c>
      <c r="K170" s="2412"/>
      <c r="L170" s="3666"/>
      <c r="M170" s="2405" t="s">
        <v>2266</v>
      </c>
      <c r="N170" s="2406"/>
      <c r="O170" s="2407"/>
      <c r="P170" s="3667"/>
    </row>
    <row r="171" spans="1:16" s="293" customFormat="1" ht="12.6" customHeight="1">
      <c r="A171" s="471"/>
      <c r="B171" s="471"/>
      <c r="C171" s="2350" t="s">
        <v>2623</v>
      </c>
      <c r="D171" s="2350"/>
      <c r="E171" s="2350"/>
      <c r="F171" s="2350"/>
      <c r="G171" s="2350"/>
      <c r="I171" s="3604" t="s">
        <v>2885</v>
      </c>
      <c r="J171" s="2411" t="s">
        <v>743</v>
      </c>
      <c r="K171" s="2412"/>
      <c r="L171" s="3604" t="s">
        <v>7103</v>
      </c>
      <c r="M171" s="2405" t="s">
        <v>2266</v>
      </c>
      <c r="N171" s="2406"/>
      <c r="O171" s="2407"/>
      <c r="P171" s="3668" t="s">
        <v>7103</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91" t="s">
        <v>2888</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13" t="s">
        <v>1930</v>
      </c>
      <c r="D175" s="2413"/>
      <c r="E175" s="2413"/>
      <c r="F175" s="2413"/>
      <c r="G175" s="2350"/>
      <c r="I175" s="3591" t="s">
        <v>2888</v>
      </c>
      <c r="J175" s="328" t="s">
        <v>2664</v>
      </c>
      <c r="L175" s="2414" t="s">
        <v>3522</v>
      </c>
      <c r="M175" s="2414"/>
      <c r="N175" s="2350"/>
      <c r="O175" s="2350"/>
      <c r="P175" s="3592"/>
    </row>
    <row r="176" spans="1:16" s="293" customFormat="1" ht="12.6" customHeight="1">
      <c r="B176" s="471"/>
      <c r="L176" s="2415" t="s">
        <v>777</v>
      </c>
      <c r="M176" s="2415"/>
      <c r="N176" s="1481"/>
      <c r="O176" s="1481"/>
      <c r="P176" s="3594"/>
    </row>
    <row r="177" spans="1:16" s="293" customFormat="1" ht="12.6" customHeight="1">
      <c r="A177" s="471"/>
      <c r="B177" s="471"/>
      <c r="L177" s="2415" t="s">
        <v>1747</v>
      </c>
      <c r="M177" s="2415"/>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3657" t="s">
        <v>2888</v>
      </c>
      <c r="L179" s="2356" t="s">
        <v>1577</v>
      </c>
      <c r="M179" s="2356"/>
      <c r="N179" s="2356"/>
      <c r="P179" s="3657" t="s">
        <v>2885</v>
      </c>
    </row>
    <row r="180" spans="1:16" s="293" customFormat="1" ht="12.6" customHeight="1">
      <c r="A180" s="471"/>
      <c r="B180" s="471"/>
      <c r="C180" s="2356" t="s">
        <v>2156</v>
      </c>
      <c r="I180" s="3651" t="s">
        <v>2888</v>
      </c>
      <c r="L180" s="2356" t="s">
        <v>2745</v>
      </c>
      <c r="M180" s="2356"/>
      <c r="N180" s="2356"/>
      <c r="P180" s="3651" t="s">
        <v>2888</v>
      </c>
    </row>
    <row r="181" spans="1:16" s="293" customFormat="1" ht="12.6" customHeight="1">
      <c r="A181" s="471"/>
      <c r="C181" s="2356" t="s">
        <v>2640</v>
      </c>
      <c r="I181" s="3651" t="s">
        <v>2888</v>
      </c>
      <c r="L181" s="2356" t="s">
        <v>2611</v>
      </c>
      <c r="N181" s="3669"/>
      <c r="O181" s="3670"/>
      <c r="P181" s="3651" t="s">
        <v>2888</v>
      </c>
    </row>
    <row r="182" spans="1:16" s="293" customFormat="1" ht="12.6" customHeight="1">
      <c r="A182" s="471"/>
      <c r="B182" s="471"/>
      <c r="C182" s="2356" t="s">
        <v>1259</v>
      </c>
      <c r="D182" s="329"/>
      <c r="I182" s="3651" t="s">
        <v>2888</v>
      </c>
      <c r="K182" s="303"/>
      <c r="L182" s="2356" t="s">
        <v>3361</v>
      </c>
      <c r="M182" s="2356"/>
      <c r="N182" s="2356"/>
      <c r="P182" s="3651" t="s">
        <v>2888</v>
      </c>
    </row>
    <row r="183" spans="1:16" s="293" customFormat="1" ht="12.6" customHeight="1">
      <c r="A183" s="471"/>
      <c r="B183" s="295"/>
      <c r="C183" s="2356" t="s">
        <v>4522</v>
      </c>
      <c r="I183" s="3651" t="s">
        <v>2888</v>
      </c>
      <c r="J183" s="328" t="s">
        <v>2665</v>
      </c>
      <c r="O183" s="3671"/>
      <c r="P183" s="3672"/>
    </row>
    <row r="184" spans="1:16" s="293" customFormat="1" ht="12.6" customHeight="1">
      <c r="A184" s="471"/>
      <c r="B184" s="295"/>
      <c r="C184" s="2356" t="s">
        <v>1761</v>
      </c>
      <c r="I184" s="3651" t="s">
        <v>2888</v>
      </c>
      <c r="J184" s="328" t="s">
        <v>2665</v>
      </c>
      <c r="O184" s="3673"/>
      <c r="P184" s="3674"/>
    </row>
    <row r="185" spans="1:16" s="293" customFormat="1" ht="12.6" customHeight="1">
      <c r="A185" s="471"/>
      <c r="B185" s="471"/>
      <c r="C185" s="2356" t="s">
        <v>2799</v>
      </c>
      <c r="I185" s="3656" t="s">
        <v>2888</v>
      </c>
      <c r="J185" s="328" t="s">
        <v>2665</v>
      </c>
      <c r="O185" s="3675"/>
      <c r="P185" s="367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605"/>
      <c r="I188" s="3606"/>
      <c r="N188" s="2356"/>
      <c r="O188" s="2356"/>
      <c r="P188" s="302"/>
    </row>
    <row r="189" spans="1:16" s="293" customFormat="1" ht="12.6" customHeight="1">
      <c r="A189" s="471"/>
      <c r="B189" s="471"/>
      <c r="C189" s="2348" t="s">
        <v>271</v>
      </c>
      <c r="D189" s="2347"/>
      <c r="E189" s="2347"/>
      <c r="F189" s="2357"/>
      <c r="G189" s="2357"/>
      <c r="H189" s="3677"/>
      <c r="I189" s="3678"/>
      <c r="N189" s="2356"/>
      <c r="O189" s="2356"/>
      <c r="P189" s="302"/>
    </row>
    <row r="190" spans="1:16" s="293" customFormat="1" ht="12.6" customHeight="1">
      <c r="A190" s="471"/>
      <c r="B190" s="471"/>
      <c r="C190" s="2348" t="s">
        <v>2236</v>
      </c>
      <c r="D190" s="2347"/>
      <c r="E190" s="2347"/>
      <c r="F190" s="2357"/>
      <c r="G190" s="2357"/>
      <c r="H190" s="3679">
        <v>44835</v>
      </c>
      <c r="I190" s="3680"/>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555</v>
      </c>
      <c r="M192" s="319" t="s">
        <v>2193</v>
      </c>
      <c r="N192" s="319" t="s">
        <v>77</v>
      </c>
    </row>
    <row r="193" spans="1:44" ht="409.5" customHeight="1">
      <c r="A193" s="3681" t="s">
        <v>7001</v>
      </c>
      <c r="B193" s="3682"/>
      <c r="C193" s="3682"/>
      <c r="D193" s="3682"/>
      <c r="E193" s="3682"/>
      <c r="F193" s="3682"/>
      <c r="G193" s="3682"/>
      <c r="H193" s="3682"/>
      <c r="I193" s="3682"/>
      <c r="J193" s="3682"/>
      <c r="K193" s="3682"/>
      <c r="L193" s="3683"/>
      <c r="M193" s="3684"/>
      <c r="N193" s="3685"/>
      <c r="O193" s="3685"/>
      <c r="P193" s="368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8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8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8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8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8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8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8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8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8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8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8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8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8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368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8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8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8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8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8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8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8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8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8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8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8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8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8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8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8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8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8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8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8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8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8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8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8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89"/>
      <c r="Q247" s="3687"/>
      <c r="R247" s="1033"/>
      <c r="S247" s="369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87"/>
      <c r="R248" s="1033"/>
      <c r="S248" s="369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87"/>
      <c r="R249" s="1033"/>
      <c r="S249" s="369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87"/>
      <c r="R250" s="1033"/>
      <c r="S250" s="369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8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8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8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89"/>
      <c r="Q255" s="368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8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8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8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8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8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8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8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89"/>
      <c r="Q263" s="368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8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8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8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8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8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8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8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8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8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8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8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8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8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8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8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8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8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8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8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8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8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8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8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8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8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8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8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8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8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8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8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8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8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8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8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8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8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8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8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8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8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89"/>
      <c r="Q305" s="368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8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8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8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8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8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8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8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8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8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8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8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8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8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8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8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8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8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8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8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8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8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8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8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8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8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8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89"/>
      <c r="Q334" s="368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8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8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8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88"/>
      <c r="Q340" s="368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8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8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8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8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8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8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8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8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8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8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8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8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8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8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8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8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8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89"/>
      <c r="Q358" s="368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8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87"/>
      <c r="R360" s="1033"/>
      <c r="S360" s="369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87"/>
      <c r="R361" s="1033"/>
      <c r="S361" s="369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87"/>
      <c r="R362" s="1033"/>
      <c r="S362" s="369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9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89"/>
      <c r="Q364" s="1031"/>
      <c r="R364" s="1033"/>
      <c r="S364" s="369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9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9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8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8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8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8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8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8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8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8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9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9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9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9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9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9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9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9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9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9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9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9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9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9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9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9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9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9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9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9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9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9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9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9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9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9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90" t="s">
        <v>92</v>
      </c>
      <c r="S620" s="3690" t="s">
        <v>94</v>
      </c>
      <c r="T620" s="369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90" t="s">
        <v>2494</v>
      </c>
      <c r="S621" s="3690" t="s">
        <v>610</v>
      </c>
      <c r="T621" s="369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92"/>
      <c r="R622" s="3690" t="s">
        <v>2495</v>
      </c>
      <c r="S622" s="3690" t="s">
        <v>314</v>
      </c>
      <c r="T622" s="369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90" t="s">
        <v>2496</v>
      </c>
      <c r="S623" s="3690" t="s">
        <v>2418</v>
      </c>
      <c r="T623" s="369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90" t="s">
        <v>2497</v>
      </c>
      <c r="S624" s="3690"/>
      <c r="T624" s="369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90" t="s">
        <v>2498</v>
      </c>
      <c r="S625" s="3690" t="s">
        <v>1959</v>
      </c>
      <c r="T625" s="369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90" t="s">
        <v>2499</v>
      </c>
      <c r="S626" s="3690" t="s">
        <v>2418</v>
      </c>
      <c r="T626" s="369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90" t="s">
        <v>2500</v>
      </c>
      <c r="S627" s="3690" t="s">
        <v>1300</v>
      </c>
      <c r="T627" s="369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90" t="s">
        <v>2501</v>
      </c>
      <c r="S628" s="3690" t="s">
        <v>1961</v>
      </c>
      <c r="T628" s="369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90" t="s">
        <v>2502</v>
      </c>
      <c r="S629" s="3690" t="s">
        <v>648</v>
      </c>
      <c r="T629" s="369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90" t="s">
        <v>2503</v>
      </c>
      <c r="S630" s="3690" t="s">
        <v>610</v>
      </c>
      <c r="T630" s="369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90" t="s">
        <v>2504</v>
      </c>
      <c r="S631" s="3690" t="s">
        <v>2121</v>
      </c>
      <c r="T631" s="369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90" t="s">
        <v>2505</v>
      </c>
      <c r="S632" s="3690" t="s">
        <v>2464</v>
      </c>
      <c r="T632" s="369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90" t="s">
        <v>2186</v>
      </c>
      <c r="S633" s="3690" t="s">
        <v>2461</v>
      </c>
      <c r="T633" s="369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90" t="s">
        <v>2506</v>
      </c>
      <c r="S634" s="3690" t="s">
        <v>2121</v>
      </c>
      <c r="T634" s="369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90" t="s">
        <v>2507</v>
      </c>
      <c r="S635" s="3690" t="s">
        <v>2421</v>
      </c>
      <c r="T635" s="369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91"/>
      <c r="R636" s="3690" t="s">
        <v>2508</v>
      </c>
      <c r="S636" s="3690" t="s">
        <v>1959</v>
      </c>
      <c r="T636" s="369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90" t="s">
        <v>1023</v>
      </c>
      <c r="S637" s="3690" t="s">
        <v>1427</v>
      </c>
      <c r="T637" s="369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92"/>
      <c r="R638" s="3690" t="s">
        <v>883</v>
      </c>
      <c r="S638" s="3690" t="s">
        <v>1081</v>
      </c>
      <c r="T638" s="369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90" t="s">
        <v>1024</v>
      </c>
      <c r="S639" s="3690" t="s">
        <v>610</v>
      </c>
      <c r="T639" s="369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90" t="s">
        <v>1025</v>
      </c>
      <c r="S640" s="3690" t="s">
        <v>1863</v>
      </c>
      <c r="T640" s="369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92"/>
      <c r="R641" s="3690" t="s">
        <v>1026</v>
      </c>
      <c r="S641" s="3690" t="s">
        <v>1957</v>
      </c>
      <c r="T641" s="369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90" t="s">
        <v>1027</v>
      </c>
      <c r="S642" s="3690" t="s">
        <v>1074</v>
      </c>
      <c r="T642" s="369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94"/>
      <c r="R643" s="3690" t="s">
        <v>1028</v>
      </c>
      <c r="S643" s="3690" t="s">
        <v>1488</v>
      </c>
      <c r="T643" s="369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90" t="s">
        <v>1029</v>
      </c>
      <c r="S644" s="3690" t="s">
        <v>2418</v>
      </c>
      <c r="T644" s="369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92"/>
      <c r="R645" s="3690" t="s">
        <v>1030</v>
      </c>
      <c r="S645" s="3690" t="s">
        <v>155</v>
      </c>
      <c r="T645" s="369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92"/>
      <c r="R646" s="3690" t="s">
        <v>1031</v>
      </c>
      <c r="S646" s="3690" t="s">
        <v>1307</v>
      </c>
      <c r="T646" s="369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90" t="s">
        <v>1032</v>
      </c>
      <c r="S647" s="3690" t="s">
        <v>1488</v>
      </c>
      <c r="T647" s="369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90" t="s">
        <v>1033</v>
      </c>
      <c r="S648" s="3690" t="s">
        <v>1088</v>
      </c>
      <c r="T648" s="369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90" t="s">
        <v>1034</v>
      </c>
      <c r="S649" s="3690" t="s">
        <v>1957</v>
      </c>
      <c r="T649" s="369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9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90" t="s">
        <v>1035</v>
      </c>
      <c r="S651" s="3690" t="s">
        <v>2421</v>
      </c>
      <c r="T651" s="369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90" t="s">
        <v>1574</v>
      </c>
      <c r="S652" s="3690" t="s">
        <v>2461</v>
      </c>
      <c r="T652" s="369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90" t="s">
        <v>1036</v>
      </c>
      <c r="S653" s="3690"/>
      <c r="T653" s="369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90" t="s">
        <v>180</v>
      </c>
      <c r="S654" s="3690" t="s">
        <v>155</v>
      </c>
      <c r="T654" s="369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90" t="s">
        <v>1037</v>
      </c>
      <c r="S655" s="3690" t="s">
        <v>171</v>
      </c>
      <c r="T655" s="369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90" t="s">
        <v>2226</v>
      </c>
      <c r="S656" s="3690" t="s">
        <v>1180</v>
      </c>
      <c r="T656" s="369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90" t="s">
        <v>1038</v>
      </c>
      <c r="S657" s="3690" t="s">
        <v>610</v>
      </c>
      <c r="T657" s="369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90" t="s">
        <v>1039</v>
      </c>
      <c r="S658" s="3690" t="s">
        <v>610</v>
      </c>
      <c r="T658" s="369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90" t="s">
        <v>1040</v>
      </c>
      <c r="S659" s="3690" t="s">
        <v>610</v>
      </c>
      <c r="T659" s="369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90" t="s">
        <v>1041</v>
      </c>
      <c r="S660" s="3690" t="s">
        <v>610</v>
      </c>
      <c r="T660" s="369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90" t="s">
        <v>1042</v>
      </c>
      <c r="S661" s="3690" t="s">
        <v>1629</v>
      </c>
      <c r="T661" s="369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90" t="s">
        <v>1043</v>
      </c>
      <c r="S662" s="3690" t="s">
        <v>933</v>
      </c>
      <c r="T662" s="369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90" t="s">
        <v>1044</v>
      </c>
      <c r="S663" s="3690" t="s">
        <v>119</v>
      </c>
      <c r="T663" s="369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92"/>
      <c r="R664" s="3690" t="s">
        <v>1045</v>
      </c>
      <c r="S664" s="3690" t="s">
        <v>610</v>
      </c>
      <c r="T664" s="369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90" t="s">
        <v>1046</v>
      </c>
      <c r="S665" s="3690" t="s">
        <v>311</v>
      </c>
      <c r="T665" s="369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90" t="s">
        <v>1047</v>
      </c>
      <c r="S666" s="3690" t="s">
        <v>315</v>
      </c>
      <c r="T666" s="369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90" t="s">
        <v>812</v>
      </c>
      <c r="S667" s="3690" t="s">
        <v>1286</v>
      </c>
      <c r="T667" s="369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90" t="s">
        <v>1048</v>
      </c>
      <c r="S668" s="3690" t="s">
        <v>648</v>
      </c>
      <c r="T668" s="369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90" t="s">
        <v>1049</v>
      </c>
      <c r="S669" s="3690" t="s">
        <v>1488</v>
      </c>
      <c r="T669" s="369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90" t="s">
        <v>1050</v>
      </c>
      <c r="S670" s="3690" t="s">
        <v>610</v>
      </c>
      <c r="T670" s="369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90" t="s">
        <v>1051</v>
      </c>
      <c r="S671" s="3690" t="s">
        <v>640</v>
      </c>
      <c r="T671" s="369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90" t="s">
        <v>1052</v>
      </c>
      <c r="S672" s="3690" t="s">
        <v>155</v>
      </c>
      <c r="T672" s="369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91"/>
      <c r="R673" s="3690" t="s">
        <v>1053</v>
      </c>
      <c r="S673" s="3690" t="s">
        <v>1863</v>
      </c>
      <c r="T673" s="369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92"/>
      <c r="R674" s="3690" t="s">
        <v>1054</v>
      </c>
      <c r="S674" s="3690" t="s">
        <v>1957</v>
      </c>
      <c r="T674" s="369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90" t="s">
        <v>1055</v>
      </c>
      <c r="S675" s="3690" t="s">
        <v>610</v>
      </c>
      <c r="T675" s="369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90" t="s">
        <v>1056</v>
      </c>
      <c r="S676" s="3690" t="s">
        <v>1629</v>
      </c>
      <c r="T676" s="369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92"/>
      <c r="R677" s="3690" t="s">
        <v>1057</v>
      </c>
      <c r="S677" s="3690" t="s">
        <v>2421</v>
      </c>
      <c r="T677" s="369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90" t="s">
        <v>1058</v>
      </c>
      <c r="S678" s="3690" t="s">
        <v>155</v>
      </c>
      <c r="T678" s="369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90" t="s">
        <v>1059</v>
      </c>
      <c r="S679" s="3690" t="s">
        <v>155</v>
      </c>
      <c r="T679" s="369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9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9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9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9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9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9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9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9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9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9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9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9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9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9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9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ut4bFyCQ4TjUYGpUv9vvhQCcQupK1SdmdtS+FP/+Ci5O0tw7wuutUKMjMU6mGv5P72J1dHElDtVDwGmDzp8hg==" saltValue="dj7R+mOaXtWo54ZD5etrCg==" spinCount="100000" sheet="1" objects="1" scenarios="1" selectLockedCells="1" selectUnlockedCells="1"/>
  <mergeCells count="177">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M82:P82"/>
    <mergeCell ref="F49:G49"/>
    <mergeCell ref="I49:K49"/>
    <mergeCell ref="M49:P49"/>
    <mergeCell ref="F43:G43"/>
    <mergeCell ref="A1:P1"/>
    <mergeCell ref="O6:P6"/>
    <mergeCell ref="I9:J9"/>
    <mergeCell ref="O9:P9"/>
    <mergeCell ref="F11:H11"/>
    <mergeCell ref="O11:P11"/>
    <mergeCell ref="F22:H22"/>
    <mergeCell ref="M21:P22"/>
    <mergeCell ref="J20:L20"/>
    <mergeCell ref="A3:P3"/>
    <mergeCell ref="B6:D8"/>
    <mergeCell ref="O12:P12"/>
    <mergeCell ref="N20:P20"/>
    <mergeCell ref="F15:I15"/>
    <mergeCell ref="N14:P14"/>
    <mergeCell ref="L15:M15"/>
    <mergeCell ref="N16:P16"/>
    <mergeCell ref="F20:H20"/>
    <mergeCell ref="F21:L21"/>
    <mergeCell ref="K87:L87"/>
    <mergeCell ref="K90:L90"/>
    <mergeCell ref="H105:I105"/>
    <mergeCell ref="E109:L109"/>
    <mergeCell ref="K94:M94"/>
    <mergeCell ref="J38:K38"/>
    <mergeCell ref="F34:K34"/>
    <mergeCell ref="O37:P37"/>
    <mergeCell ref="F38:H38"/>
    <mergeCell ref="O34:P34"/>
    <mergeCell ref="F35:K35"/>
    <mergeCell ref="O35:P35"/>
    <mergeCell ref="M109:N109"/>
    <mergeCell ref="O109:P109"/>
    <mergeCell ref="K84:K85"/>
    <mergeCell ref="H82:I82"/>
    <mergeCell ref="K82:L82"/>
    <mergeCell ref="F46:K46"/>
    <mergeCell ref="M46:P46"/>
    <mergeCell ref="F47:H47"/>
    <mergeCell ref="J47:K47"/>
    <mergeCell ref="F48:K48"/>
    <mergeCell ref="M48:P48"/>
    <mergeCell ref="K78:P80"/>
    <mergeCell ref="E112:G112"/>
    <mergeCell ref="I112:K112"/>
    <mergeCell ref="M112:P112"/>
    <mergeCell ref="E113:G113"/>
    <mergeCell ref="I113:J113"/>
    <mergeCell ref="L113:P113"/>
    <mergeCell ref="E110:L110"/>
    <mergeCell ref="M110:N110"/>
    <mergeCell ref="O110:P110"/>
    <mergeCell ref="E111:G111"/>
    <mergeCell ref="K111:L111"/>
    <mergeCell ref="O111:P111"/>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Q193:U194"/>
    <mergeCell ref="L176:M176"/>
    <mergeCell ref="L177:M177"/>
    <mergeCell ref="N181:O181"/>
    <mergeCell ref="O183:P183"/>
    <mergeCell ref="O185:P185"/>
    <mergeCell ref="H188:I188"/>
    <mergeCell ref="A193:L193"/>
    <mergeCell ref="M193:P193"/>
    <mergeCell ref="H189:I189"/>
    <mergeCell ref="H190:I190"/>
    <mergeCell ref="O184:P184"/>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F23:H23"/>
    <mergeCell ref="F24:K24"/>
    <mergeCell ref="J23:K23"/>
    <mergeCell ref="O23:P23"/>
    <mergeCell ref="O24:P24"/>
    <mergeCell ref="G37:H37"/>
    <mergeCell ref="J37:K37"/>
    <mergeCell ref="F30:K30"/>
    <mergeCell ref="O30:P30"/>
    <mergeCell ref="F29:H29"/>
    <mergeCell ref="J29:K29"/>
    <mergeCell ref="O29:P29"/>
    <mergeCell ref="J26:L26"/>
    <mergeCell ref="N26:P26"/>
    <mergeCell ref="F36:K36"/>
    <mergeCell ref="F27:L27"/>
    <mergeCell ref="M27:P28"/>
    <mergeCell ref="F28:H28"/>
    <mergeCell ref="F26:H26"/>
    <mergeCell ref="C160:F161"/>
    <mergeCell ref="J168:K168"/>
    <mergeCell ref="M170:O170"/>
    <mergeCell ref="C137:E137"/>
    <mergeCell ref="F137:I137"/>
    <mergeCell ref="J137:L137"/>
    <mergeCell ref="M137:P137"/>
    <mergeCell ref="O38:P38"/>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75" t="s">
        <v>2975</v>
      </c>
      <c r="B1" s="3275"/>
      <c r="C1" s="3275"/>
      <c r="D1" s="3275"/>
      <c r="E1" s="3275"/>
      <c r="F1" s="3275"/>
      <c r="G1" s="3275"/>
      <c r="H1" s="3275"/>
      <c r="I1" s="3275"/>
      <c r="J1" s="3275"/>
      <c r="K1" s="3275"/>
    </row>
    <row r="2" spans="1:11" ht="15.6">
      <c r="A2" s="3289" t="str">
        <f>'Sensitivity Analysis'!C8</f>
        <v>Dulles Park II</v>
      </c>
      <c r="B2" s="3289"/>
      <c r="C2" s="3289"/>
      <c r="D2" s="3289"/>
      <c r="E2" s="3289"/>
      <c r="F2" s="3289"/>
      <c r="G2" s="3289"/>
      <c r="H2" s="3289"/>
      <c r="I2" s="3289"/>
      <c r="J2" s="3289"/>
      <c r="K2" s="3289"/>
    </row>
    <row r="3" spans="1:11" ht="9" customHeight="1">
      <c r="A3" s="731"/>
      <c r="B3" s="731"/>
      <c r="C3" s="731"/>
    </row>
    <row r="4" spans="1:11" ht="17.399999999999999">
      <c r="A4" s="732" t="s">
        <v>3421</v>
      </c>
      <c r="B4" s="731"/>
      <c r="C4" s="731"/>
      <c r="K4" s="733"/>
    </row>
    <row r="5" spans="1:11" s="688" customFormat="1" ht="42" customHeight="1">
      <c r="C5" s="3276" t="s">
        <v>4100</v>
      </c>
      <c r="D5" s="3277"/>
      <c r="E5" s="3278"/>
      <c r="F5" s="538"/>
      <c r="G5" s="3276" t="s">
        <v>4101</v>
      </c>
      <c r="H5" s="3277"/>
      <c r="I5" s="3278"/>
      <c r="J5" s="730"/>
      <c r="K5" s="3287" t="s">
        <v>4102</v>
      </c>
    </row>
    <row r="6" spans="1:11" s="735" customFormat="1" ht="15" customHeight="1">
      <c r="A6" s="734" t="s">
        <v>2633</v>
      </c>
      <c r="C6" s="736" t="s">
        <v>3406</v>
      </c>
      <c r="D6" s="736" t="s">
        <v>4103</v>
      </c>
      <c r="E6" s="736" t="s">
        <v>1942</v>
      </c>
      <c r="G6" s="736" t="s">
        <v>3407</v>
      </c>
      <c r="H6" s="736" t="s">
        <v>4104</v>
      </c>
      <c r="I6" s="736" t="s">
        <v>1942</v>
      </c>
      <c r="K6" s="3288"/>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14</v>
      </c>
      <c r="E8" s="740">
        <f>C8*D8</f>
        <v>0</v>
      </c>
      <c r="G8" s="738"/>
      <c r="H8" s="739">
        <f>'Part VI-Revenues &amp; Expenses'!$L$67</f>
        <v>14</v>
      </c>
      <c r="I8" s="740">
        <f>G8*H8</f>
        <v>0</v>
      </c>
      <c r="K8" s="737" t="s">
        <v>3408</v>
      </c>
    </row>
    <row r="9" spans="1:11" s="538" customFormat="1" ht="13.5" customHeight="1">
      <c r="A9" s="538" t="s">
        <v>2632</v>
      </c>
      <c r="C9" s="738"/>
      <c r="D9" s="1184">
        <f>'Part VI-Revenues &amp; Expenses'!$M$63</f>
        <v>34</v>
      </c>
      <c r="E9" s="740">
        <f>C9*D9</f>
        <v>0</v>
      </c>
      <c r="G9" s="738"/>
      <c r="H9" s="739">
        <f>'Part VI-Revenues &amp; Expenses'!$M$67</f>
        <v>34</v>
      </c>
      <c r="I9" s="740">
        <f>G9*H9</f>
        <v>0</v>
      </c>
      <c r="K9" s="1191">
        <f>'Part IV-A-Uses of Funds'!$G$132</f>
        <v>10740700</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79" t="s">
        <v>3413</v>
      </c>
    </row>
    <row r="12" spans="1:11" ht="13.5" customHeight="1" thickBot="1">
      <c r="A12" s="746" t="s">
        <v>3380</v>
      </c>
      <c r="D12" s="777">
        <f>SUM(D7:D11)</f>
        <v>48</v>
      </c>
      <c r="E12" s="747"/>
      <c r="G12" s="746" t="s">
        <v>1749</v>
      </c>
      <c r="H12" s="1190">
        <f>SUM(H7:H11)</f>
        <v>48</v>
      </c>
      <c r="I12" s="747"/>
      <c r="K12" s="3280"/>
    </row>
    <row r="13" spans="1:11" s="538" customFormat="1" ht="13.5" customHeight="1" thickBot="1">
      <c r="A13" s="746" t="s">
        <v>2977</v>
      </c>
      <c r="B13" s="748"/>
      <c r="E13" s="749">
        <f>SUM(E7:E11)</f>
        <v>0</v>
      </c>
      <c r="G13" s="746" t="s">
        <v>3211</v>
      </c>
      <c r="H13" s="748"/>
      <c r="I13" s="750">
        <f>SUM(I7:I11)</f>
        <v>0</v>
      </c>
      <c r="K13" s="1191">
        <f>'Part VIII-Threshold Criteria'!$P$63</f>
        <v>10239777.099999998</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3891</v>
      </c>
      <c r="F18" s="1193"/>
      <c r="G18" s="1193"/>
      <c r="H18" s="1193"/>
      <c r="I18" s="1193"/>
      <c r="K18" s="1169">
        <f>'Sensitivity Analysis'!$E$13</f>
        <v>48</v>
      </c>
    </row>
    <row r="19" spans="1:11" s="538" customFormat="1" ht="13.5" customHeight="1">
      <c r="A19" s="538" t="s">
        <v>2978</v>
      </c>
      <c r="E19" s="1187"/>
      <c r="K19" s="606">
        <f>'Sensitivity Analysis'!$C$13</f>
        <v>48</v>
      </c>
    </row>
    <row r="20" spans="1:11" ht="3" customHeight="1">
      <c r="A20" s="752"/>
      <c r="E20" s="1188"/>
    </row>
    <row r="21" spans="1:11" s="538" customFormat="1" ht="13.5" customHeight="1">
      <c r="A21" s="538" t="s">
        <v>2979</v>
      </c>
      <c r="E21" s="1186" t="s">
        <v>3411</v>
      </c>
      <c r="K21" s="753">
        <f>K18/K19</f>
        <v>1</v>
      </c>
    </row>
    <row r="22" spans="1:11" ht="6.75" customHeight="1">
      <c r="E22" s="1188"/>
    </row>
    <row r="23" spans="1:11" s="538" customFormat="1" ht="13.5" customHeight="1">
      <c r="A23" s="538" t="s">
        <v>3379</v>
      </c>
      <c r="C23" s="754"/>
      <c r="E23" s="1186" t="s">
        <v>2982</v>
      </c>
      <c r="K23" s="606">
        <f>K9</f>
        <v>10740700</v>
      </c>
    </row>
    <row r="24" spans="1:11" s="538" customFormat="1" ht="13.5" customHeight="1">
      <c r="A24" s="755" t="s">
        <v>1716</v>
      </c>
      <c r="E24" s="1187"/>
      <c r="K24" s="741">
        <f>'Part IV-A-Uses of Funds'!$G$122</f>
        <v>110634</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10630066</v>
      </c>
    </row>
    <row r="29" spans="1:11" ht="6.75" customHeight="1">
      <c r="A29" s="752"/>
      <c r="E29" s="1188"/>
      <c r="K29" s="760"/>
    </row>
    <row r="30" spans="1:11" s="538" customFormat="1" ht="15" customHeight="1">
      <c r="A30" s="748" t="s">
        <v>2985</v>
      </c>
      <c r="E30" s="1186" t="s">
        <v>3416</v>
      </c>
      <c r="F30" s="761"/>
      <c r="G30" s="761"/>
      <c r="H30" s="761"/>
      <c r="I30" s="761"/>
      <c r="K30" s="762">
        <f>K21*K28</f>
        <v>10630066</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81" t="s">
        <v>3414</v>
      </c>
      <c r="B38" s="3281"/>
      <c r="C38" s="3281"/>
      <c r="D38" s="3282" t="s">
        <v>2980</v>
      </c>
      <c r="E38" s="3282"/>
      <c r="F38" s="3282" t="s">
        <v>2981</v>
      </c>
      <c r="G38" s="3282"/>
      <c r="H38" s="3282"/>
      <c r="I38" s="1239" t="s">
        <v>2731</v>
      </c>
      <c r="K38" s="3283">
        <f>ROUND((D39/F39)*I39,0)</f>
        <v>0</v>
      </c>
    </row>
    <row r="39" spans="1:11" s="538" customFormat="1" ht="15.75" customHeight="1" thickBot="1">
      <c r="A39" s="3281"/>
      <c r="B39" s="3281"/>
      <c r="C39" s="3281"/>
      <c r="D39" s="3285">
        <f>K36</f>
        <v>0</v>
      </c>
      <c r="E39" s="3285"/>
      <c r="F39" s="3286">
        <f>K28</f>
        <v>10630066</v>
      </c>
      <c r="G39" s="3286"/>
      <c r="H39" s="3286"/>
      <c r="I39" s="769">
        <f>K19</f>
        <v>48</v>
      </c>
      <c r="K39" s="3284"/>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90" t="str">
        <f>CONCATENATE('Sensitivity Analysis'!E8,"  ",'Sensitivity Analysis'!C8)</f>
        <v>2020-059  Dulles Park II</v>
      </c>
      <c r="B1" s="3290"/>
      <c r="C1" s="3290"/>
      <c r="D1" s="3290"/>
      <c r="E1" s="3290"/>
      <c r="F1" s="3290"/>
      <c r="G1" s="3290"/>
      <c r="H1" s="3290"/>
    </row>
    <row r="3" spans="1:13" ht="12" customHeight="1">
      <c r="A3" s="3291" t="s">
        <v>3382</v>
      </c>
      <c r="B3" s="3291"/>
      <c r="C3" s="3291"/>
      <c r="D3" s="3291"/>
      <c r="E3" s="3291"/>
      <c r="F3" s="3291"/>
      <c r="G3" s="3291"/>
      <c r="H3" s="3291"/>
      <c r="I3" s="1243"/>
      <c r="J3" s="3293" t="s">
        <v>3892</v>
      </c>
      <c r="K3" s="3293"/>
      <c r="L3" s="803"/>
      <c r="M3" s="803"/>
    </row>
    <row r="4" spans="1:13">
      <c r="J4" s="3293"/>
      <c r="K4" s="3293"/>
    </row>
    <row r="5" spans="1:13" ht="12" customHeight="1">
      <c r="A5" s="730">
        <v>1</v>
      </c>
      <c r="C5" s="730" t="s">
        <v>2987</v>
      </c>
      <c r="E5" s="785" t="str">
        <f>'Sensitivity Analysis'!H9</f>
        <v>Dulles Park II, LP</v>
      </c>
      <c r="J5" s="3293"/>
      <c r="K5" s="3293"/>
    </row>
    <row r="6" spans="1:13" ht="3" customHeight="1">
      <c r="H6" s="747"/>
      <c r="J6" s="3293"/>
      <c r="K6" s="3293"/>
    </row>
    <row r="7" spans="1:13" ht="12" customHeight="1">
      <c r="A7" s="730">
        <v>2</v>
      </c>
      <c r="C7" s="730" t="s">
        <v>2988</v>
      </c>
      <c r="E7" s="785" t="str">
        <f>'Part II-Development Team'!H6</f>
        <v>1820 The Exchange SE #350</v>
      </c>
      <c r="J7" s="3293"/>
      <c r="K7" s="3293"/>
    </row>
    <row r="8" spans="1:13" ht="12" customHeight="1">
      <c r="E8" s="785" t="str">
        <f>+'Part II-Development Team'!H7&amp;","&amp;" "&amp;'Part II-Development Team'!H8&amp;" "&amp;LEFT('Part II-Development Team'!J8,5)</f>
        <v>Atlanta, GA 30339</v>
      </c>
      <c r="J8" s="3293"/>
      <c r="K8" s="3293"/>
    </row>
    <row r="9" spans="1:13" ht="12" customHeight="1">
      <c r="C9" s="730" t="s">
        <v>2989</v>
      </c>
      <c r="E9" s="3292">
        <f>'Part II-Development Team'!L7</f>
        <v>0</v>
      </c>
      <c r="F9" s="3292"/>
      <c r="J9" s="3293"/>
      <c r="K9" s="3293"/>
    </row>
    <row r="10" spans="1:13" ht="12" customHeight="1">
      <c r="C10" s="730" t="s">
        <v>2990</v>
      </c>
      <c r="E10" s="785" t="str">
        <f>'Part II-Development Team'!Q5</f>
        <v>Roya Collins</v>
      </c>
    </row>
    <row r="11" spans="1:13" ht="12" customHeight="1">
      <c r="C11" s="730" t="s">
        <v>3897</v>
      </c>
      <c r="E11" s="785" t="str">
        <f>'Part II-Development Team'!L9</f>
        <v>roya@potemkindevelopment.com</v>
      </c>
    </row>
    <row r="12" spans="1:13" ht="12" customHeight="1">
      <c r="C12" s="730" t="s">
        <v>3893</v>
      </c>
      <c r="E12" s="1244">
        <f>'Part II-Development Team'!H9</f>
        <v>4043344590</v>
      </c>
    </row>
    <row r="13" spans="1:13" ht="12" customHeight="1">
      <c r="C13" s="730" t="s">
        <v>3896</v>
      </c>
      <c r="E13" s="1244">
        <f>'Part II-Development Team'!Q7</f>
        <v>4043344590</v>
      </c>
    </row>
    <row r="14" spans="1:13" ht="3" customHeight="1"/>
    <row r="15" spans="1:13" ht="12" customHeight="1">
      <c r="A15" s="730">
        <v>3</v>
      </c>
      <c r="C15" s="730" t="s">
        <v>2991</v>
      </c>
      <c r="E15" s="785" t="str">
        <f>'Sensitivity Analysis'!C8</f>
        <v>Dulles Park II</v>
      </c>
    </row>
    <row r="16" spans="1:13" ht="12" customHeight="1">
      <c r="C16" s="730" t="s">
        <v>2992</v>
      </c>
      <c r="E16" s="785" t="str">
        <f>'Part I-Project Information'!$F$35</f>
        <v>226 Old Clinton Road</v>
      </c>
    </row>
    <row r="17" spans="1:8" ht="12" customHeight="1">
      <c r="E17" s="785" t="str">
        <f>+'Part I-Project Information'!$F$38&amp;","&amp;" GA "&amp;LEFT('Part I-Project Information'!$J$38,5)</f>
        <v>Gray, GA 31032</v>
      </c>
    </row>
    <row r="18" spans="1:8" ht="3" customHeight="1"/>
    <row r="19" spans="1:8" ht="12" customHeight="1">
      <c r="A19" s="730">
        <v>4</v>
      </c>
      <c r="C19" s="730" t="s">
        <v>2993</v>
      </c>
      <c r="E19" s="785" t="str">
        <f>'Part II-Development Team'!H92</f>
        <v>TMC Management and Realty, Inc</v>
      </c>
    </row>
    <row r="20" spans="1:8" ht="12" customHeight="1">
      <c r="C20" s="730" t="s">
        <v>2994</v>
      </c>
      <c r="E20" s="785" t="str">
        <f>'Part II-Development Team'!H93</f>
        <v>1341 Cassville Road, N.W.</v>
      </c>
    </row>
    <row r="21" spans="1:8" ht="12" customHeight="1">
      <c r="E21" s="785" t="str">
        <f>+'Part II-Development Team'!H94&amp;","&amp;" "&amp;'Part II-Development Team'!H95&amp;" "&amp;LEFT('Part II-Development Team'!L95,5)</f>
        <v>Cartersville, GA 30120</v>
      </c>
    </row>
    <row r="22" spans="1:8" ht="12" customHeight="1">
      <c r="C22" s="730" t="s">
        <v>3893</v>
      </c>
      <c r="E22" s="1244">
        <f>'Part II-Development Team'!H96</f>
        <v>7703862921</v>
      </c>
    </row>
    <row r="23" spans="1:8" ht="12" customHeight="1">
      <c r="C23" s="730" t="s">
        <v>3896</v>
      </c>
      <c r="E23" s="1244">
        <f>'Part II-Development Team'!Q94</f>
        <v>7703862921</v>
      </c>
    </row>
    <row r="24" spans="1:8" ht="12" customHeight="1">
      <c r="C24" s="730" t="s">
        <v>3897</v>
      </c>
      <c r="E24" s="1244" t="str">
        <f>'Part II-Development Team'!L96</f>
        <v>Brenda@tmcmgt.com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7367897</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Potemkin-Dulles II, LLC</v>
      </c>
    </row>
    <row r="48" spans="1:7" ht="3" customHeight="1">
      <c r="E48" s="785"/>
    </row>
    <row r="49" spans="1:7" ht="12" customHeight="1">
      <c r="A49" s="730">
        <v>15</v>
      </c>
      <c r="C49" s="730" t="s">
        <v>3899</v>
      </c>
      <c r="E49" s="785" t="str">
        <f>'Part II-Development Team'!Q98</f>
        <v>Scott Spivey</v>
      </c>
      <c r="G49" s="785" t="str">
        <f>'Part II-Development Team'!H98</f>
        <v>Spivey, Pope, Green &amp; Greer</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48</v>
      </c>
    </row>
    <row r="53" spans="1:7" ht="3" customHeight="1">
      <c r="F53" s="775"/>
    </row>
    <row r="54" spans="1:7" ht="12" customHeight="1">
      <c r="A54" s="803">
        <v>17</v>
      </c>
      <c r="B54" s="803"/>
      <c r="C54" s="803" t="s">
        <v>3013</v>
      </c>
      <c r="D54" s="803"/>
      <c r="E54" s="803"/>
      <c r="F54" s="1251">
        <f>'HOME Allocation Limit WS'!K18</f>
        <v>48</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Dulles Park II,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110634</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55317</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308" t="s">
        <v>3213</v>
      </c>
      <c r="B1" s="3308"/>
      <c r="C1" s="3308"/>
      <c r="D1" s="3308"/>
      <c r="E1" s="3308"/>
      <c r="F1" s="3308"/>
      <c r="G1" s="3308"/>
      <c r="H1" s="3308"/>
      <c r="I1" s="3308"/>
      <c r="J1" s="3308"/>
    </row>
    <row r="2" spans="1:13" ht="13.8">
      <c r="A2" s="3308" t="str">
        <f>'Sensitivity Analysis'!E8&amp;"  "&amp;'Sensitivity Analysis'!C8</f>
        <v>2020-059  Dulles Park II</v>
      </c>
      <c r="B2" s="3308"/>
      <c r="C2" s="3308"/>
      <c r="D2" s="3308"/>
      <c r="E2" s="3308"/>
      <c r="F2" s="3308"/>
      <c r="G2" s="3308"/>
      <c r="H2" s="3308"/>
      <c r="I2" s="3308"/>
      <c r="J2" s="3308"/>
    </row>
    <row r="3" spans="1:13" ht="6" customHeight="1">
      <c r="K3" s="3293" t="s">
        <v>3892</v>
      </c>
      <c r="L3" s="3293"/>
      <c r="M3" s="3293"/>
    </row>
    <row r="4" spans="1:13" ht="12" customHeight="1">
      <c r="A4" s="771" t="s">
        <v>3026</v>
      </c>
      <c r="K4" s="3293"/>
      <c r="L4" s="3293"/>
      <c r="M4" s="3293"/>
    </row>
    <row r="5" spans="1:13" ht="12" customHeight="1">
      <c r="A5" s="730" t="s">
        <v>3027</v>
      </c>
      <c r="C5" s="772" t="str">
        <f>'Subsidy Layering Memo'!D6</f>
        <v>(Underwriter)</v>
      </c>
      <c r="I5" s="772"/>
      <c r="K5" s="3293"/>
      <c r="L5" s="3293"/>
      <c r="M5" s="3293"/>
    </row>
    <row r="6" spans="1:13" ht="6" customHeight="1">
      <c r="C6" s="667"/>
      <c r="D6" s="772"/>
      <c r="I6" s="772"/>
      <c r="K6" s="3293"/>
      <c r="L6" s="3293"/>
      <c r="M6" s="3293"/>
    </row>
    <row r="7" spans="1:13" ht="12" customHeight="1">
      <c r="A7" s="771" t="s">
        <v>3028</v>
      </c>
      <c r="C7" s="667"/>
      <c r="D7" s="772"/>
      <c r="I7" s="772"/>
      <c r="K7" s="3293"/>
      <c r="L7" s="3293"/>
      <c r="M7" s="3293"/>
    </row>
    <row r="8" spans="1:13" ht="12" customHeight="1">
      <c r="A8" s="730" t="s">
        <v>3029</v>
      </c>
      <c r="C8" s="772" t="str">
        <f>'Sensitivity Analysis'!$H$9</f>
        <v>Dulles Park II, LP</v>
      </c>
      <c r="I8" s="772"/>
      <c r="K8" s="3293"/>
      <c r="L8" s="3293"/>
      <c r="M8" s="3293"/>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301"/>
      <c r="E13" s="3301"/>
      <c r="F13" s="3301"/>
      <c r="G13" s="3301"/>
      <c r="H13" s="3301"/>
      <c r="I13" s="3301"/>
      <c r="J13" s="3301"/>
    </row>
    <row r="14" spans="1:13" ht="3" customHeight="1">
      <c r="G14" s="667"/>
      <c r="H14" s="772"/>
      <c r="I14" s="772"/>
    </row>
    <row r="15" spans="1:13" ht="12" customHeight="1">
      <c r="A15" s="730" t="s">
        <v>3032</v>
      </c>
      <c r="C15" s="774" t="str">
        <f>'Preview term'!E10</f>
        <v>Roya Collins</v>
      </c>
      <c r="G15" s="667"/>
      <c r="I15" s="772"/>
    </row>
    <row r="16" spans="1:13" ht="12" customHeight="1">
      <c r="A16" s="785" t="s">
        <v>4105</v>
      </c>
      <c r="C16" s="774" t="str">
        <f>'Part II-Development Team'!Q6</f>
        <v>Member</v>
      </c>
      <c r="G16" s="667"/>
      <c r="I16" s="772"/>
    </row>
    <row r="17" spans="1:9" ht="3" customHeight="1">
      <c r="G17" s="667"/>
      <c r="H17" s="772"/>
      <c r="I17" s="772"/>
    </row>
    <row r="18" spans="1:9" ht="12" customHeight="1">
      <c r="A18" s="730" t="s">
        <v>3033</v>
      </c>
      <c r="C18" s="774" t="str">
        <f>'Preview term'!$E$7</f>
        <v>1820 The Exchange SE #350</v>
      </c>
      <c r="G18" s="667"/>
      <c r="I18" s="772"/>
    </row>
    <row r="19" spans="1:9" ht="12" customHeight="1">
      <c r="C19" s="774" t="str">
        <f>'Preview term'!$E$8</f>
        <v>Atlanta, GA 30339</v>
      </c>
      <c r="G19" s="667"/>
      <c r="I19" s="772"/>
    </row>
    <row r="20" spans="1:9" ht="3" customHeight="1">
      <c r="G20" s="667"/>
      <c r="H20" s="772"/>
      <c r="I20" s="772"/>
    </row>
    <row r="21" spans="1:9" ht="12" customHeight="1">
      <c r="A21" s="730" t="s">
        <v>3034</v>
      </c>
      <c r="C21" s="774" t="str">
        <f>CONCATENATE('Preview term'!E49," of  ",'Preview term'!G49)</f>
        <v>Scott Spivey of  Spivey, Pope, Green &amp; Greer</v>
      </c>
      <c r="G21" s="667"/>
      <c r="I21" s="772"/>
    </row>
    <row r="22" spans="1:9" ht="3" customHeight="1">
      <c r="C22" s="774"/>
      <c r="G22" s="667"/>
      <c r="I22" s="772"/>
    </row>
    <row r="23" spans="1:9" ht="12" customHeight="1">
      <c r="A23" s="730" t="s">
        <v>3035</v>
      </c>
      <c r="C23" s="774">
        <f>'Preview term'!E12</f>
        <v>4043344590</v>
      </c>
      <c r="G23" s="667"/>
      <c r="I23" s="772"/>
    </row>
    <row r="24" spans="1:9" ht="3" customHeight="1">
      <c r="C24" s="774"/>
      <c r="G24" s="667"/>
      <c r="I24" s="772"/>
    </row>
    <row r="25" spans="1:9" ht="12" customHeight="1">
      <c r="A25" s="730" t="s">
        <v>3036</v>
      </c>
      <c r="C25" s="1198" t="str">
        <f>'Preview term'!E11</f>
        <v>roya@potemkindevelopment.com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Dulles Park II</v>
      </c>
      <c r="I28" s="772"/>
    </row>
    <row r="29" spans="1:9" ht="3" customHeight="1">
      <c r="C29" s="774"/>
      <c r="I29" s="772"/>
    </row>
    <row r="30" spans="1:9" ht="12" customHeight="1">
      <c r="A30" s="730" t="s">
        <v>3039</v>
      </c>
      <c r="C30" s="774" t="str">
        <f>'Preview term'!E16</f>
        <v>226 Old Clinton Road</v>
      </c>
      <c r="I30" s="772"/>
    </row>
    <row r="31" spans="1:9">
      <c r="C31" s="772" t="str">
        <f>'Preview term'!E17</f>
        <v>Gray, GA 31032</v>
      </c>
      <c r="I31" s="772"/>
    </row>
    <row r="32" spans="1:9" ht="3" customHeight="1">
      <c r="C32" s="667"/>
      <c r="D32" s="667"/>
      <c r="I32" s="667"/>
    </row>
    <row r="33" spans="1:10" ht="12" customHeight="1">
      <c r="A33" s="730" t="s">
        <v>3040</v>
      </c>
      <c r="C33" s="667" t="s">
        <v>3041</v>
      </c>
      <c r="D33" s="1197">
        <f>'Preview term'!F54</f>
        <v>48</v>
      </c>
      <c r="I33" s="667"/>
    </row>
    <row r="34" spans="1:10" ht="12" customHeight="1">
      <c r="C34" s="667" t="s">
        <v>3042</v>
      </c>
      <c r="D34" s="776">
        <f>'HOME Allocation Limit WS'!H12-'HOME Allocation Limit WS'!D12</f>
        <v>0</v>
      </c>
      <c r="I34" s="667"/>
    </row>
    <row r="35" spans="1:10" ht="12" customHeight="1">
      <c r="C35" s="667" t="s">
        <v>3043</v>
      </c>
      <c r="D35" s="777">
        <f>SUM(D33:D34)</f>
        <v>48</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309"/>
      <c r="D39" s="3309"/>
      <c r="E39" s="3309"/>
      <c r="F39" s="3309"/>
      <c r="G39" s="3309"/>
      <c r="H39" s="3309"/>
      <c r="I39" s="3309"/>
      <c r="J39" s="3309"/>
    </row>
    <row r="40" spans="1:10" ht="3" customHeight="1">
      <c r="G40" s="667"/>
      <c r="H40" s="667"/>
      <c r="I40" s="667"/>
    </row>
    <row r="41" spans="1:10" ht="25.5" customHeight="1">
      <c r="A41" s="779" t="s">
        <v>3047</v>
      </c>
      <c r="C41" s="3310" t="s">
        <v>3386</v>
      </c>
      <c r="D41" s="3310"/>
      <c r="E41" s="3310"/>
      <c r="F41" s="3310"/>
      <c r="G41" s="3310"/>
      <c r="H41" s="3310"/>
      <c r="I41" s="3310"/>
      <c r="J41" s="3310"/>
    </row>
    <row r="42" spans="1:10" ht="3" customHeight="1">
      <c r="C42" s="536"/>
      <c r="D42" s="536"/>
      <c r="E42" s="536"/>
      <c r="F42" s="536"/>
      <c r="G42" s="536"/>
      <c r="H42" s="537"/>
      <c r="I42" s="538"/>
      <c r="J42" s="537"/>
    </row>
    <row r="43" spans="1:10" ht="12" customHeight="1">
      <c r="A43" s="730" t="s">
        <v>3048</v>
      </c>
      <c r="C43" s="604" t="str">
        <f>'Part I-Project Information'!J39</f>
        <v>Jones</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310" t="s">
        <v>558</v>
      </c>
      <c r="D49" s="3310"/>
      <c r="E49" s="3310"/>
      <c r="F49" s="3310"/>
      <c r="G49" s="3310"/>
      <c r="H49" s="3310"/>
      <c r="I49" s="3310"/>
      <c r="J49" s="3310"/>
    </row>
    <row r="50" spans="1:10" ht="12" customHeight="1">
      <c r="C50" s="3305" t="s">
        <v>1762</v>
      </c>
      <c r="D50" s="3305"/>
      <c r="E50" s="3305"/>
      <c r="F50" s="3305"/>
      <c r="G50" s="3305"/>
      <c r="H50" s="3305"/>
      <c r="I50" s="3305"/>
      <c r="J50" s="3305"/>
    </row>
    <row r="51" spans="1:10" ht="3" customHeight="1">
      <c r="D51" s="782"/>
      <c r="E51" s="782"/>
      <c r="F51" s="782"/>
      <c r="G51" s="783"/>
      <c r="H51" s="667"/>
      <c r="I51" s="782"/>
      <c r="J51" s="782"/>
    </row>
    <row r="52" spans="1:10" ht="12" customHeight="1">
      <c r="A52" s="779" t="s">
        <v>3052</v>
      </c>
      <c r="B52" s="779"/>
      <c r="C52" s="784" t="s">
        <v>3053</v>
      </c>
      <c r="D52" s="784" t="s">
        <v>3387</v>
      </c>
      <c r="E52" s="3306"/>
      <c r="F52" s="3306"/>
      <c r="G52" s="3306"/>
      <c r="H52" s="3306"/>
      <c r="I52" s="3306"/>
      <c r="J52" s="3306"/>
    </row>
    <row r="53" spans="1:10" ht="12" customHeight="1">
      <c r="A53" s="779"/>
      <c r="B53" s="779"/>
      <c r="C53" s="779"/>
      <c r="D53" s="784" t="s">
        <v>3388</v>
      </c>
      <c r="E53" s="3307"/>
      <c r="F53" s="3307"/>
      <c r="G53" s="3307"/>
      <c r="H53" s="3307"/>
      <c r="I53" s="3307"/>
      <c r="J53" s="3307"/>
    </row>
    <row r="54" spans="1:10" ht="12" customHeight="1">
      <c r="A54" s="771" t="s">
        <v>3054</v>
      </c>
      <c r="G54" s="667"/>
      <c r="H54" s="667"/>
      <c r="I54" s="667"/>
    </row>
    <row r="55" spans="1:10" ht="18" customHeight="1">
      <c r="A55" s="730" t="s">
        <v>3055</v>
      </c>
      <c r="C55" s="773" t="str">
        <f>'Sensitivity Analysis'!C10</f>
        <v>Potemkin-Dulles II,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7367897</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301"/>
      <c r="E68" s="3301"/>
      <c r="F68" s="3301"/>
      <c r="G68" s="3301"/>
      <c r="H68" s="3301"/>
      <c r="I68" s="3301"/>
      <c r="J68" s="3301"/>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t="str">
        <f>'Part VII-Pro Forma'!K71</f>
        <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Sterling Bank</v>
      </c>
      <c r="I92" s="667"/>
    </row>
    <row r="93" spans="1:9" ht="12" customHeight="1">
      <c r="C93" s="799"/>
      <c r="D93" s="667"/>
      <c r="E93" s="785" t="s">
        <v>1753</v>
      </c>
      <c r="F93" s="3296"/>
      <c r="G93" s="3296"/>
      <c r="H93" s="3296"/>
      <c r="I93" s="667"/>
    </row>
    <row r="94" spans="1:9" ht="12" customHeight="1">
      <c r="C94" s="785"/>
      <c r="D94" s="667"/>
      <c r="E94" s="785" t="s">
        <v>1934</v>
      </c>
      <c r="F94" s="3297"/>
      <c r="G94" s="3297"/>
      <c r="H94" s="3297"/>
      <c r="I94" s="667"/>
    </row>
    <row r="95" spans="1:9" ht="12" customHeight="1">
      <c r="C95" s="785"/>
      <c r="D95" s="667"/>
      <c r="E95" s="785" t="s">
        <v>1755</v>
      </c>
      <c r="F95" s="3298"/>
      <c r="G95" s="3298"/>
      <c r="H95" s="3298"/>
      <c r="I95" s="667"/>
    </row>
    <row r="96" spans="1:9" ht="12" customHeight="1">
      <c r="B96" s="775"/>
      <c r="C96" s="788" t="s">
        <v>3225</v>
      </c>
      <c r="D96" s="667" t="s">
        <v>3081</v>
      </c>
      <c r="E96" s="785">
        <f>'Part III-Sources of Funds'!E38</f>
        <v>0</v>
      </c>
      <c r="I96" s="667"/>
    </row>
    <row r="97" spans="1:10" ht="12" customHeight="1">
      <c r="C97" s="785"/>
      <c r="D97" s="667"/>
      <c r="E97" s="785" t="s">
        <v>1753</v>
      </c>
      <c r="F97" s="3296"/>
      <c r="G97" s="3296"/>
      <c r="H97" s="3296"/>
      <c r="I97" s="667"/>
    </row>
    <row r="98" spans="1:10" ht="12" customHeight="1">
      <c r="C98" s="785"/>
      <c r="D98" s="667"/>
      <c r="E98" s="785" t="s">
        <v>1934</v>
      </c>
      <c r="F98" s="3297"/>
      <c r="G98" s="3297"/>
      <c r="H98" s="3297"/>
      <c r="I98" s="667"/>
    </row>
    <row r="99" spans="1:10" ht="12" customHeight="1">
      <c r="C99" s="785"/>
      <c r="D99" s="667"/>
      <c r="E99" s="785" t="s">
        <v>1755</v>
      </c>
      <c r="F99" s="3298"/>
      <c r="G99" s="3298"/>
      <c r="H99" s="3298"/>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99"/>
      <c r="E106" s="3299"/>
      <c r="F106" s="3299"/>
      <c r="G106" s="3299"/>
      <c r="H106" s="3299"/>
      <c r="I106" s="3299"/>
      <c r="J106" s="3300"/>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303" t="s">
        <v>3902</v>
      </c>
      <c r="F119" s="3303"/>
      <c r="G119" s="3303"/>
      <c r="H119" s="3303"/>
      <c r="I119" s="3303"/>
      <c r="J119" s="3303"/>
    </row>
    <row r="120" spans="1:10" ht="12" customHeight="1">
      <c r="C120" s="667" t="s">
        <v>3092</v>
      </c>
      <c r="D120" s="1206"/>
      <c r="E120" s="3303"/>
      <c r="F120" s="3303"/>
      <c r="G120" s="3303"/>
      <c r="H120" s="3303"/>
      <c r="I120" s="3303"/>
      <c r="J120" s="3303"/>
    </row>
    <row r="121" spans="1:10" ht="12" customHeight="1">
      <c r="C121" s="667" t="s">
        <v>3093</v>
      </c>
      <c r="D121" s="1206"/>
      <c r="E121" s="3303"/>
      <c r="F121" s="3303"/>
      <c r="G121" s="3303"/>
      <c r="H121" s="3303"/>
      <c r="I121" s="3303"/>
      <c r="J121" s="3303"/>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Magita,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595310</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TMC Management and Realty, Inc</v>
      </c>
      <c r="G137" s="667"/>
      <c r="I137" s="667"/>
      <c r="J137" s="802"/>
    </row>
    <row r="138" spans="1:10" ht="3" customHeight="1">
      <c r="C138" s="773"/>
      <c r="G138" s="667"/>
      <c r="I138" s="667"/>
    </row>
    <row r="139" spans="1:10" ht="12" customHeight="1">
      <c r="A139" s="730" t="s">
        <v>3104</v>
      </c>
      <c r="C139" s="774" t="str">
        <f>C8</f>
        <v>Dulles Park II, LP</v>
      </c>
      <c r="G139" s="667"/>
      <c r="I139" s="772"/>
      <c r="J139" s="803"/>
    </row>
    <row r="140" spans="1:10" ht="3" customHeight="1">
      <c r="C140" s="774"/>
      <c r="G140" s="667"/>
      <c r="I140" s="772"/>
      <c r="J140" s="803"/>
    </row>
    <row r="141" spans="1:10" ht="12" customHeight="1">
      <c r="A141" s="730" t="s">
        <v>3105</v>
      </c>
      <c r="C141" s="774" t="str">
        <f>C18</f>
        <v>1820 The Exchange SE #350</v>
      </c>
      <c r="G141" s="667"/>
      <c r="I141" s="772"/>
      <c r="J141" s="803"/>
    </row>
    <row r="142" spans="1:10">
      <c r="C142" s="774" t="str">
        <f>C19</f>
        <v>Atlanta, GA 30339</v>
      </c>
      <c r="G142" s="667"/>
      <c r="I142" s="772"/>
      <c r="J142" s="803"/>
    </row>
    <row r="143" spans="1:10" ht="3" customHeight="1">
      <c r="C143" s="804"/>
      <c r="G143" s="667"/>
      <c r="I143" s="772"/>
      <c r="J143" s="803"/>
    </row>
    <row r="144" spans="1:10" ht="12" customHeight="1">
      <c r="A144" s="730" t="s">
        <v>3106</v>
      </c>
      <c r="C144" s="774" t="str">
        <f>'Sensitivity Analysis'!H10</f>
        <v>Affordable Equity Partners, Inc</v>
      </c>
      <c r="G144" s="667"/>
      <c r="I144" s="772"/>
      <c r="J144" s="802"/>
    </row>
    <row r="145" spans="1:10" ht="3" customHeight="1">
      <c r="C145" s="774"/>
      <c r="G145" s="667"/>
      <c r="I145" s="772"/>
      <c r="J145" s="803"/>
    </row>
    <row r="146" spans="1:10" ht="12" customHeight="1">
      <c r="A146" s="730" t="s">
        <v>3107</v>
      </c>
      <c r="C146" s="774" t="str">
        <f>'Sensitivity Analysis'!K10</f>
        <v>Affordable Equity Partners, Inc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301"/>
      <c r="F164" s="3301"/>
      <c r="G164" s="3301"/>
      <c r="I164" s="667"/>
    </row>
    <row r="165" spans="1:13" ht="3" customHeight="1">
      <c r="E165" s="667"/>
      <c r="G165" s="667"/>
      <c r="I165" s="667"/>
    </row>
    <row r="166" spans="1:13" ht="12" customHeight="1">
      <c r="A166" s="730" t="s">
        <v>3116</v>
      </c>
      <c r="C166" s="730" t="s">
        <v>3117</v>
      </c>
      <c r="E166" s="806">
        <f>'Preview term'!F71</f>
        <v>110634</v>
      </c>
      <c r="G166" s="667"/>
      <c r="I166" s="667"/>
    </row>
    <row r="167" spans="1:13" ht="12" customHeight="1">
      <c r="C167" s="730" t="s">
        <v>3393</v>
      </c>
      <c r="E167" s="3301"/>
      <c r="F167" s="3301"/>
      <c r="G167" s="3301"/>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12000</v>
      </c>
      <c r="F172" s="772" t="s">
        <v>3121</v>
      </c>
      <c r="J172" s="803"/>
      <c r="K172" s="803"/>
      <c r="L172" s="803"/>
      <c r="M172" s="803"/>
    </row>
    <row r="173" spans="1:13">
      <c r="E173" s="806">
        <f>E172/12</f>
        <v>1000</v>
      </c>
      <c r="F173" s="667" t="s">
        <v>2973</v>
      </c>
    </row>
    <row r="174" spans="1:13" ht="12" customHeight="1">
      <c r="C174" s="730" t="s">
        <v>3394</v>
      </c>
      <c r="E174" s="3301"/>
      <c r="F174" s="3301"/>
      <c r="G174" s="3301"/>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301"/>
      <c r="G179" s="3301"/>
      <c r="H179" s="3301"/>
      <c r="I179" s="3301"/>
      <c r="J179" s="3301"/>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55317</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302">
        <f>'Part VIII-Threshold Criteria'!E391</f>
        <v>0</v>
      </c>
      <c r="G197" s="3302"/>
      <c r="H197" s="3302"/>
      <c r="I197" s="3302"/>
      <c r="J197" s="3302"/>
    </row>
    <row r="198" spans="1:10" ht="9" customHeight="1">
      <c r="G198" s="667"/>
      <c r="H198" s="667"/>
      <c r="I198" s="667"/>
    </row>
    <row r="199" spans="1:10" ht="12" customHeight="1">
      <c r="A199" s="808" t="s">
        <v>3214</v>
      </c>
      <c r="G199" s="667"/>
      <c r="H199" s="667"/>
      <c r="I199" s="792"/>
    </row>
    <row r="200" spans="1:10" ht="25.5" hidden="1" customHeight="1">
      <c r="A200" s="3304" t="str">
        <f>'Subsidy Layering Memo'!A98</f>
        <v>Include any reserve requirements; explain any reserves far in excess of 6 month ODR, 3 mo lease up, 1 year RR, 6 mo T&amp;I standards.</v>
      </c>
      <c r="B200" s="3304"/>
      <c r="C200" s="3304"/>
      <c r="D200" s="3304"/>
      <c r="E200" s="3304"/>
      <c r="F200" s="3304"/>
      <c r="G200" s="3304"/>
      <c r="H200" s="3304"/>
      <c r="I200" s="3304"/>
      <c r="J200" s="3304"/>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94" t="s">
        <v>2839</v>
      </c>
      <c r="B204" s="3294"/>
      <c r="C204" s="3294"/>
      <c r="D204" s="3294"/>
      <c r="E204" s="3294"/>
      <c r="F204" s="3294"/>
      <c r="G204" s="3294"/>
      <c r="H204" s="3294"/>
      <c r="I204" s="3294"/>
      <c r="J204" s="3294"/>
    </row>
    <row r="205" spans="1:10">
      <c r="A205" s="667" t="s">
        <v>2840</v>
      </c>
      <c r="G205" s="667"/>
      <c r="H205" s="667"/>
      <c r="I205" s="667"/>
    </row>
    <row r="206" spans="1:10" ht="38.25" customHeight="1">
      <c r="A206" s="3294" t="str">
        <f>'Subsidy Layering Memo'!A37&amp;".  "&amp;'Subsidy Layering Memo'!A38</f>
        <v xml:space="preserve">.  </v>
      </c>
      <c r="B206" s="3295"/>
      <c r="C206" s="3295"/>
      <c r="D206" s="3295"/>
      <c r="E206" s="3295"/>
      <c r="F206" s="3295"/>
      <c r="G206" s="3295"/>
      <c r="H206" s="3295"/>
      <c r="I206" s="3295"/>
      <c r="J206" s="3295"/>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314" t="str">
        <f>'Part I-Project Information'!F34</f>
        <v>Dulles Park II</v>
      </c>
      <c r="E3" s="3315"/>
      <c r="F3" s="3315"/>
      <c r="G3" s="3315"/>
      <c r="H3" s="3315"/>
      <c r="I3" s="3315"/>
      <c r="J3" s="3320" t="s">
        <v>4644</v>
      </c>
      <c r="K3" s="3321"/>
    </row>
    <row r="4" spans="1:11" ht="15" customHeight="1">
      <c r="A4" s="1633" t="s">
        <v>4642</v>
      </c>
      <c r="B4" s="1634"/>
      <c r="C4" s="1635"/>
      <c r="D4" s="3316" t="str">
        <f>CONCATENATE('Part I-Project Information'!F35,", ",'Part I-Project Information'!F38,", GA ",'Part I-Project Information'!J38," (",'Part I-Project Information'!J39," Co.)",)</f>
        <v>226 Old Clinton Road, Gray, GA 310325400 (Jones Co.)</v>
      </c>
      <c r="E4" s="3317"/>
      <c r="F4" s="3317"/>
      <c r="G4" s="3317"/>
      <c r="H4" s="3317"/>
      <c r="I4" s="3317"/>
      <c r="J4" s="3322" t="s">
        <v>4683</v>
      </c>
      <c r="K4" s="3323"/>
    </row>
    <row r="5" spans="1:11" ht="15" customHeight="1" thickBot="1">
      <c r="A5" s="1636" t="s">
        <v>4643</v>
      </c>
      <c r="B5" s="1637"/>
      <c r="C5" s="1638"/>
      <c r="D5" s="3318"/>
      <c r="E5" s="3319"/>
      <c r="F5" s="3319"/>
      <c r="G5" s="3319"/>
      <c r="H5" s="3319"/>
      <c r="I5" s="3319"/>
      <c r="J5" s="3324"/>
      <c r="K5" s="3325"/>
    </row>
    <row r="6" spans="1:11" ht="9" customHeight="1" thickBot="1">
      <c r="E6" s="1628"/>
    </row>
    <row r="7" spans="1:11">
      <c r="A7" s="3311" t="s">
        <v>4645</v>
      </c>
      <c r="B7" s="3312"/>
      <c r="C7" s="3312"/>
      <c r="D7" s="3312"/>
      <c r="E7" s="3312"/>
      <c r="F7" s="3312"/>
      <c r="G7" s="3312"/>
      <c r="H7" s="3312"/>
      <c r="I7" s="3312"/>
      <c r="J7" s="3312"/>
      <c r="K7" s="3313"/>
    </row>
    <row r="8" spans="1:11" ht="14.25" customHeight="1">
      <c r="A8" s="1654"/>
      <c r="B8" s="1654"/>
      <c r="C8" s="1676">
        <v>1</v>
      </c>
      <c r="D8" s="1655" t="s">
        <v>4646</v>
      </c>
      <c r="E8" s="1655"/>
      <c r="F8" s="1655"/>
      <c r="G8" s="1655"/>
      <c r="H8" s="1655"/>
      <c r="I8" s="1655"/>
      <c r="J8" s="1655"/>
      <c r="K8" s="1656"/>
    </row>
    <row r="9" spans="1:11" ht="7.35" customHeight="1">
      <c r="A9" s="3328"/>
      <c r="B9" s="3328"/>
      <c r="C9" s="3328"/>
      <c r="D9" s="3329"/>
      <c r="E9" s="3329"/>
      <c r="F9" s="3329"/>
      <c r="G9" s="3329"/>
      <c r="H9" s="3329"/>
      <c r="I9" s="3329"/>
      <c r="J9" s="3329"/>
      <c r="K9" s="1657"/>
    </row>
    <row r="10" spans="1:11">
      <c r="A10" s="3333" t="s">
        <v>4647</v>
      </c>
      <c r="B10" s="3334"/>
      <c r="C10" s="3334"/>
      <c r="D10" s="3334"/>
      <c r="E10" s="3334"/>
      <c r="F10" s="3334"/>
      <c r="G10" s="3334"/>
      <c r="H10" s="3334"/>
      <c r="I10" s="3334"/>
      <c r="J10" s="3334"/>
      <c r="K10" s="3335"/>
    </row>
    <row r="11" spans="1:11" ht="14.25" customHeight="1">
      <c r="A11" s="1654"/>
      <c r="B11" s="1654"/>
      <c r="C11" s="1676">
        <v>2</v>
      </c>
      <c r="D11" s="1655" t="s">
        <v>4648</v>
      </c>
      <c r="E11" s="1658"/>
      <c r="F11" s="1658"/>
      <c r="G11" s="1658"/>
      <c r="H11" s="1658"/>
      <c r="I11" s="1658"/>
      <c r="J11" s="1658"/>
      <c r="K11" s="1659"/>
    </row>
    <row r="12" spans="1:11" ht="7.35" customHeight="1">
      <c r="A12" s="3328"/>
      <c r="B12" s="3328"/>
      <c r="C12" s="3328"/>
      <c r="D12" s="3329"/>
      <c r="E12" s="3329"/>
      <c r="F12" s="3329"/>
      <c r="G12" s="3329"/>
      <c r="H12" s="3329"/>
      <c r="I12" s="3329"/>
      <c r="J12" s="3329"/>
      <c r="K12" s="1660"/>
    </row>
    <row r="13" spans="1:11">
      <c r="A13" s="3333" t="s">
        <v>4649</v>
      </c>
      <c r="B13" s="3334"/>
      <c r="C13" s="3334"/>
      <c r="D13" s="3334"/>
      <c r="E13" s="3334"/>
      <c r="F13" s="3334"/>
      <c r="G13" s="3334"/>
      <c r="H13" s="3334"/>
      <c r="I13" s="3334"/>
      <c r="J13" s="3334"/>
      <c r="K13" s="3335"/>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35" customHeight="1">
      <c r="A18" s="3328"/>
      <c r="B18" s="3328"/>
      <c r="C18" s="3328"/>
      <c r="D18" s="3329"/>
      <c r="E18" s="3329"/>
      <c r="F18" s="3329"/>
      <c r="G18" s="3329"/>
      <c r="H18" s="3329"/>
      <c r="I18" s="3329"/>
      <c r="J18" s="3329"/>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35" customHeight="1">
      <c r="A21" s="3328"/>
      <c r="B21" s="3328"/>
      <c r="C21" s="3328"/>
      <c r="D21" s="3329"/>
      <c r="E21" s="3329"/>
      <c r="F21" s="3329"/>
      <c r="G21" s="3329"/>
      <c r="H21" s="3329"/>
      <c r="I21" s="3329"/>
      <c r="J21" s="3329"/>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61" t="s">
        <v>4689</v>
      </c>
      <c r="B30" s="3362"/>
      <c r="C30" s="3362"/>
      <c r="D30" s="3362"/>
      <c r="E30" s="3362"/>
      <c r="F30" s="3362"/>
      <c r="G30" s="3362"/>
      <c r="H30" s="3362"/>
      <c r="I30" s="3362"/>
      <c r="J30" s="3362"/>
      <c r="K30" s="3363"/>
    </row>
    <row r="31" spans="1:13">
      <c r="A31" s="1652"/>
      <c r="B31" s="3364" t="s">
        <v>4644</v>
      </c>
      <c r="C31" s="3364"/>
      <c r="D31" s="3364"/>
      <c r="E31" s="3364"/>
      <c r="F31" s="3364"/>
      <c r="G31" s="3330" t="s">
        <v>4658</v>
      </c>
      <c r="H31" s="3331"/>
      <c r="I31" s="3331"/>
      <c r="J31" s="3331"/>
      <c r="K31" s="3332"/>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359" t="s">
        <v>4663</v>
      </c>
      <c r="M32" s="3359"/>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59"/>
      <c r="M33" s="3359"/>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59"/>
      <c r="M34" s="3359"/>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59"/>
      <c r="M35" s="3359"/>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59"/>
      <c r="M36" s="3359"/>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59"/>
      <c r="M37" s="3359"/>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59"/>
      <c r="M38" s="3359"/>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59"/>
      <c r="M39" s="3359"/>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59"/>
      <c r="M40" s="3359"/>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59"/>
      <c r="M41" s="3359"/>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59"/>
      <c r="M42" s="3359"/>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59"/>
      <c r="M43" s="3359"/>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59"/>
      <c r="M44" s="3359"/>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59"/>
      <c r="M45" s="3359"/>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59"/>
      <c r="M46" s="3359"/>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59"/>
      <c r="M47" s="3359"/>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59"/>
      <c r="M48" s="3359"/>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59"/>
      <c r="M49" s="3359"/>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59"/>
      <c r="M50" s="3359"/>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59"/>
      <c r="M51" s="3359"/>
    </row>
    <row r="52" spans="1:13" ht="15" customHeight="1" thickBot="1">
      <c r="A52" s="1652"/>
      <c r="B52" s="1673"/>
      <c r="D52" s="1661"/>
      <c r="E52" s="1661"/>
      <c r="F52" s="1661"/>
      <c r="G52" s="1686" t="s">
        <v>4664</v>
      </c>
      <c r="H52" s="1685" t="e">
        <f>SUM(H33:H51)</f>
        <v>#VALUE!</v>
      </c>
      <c r="I52" s="1661"/>
      <c r="J52" s="1673" t="s">
        <v>4665</v>
      </c>
      <c r="K52" s="1669" t="e">
        <f>SUM(K33:K51)</f>
        <v>#VALUE!</v>
      </c>
      <c r="L52" s="3359"/>
      <c r="M52" s="3359"/>
    </row>
    <row r="53" spans="1:13" ht="15" customHeight="1">
      <c r="A53" s="1652"/>
      <c r="B53" s="1674"/>
      <c r="C53" s="3336" t="s">
        <v>4666</v>
      </c>
      <c r="D53" s="3336"/>
      <c r="E53" s="3336"/>
      <c r="F53" s="3336"/>
      <c r="G53" s="3336"/>
      <c r="H53" s="3336"/>
      <c r="I53" s="3336"/>
      <c r="J53" s="3337"/>
      <c r="K53" s="1675" t="str">
        <f>IF(K17="no",0,IF(K17="yes",K16,"Error"))</f>
        <v>Error</v>
      </c>
      <c r="L53" s="3359"/>
      <c r="M53" s="3359"/>
    </row>
    <row r="54" spans="1:13" ht="15" customHeight="1" thickBot="1">
      <c r="A54" s="1652"/>
      <c r="B54" s="1674"/>
      <c r="C54" s="3338" t="s">
        <v>4667</v>
      </c>
      <c r="D54" s="3338"/>
      <c r="E54" s="3338"/>
      <c r="F54" s="3338"/>
      <c r="G54" s="3338"/>
      <c r="H54" s="3338"/>
      <c r="I54" s="3338"/>
      <c r="J54" s="3339"/>
      <c r="K54" s="1688" t="e">
        <f>K52+K53</f>
        <v>#VALUE!</v>
      </c>
    </row>
    <row r="55" spans="1:13" ht="8.1" customHeight="1">
      <c r="A55" s="3340"/>
      <c r="B55" s="3341"/>
      <c r="C55" s="3341"/>
      <c r="D55" s="3341"/>
      <c r="E55" s="3341"/>
      <c r="F55" s="3341"/>
      <c r="G55" s="3341"/>
      <c r="H55" s="3341"/>
      <c r="I55" s="3341"/>
      <c r="J55" s="3341"/>
      <c r="K55" s="1702"/>
    </row>
    <row r="56" spans="1:13" ht="15" customHeight="1">
      <c r="A56" s="3346" t="s">
        <v>4668</v>
      </c>
      <c r="B56" s="3347"/>
      <c r="C56" s="3347"/>
      <c r="D56" s="3347"/>
      <c r="E56" s="3347"/>
      <c r="F56" s="3347"/>
      <c r="G56" s="3347"/>
      <c r="H56" s="3347"/>
      <c r="I56" s="3347"/>
      <c r="J56" s="3347"/>
      <c r="K56" s="3348"/>
    </row>
    <row r="57" spans="1:13" ht="48" customHeight="1">
      <c r="A57" s="1649"/>
      <c r="B57" s="1640"/>
      <c r="C57" s="1651" t="s">
        <v>4669</v>
      </c>
      <c r="D57" s="2017" t="s">
        <v>6835</v>
      </c>
      <c r="E57" s="3342" t="s">
        <v>4685</v>
      </c>
      <c r="F57" s="3343"/>
      <c r="G57" s="3344" t="s">
        <v>4670</v>
      </c>
      <c r="H57" s="3345"/>
      <c r="I57" s="3342" t="s">
        <v>4684</v>
      </c>
      <c r="J57" s="3343"/>
      <c r="K57" s="3349"/>
    </row>
    <row r="58" spans="1:13" ht="15" customHeight="1">
      <c r="A58" s="1805"/>
      <c r="B58" s="2014"/>
      <c r="C58" s="1670">
        <f>SUMIF(C33:C51, "0", H33:H51)</f>
        <v>0</v>
      </c>
      <c r="D58" s="2018">
        <f>ROUNDUP(C58*1.1,0)</f>
        <v>0</v>
      </c>
      <c r="E58" s="3351" t="s">
        <v>4671</v>
      </c>
      <c r="F58" s="3352"/>
      <c r="G58" s="3353">
        <f>62445*2.4</f>
        <v>149868</v>
      </c>
      <c r="H58" s="3354"/>
      <c r="I58" s="3355">
        <f t="shared" ref="I58:I63" si="6">D58*G58</f>
        <v>0</v>
      </c>
      <c r="J58" s="3355"/>
      <c r="K58" s="3350"/>
    </row>
    <row r="59" spans="1:13">
      <c r="A59" s="1805"/>
      <c r="B59" s="2014"/>
      <c r="C59" s="1671">
        <f>SUMIF(C33:C51, "1", H33:H51)</f>
        <v>0</v>
      </c>
      <c r="D59" s="2019">
        <f t="shared" ref="D59:D63" si="7">ROUNDUP(C59*1.1,0)</f>
        <v>0</v>
      </c>
      <c r="E59" s="3356" t="s">
        <v>2631</v>
      </c>
      <c r="F59" s="3357"/>
      <c r="G59" s="3326">
        <f>71584*2.4</f>
        <v>171801.60000000001</v>
      </c>
      <c r="H59" s="3327"/>
      <c r="I59" s="3358">
        <f t="shared" si="6"/>
        <v>0</v>
      </c>
      <c r="J59" s="3358"/>
      <c r="K59" s="3350"/>
    </row>
    <row r="60" spans="1:13" ht="15" customHeight="1">
      <c r="A60" s="1805"/>
      <c r="B60" s="2014"/>
      <c r="C60" s="1671">
        <f>SUMIF(C33:C51, "2", H33:H51)</f>
        <v>0</v>
      </c>
      <c r="D60" s="2019">
        <f t="shared" si="7"/>
        <v>0</v>
      </c>
      <c r="E60" s="3356" t="s">
        <v>2632</v>
      </c>
      <c r="F60" s="3357"/>
      <c r="G60" s="3326">
        <f>87047*2.4</f>
        <v>208912.8</v>
      </c>
      <c r="H60" s="3327"/>
      <c r="I60" s="3358">
        <f t="shared" si="6"/>
        <v>0</v>
      </c>
      <c r="J60" s="3358"/>
      <c r="K60" s="3350"/>
    </row>
    <row r="61" spans="1:13">
      <c r="A61" s="1805"/>
      <c r="B61" s="2014"/>
      <c r="C61" s="1671">
        <f>SUMIF(C33:C51, "3", H33:H51)</f>
        <v>0</v>
      </c>
      <c r="D61" s="2019">
        <f t="shared" si="7"/>
        <v>0</v>
      </c>
      <c r="E61" s="3356" t="s">
        <v>2635</v>
      </c>
      <c r="F61" s="3357"/>
      <c r="G61" s="3326">
        <f>112611*2.4</f>
        <v>270266.39999999997</v>
      </c>
      <c r="H61" s="3327"/>
      <c r="I61" s="3358">
        <f t="shared" si="6"/>
        <v>0</v>
      </c>
      <c r="J61" s="3358"/>
      <c r="K61" s="3350"/>
    </row>
    <row r="62" spans="1:13">
      <c r="A62" s="1805"/>
      <c r="B62" s="2014"/>
      <c r="C62" s="1671">
        <f>SUMIF(C33:C51, "4", H33:H51)</f>
        <v>0</v>
      </c>
      <c r="D62" s="2019">
        <f t="shared" si="7"/>
        <v>0</v>
      </c>
      <c r="E62" s="3356" t="s">
        <v>4672</v>
      </c>
      <c r="F62" s="3357"/>
      <c r="G62" s="3326">
        <f>123611*2.4</f>
        <v>296666.39999999997</v>
      </c>
      <c r="H62" s="3327"/>
      <c r="I62" s="3358">
        <f t="shared" si="6"/>
        <v>0</v>
      </c>
      <c r="J62" s="3358"/>
      <c r="K62" s="3350"/>
    </row>
    <row r="63" spans="1:13">
      <c r="A63" s="2015"/>
      <c r="B63" s="2016"/>
      <c r="C63" s="1672">
        <f>SUMIF(C33:C51, "5", H33:H51)</f>
        <v>0</v>
      </c>
      <c r="D63" s="2020">
        <f t="shared" si="7"/>
        <v>0</v>
      </c>
      <c r="E63" s="3365" t="s">
        <v>4673</v>
      </c>
      <c r="F63" s="3366"/>
      <c r="G63" s="3367">
        <f>123611*2.4</f>
        <v>296666.39999999997</v>
      </c>
      <c r="H63" s="3368"/>
      <c r="I63" s="3369">
        <f t="shared" si="6"/>
        <v>0</v>
      </c>
      <c r="J63" s="3369"/>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41"/>
      <c r="B65" s="3341"/>
      <c r="C65" s="3341"/>
      <c r="D65" s="3341"/>
      <c r="E65" s="3341"/>
      <c r="F65" s="3341"/>
      <c r="G65" s="3341"/>
      <c r="H65" s="3341"/>
      <c r="I65" s="3341"/>
      <c r="J65" s="3341"/>
    </row>
    <row r="66" spans="1:11">
      <c r="A66" s="3346" t="s">
        <v>4676</v>
      </c>
      <c r="B66" s="3347"/>
      <c r="C66" s="3347"/>
      <c r="D66" s="3347"/>
      <c r="E66" s="3347"/>
      <c r="F66" s="3347"/>
      <c r="G66" s="3347"/>
      <c r="H66" s="3347"/>
      <c r="I66" s="3347"/>
      <c r="J66" s="3347"/>
      <c r="K66" s="3348"/>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360" t="s">
        <v>4680</v>
      </c>
      <c r="D70" s="3360"/>
      <c r="E70" s="3360"/>
      <c r="F70" s="3360"/>
      <c r="G70" s="3360"/>
      <c r="H70" s="3360"/>
      <c r="I70" s="3360"/>
      <c r="J70" s="3360"/>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Dulles Park II</v>
      </c>
    </row>
    <row r="2" spans="1:11">
      <c r="A2" s="667" t="s">
        <v>3133</v>
      </c>
      <c r="H2" s="730" t="str">
        <f>'Sensitivity Analysis'!E8</f>
        <v>2020-059</v>
      </c>
    </row>
    <row r="3" spans="1:11" ht="3" customHeight="1"/>
    <row r="4" spans="1:11" ht="51.75" customHeight="1">
      <c r="A4" s="3295" t="s">
        <v>3231</v>
      </c>
      <c r="B4" s="3295"/>
      <c r="C4" s="3295"/>
      <c r="D4" s="3295"/>
      <c r="E4" s="3295"/>
      <c r="F4" s="3295"/>
      <c r="G4" s="3295"/>
      <c r="H4" s="3295"/>
      <c r="J4" s="1218">
        <f>SUM('Part VII-Pro Forma'!B14:B16)/12</f>
        <v>24649.371000000003</v>
      </c>
      <c r="K4" s="1217" t="s">
        <v>4106</v>
      </c>
    </row>
    <row r="5" spans="1:11" ht="1.5" customHeight="1">
      <c r="C5" s="809"/>
      <c r="D5" s="809"/>
      <c r="E5" s="809"/>
      <c r="F5" s="809"/>
      <c r="G5" s="809"/>
      <c r="H5" s="809"/>
    </row>
    <row r="6" spans="1:11" ht="12.75" customHeight="1">
      <c r="B6" s="810" t="s">
        <v>2371</v>
      </c>
      <c r="C6" s="3295" t="s">
        <v>3134</v>
      </c>
      <c r="D6" s="3295"/>
      <c r="E6" s="3295"/>
      <c r="F6" s="3295"/>
      <c r="G6" s="3295"/>
      <c r="H6" s="3295"/>
    </row>
    <row r="7" spans="1:11" ht="12.75" customHeight="1">
      <c r="B7" s="810" t="s">
        <v>2372</v>
      </c>
      <c r="C7" s="3295" t="s">
        <v>3135</v>
      </c>
      <c r="D7" s="3295"/>
      <c r="E7" s="3295"/>
      <c r="F7" s="3295"/>
      <c r="G7" s="3295"/>
      <c r="H7" s="3295"/>
    </row>
    <row r="8" spans="1:11" ht="3" customHeight="1"/>
    <row r="9" spans="1:11">
      <c r="A9" s="730" t="s">
        <v>3136</v>
      </c>
    </row>
    <row r="10" spans="1:11" ht="1.5" customHeight="1"/>
    <row r="11" spans="1:11" ht="26.25" customHeight="1">
      <c r="A11" s="811" t="s">
        <v>1935</v>
      </c>
      <c r="B11" s="3372" t="s">
        <v>3228</v>
      </c>
      <c r="C11" s="3372"/>
      <c r="D11" s="3372"/>
      <c r="E11" s="3372"/>
      <c r="F11" s="3372"/>
      <c r="G11" s="3373">
        <f>'Part III-Sources of Funds'!I49+'Part III-Sources of Funds'!I50</f>
        <v>10731210</v>
      </c>
      <c r="H11" s="3373"/>
    </row>
    <row r="12" spans="1:11" ht="1.5" customHeight="1">
      <c r="G12" s="779"/>
      <c r="H12" s="779"/>
    </row>
    <row r="13" spans="1:11" ht="26.25" customHeight="1">
      <c r="A13" s="811" t="s">
        <v>1937</v>
      </c>
      <c r="B13" s="3372" t="s">
        <v>3229</v>
      </c>
      <c r="C13" s="3372"/>
      <c r="D13" s="3372"/>
      <c r="E13" s="3372"/>
      <c r="F13" s="3372"/>
      <c r="G13" s="3374" t="s">
        <v>3062</v>
      </c>
      <c r="H13" s="3374"/>
    </row>
    <row r="14" spans="1:11" ht="12" hidden="1" customHeight="1">
      <c r="A14" s="811"/>
      <c r="B14" s="3309"/>
      <c r="C14" s="3309"/>
      <c r="D14" s="3309"/>
      <c r="E14" s="3309"/>
      <c r="F14" s="3309"/>
      <c r="G14" s="3309"/>
      <c r="H14" s="3309"/>
    </row>
    <row r="15" spans="1:11" ht="1.5" customHeight="1"/>
    <row r="16" spans="1:11" ht="12" customHeight="1">
      <c r="A16" s="811" t="s">
        <v>731</v>
      </c>
      <c r="B16" s="730" t="s">
        <v>3232</v>
      </c>
      <c r="F16" s="803"/>
      <c r="G16" s="3292" t="s">
        <v>2888</v>
      </c>
      <c r="H16" s="3292"/>
    </row>
    <row r="17" spans="1:8" ht="1.5" customHeight="1">
      <c r="G17" s="785"/>
    </row>
    <row r="18" spans="1:8" ht="12" customHeight="1">
      <c r="A18" s="811" t="s">
        <v>2064</v>
      </c>
      <c r="B18" s="779" t="s">
        <v>3230</v>
      </c>
      <c r="C18" s="811"/>
      <c r="D18" s="811"/>
      <c r="E18" s="811"/>
      <c r="G18" s="3309" t="s">
        <v>2727</v>
      </c>
      <c r="H18" s="3309"/>
    </row>
    <row r="19" spans="1:8" ht="12" hidden="1" customHeight="1">
      <c r="B19" s="3309"/>
      <c r="C19" s="3309"/>
      <c r="D19" s="3309"/>
      <c r="E19" s="3309"/>
      <c r="F19" s="3309"/>
      <c r="G19" s="3309"/>
      <c r="H19" s="3309"/>
    </row>
    <row r="20" spans="1:8" ht="13.5" customHeight="1"/>
    <row r="21" spans="1:8" ht="12" customHeight="1">
      <c r="A21" s="667" t="s">
        <v>3137</v>
      </c>
    </row>
    <row r="22" spans="1:8" ht="3" customHeight="1"/>
    <row r="23" spans="1:8" ht="24.75" customHeight="1">
      <c r="A23" s="3376" t="s">
        <v>4821</v>
      </c>
      <c r="B23" s="3376"/>
      <c r="C23" s="3376"/>
      <c r="D23" s="3376"/>
      <c r="E23" s="3376"/>
      <c r="F23" s="3376"/>
      <c r="G23" s="3376"/>
      <c r="H23" s="3376"/>
    </row>
    <row r="24" spans="1:8" ht="9" customHeight="1" thickBot="1">
      <c r="A24" s="752"/>
    </row>
    <row r="25" spans="1:8" ht="16.350000000000001" customHeight="1" thickBot="1">
      <c r="A25" s="3377">
        <v>20</v>
      </c>
      <c r="B25" s="3378"/>
      <c r="C25" s="1789" t="s">
        <v>1018</v>
      </c>
    </row>
    <row r="26" spans="1:8" ht="9" customHeight="1">
      <c r="A26" s="752"/>
    </row>
    <row r="27" spans="1:8" ht="28.35" customHeight="1">
      <c r="A27" s="3375" t="s">
        <v>4826</v>
      </c>
      <c r="B27" s="3375"/>
      <c r="C27" s="3375"/>
      <c r="D27" s="3375"/>
      <c r="E27" s="3375"/>
      <c r="F27" s="3375"/>
      <c r="G27" s="3375"/>
      <c r="H27" s="3375"/>
    </row>
    <row r="28" spans="1:8" ht="9" customHeight="1">
      <c r="A28" s="752"/>
    </row>
    <row r="29" spans="1:8">
      <c r="A29" s="785" t="s">
        <v>3233</v>
      </c>
      <c r="B29" s="812" t="str">
        <f>IF('Part VI-Revenues &amp; Expenses'!$K$62=0,"",'Part VI-Revenues &amp; Expenses'!$K$62)</f>
        <v/>
      </c>
      <c r="C29" s="785" t="s">
        <v>4819</v>
      </c>
      <c r="D29" s="813" t="s">
        <v>4820</v>
      </c>
    </row>
    <row r="30" spans="1:8" ht="1.95" customHeight="1"/>
    <row r="31" spans="1:8" ht="12.75" customHeight="1">
      <c r="C31" s="779" t="s">
        <v>3138</v>
      </c>
      <c r="D31" s="814" t="s">
        <v>1938</v>
      </c>
      <c r="E31" s="815"/>
      <c r="F31" s="3295" t="s">
        <v>3139</v>
      </c>
      <c r="G31" s="3295"/>
      <c r="H31" s="3295"/>
    </row>
    <row r="32" spans="1:8" ht="12.75" customHeight="1">
      <c r="C32" s="816" t="s">
        <v>1326</v>
      </c>
      <c r="D32" s="814" t="s">
        <v>1940</v>
      </c>
      <c r="E32" s="3295" t="s">
        <v>3238</v>
      </c>
      <c r="F32" s="3295"/>
      <c r="G32" s="3295"/>
      <c r="H32" s="3295"/>
    </row>
    <row r="33" spans="1:11" ht="12.75" customHeight="1">
      <c r="C33" s="1787" t="s">
        <v>4824</v>
      </c>
      <c r="E33" s="3295" t="s">
        <v>3399</v>
      </c>
      <c r="F33" s="3295"/>
      <c r="G33" s="3295"/>
      <c r="H33" s="3295"/>
    </row>
    <row r="34" spans="1:11" ht="12.75" customHeight="1">
      <c r="C34" s="1788"/>
      <c r="D34" s="1786" t="s">
        <v>3237</v>
      </c>
      <c r="E34" s="3371" t="s">
        <v>3400</v>
      </c>
      <c r="F34" s="3371"/>
      <c r="G34" s="3371"/>
      <c r="H34" s="3371"/>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295" t="s">
        <v>3238</v>
      </c>
      <c r="F37" s="3295"/>
      <c r="G37" s="3295"/>
      <c r="H37" s="3295"/>
    </row>
    <row r="38" spans="1:11" ht="12.75" customHeight="1">
      <c r="C38" s="1787" t="s">
        <v>4824</v>
      </c>
      <c r="E38" s="3295" t="s">
        <v>3399</v>
      </c>
      <c r="F38" s="3295"/>
      <c r="G38" s="3295"/>
      <c r="H38" s="3295"/>
    </row>
    <row r="39" spans="1:11" ht="12.75" customHeight="1">
      <c r="C39" s="1788"/>
      <c r="D39" s="1786" t="s">
        <v>3237</v>
      </c>
      <c r="E39" s="3371" t="s">
        <v>3400</v>
      </c>
      <c r="F39" s="3371"/>
      <c r="G39" s="3371"/>
      <c r="H39" s="3371"/>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295" t="s">
        <v>3238</v>
      </c>
      <c r="F42" s="3295"/>
      <c r="G42" s="3295"/>
      <c r="H42" s="3295"/>
    </row>
    <row r="43" spans="1:11" ht="12.75" customHeight="1">
      <c r="C43" s="1787" t="s">
        <v>4824</v>
      </c>
      <c r="E43" s="3295" t="s">
        <v>3399</v>
      </c>
      <c r="F43" s="3295"/>
      <c r="G43" s="3295"/>
      <c r="H43" s="3295"/>
    </row>
    <row r="44" spans="1:11" ht="12.75" customHeight="1">
      <c r="C44" s="1788"/>
      <c r="D44" s="1786" t="s">
        <v>3237</v>
      </c>
      <c r="E44" s="3371" t="s">
        <v>3400</v>
      </c>
      <c r="F44" s="3371"/>
      <c r="G44" s="3371"/>
      <c r="H44" s="3371"/>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295" t="s">
        <v>3238</v>
      </c>
      <c r="F49" s="3295"/>
      <c r="G49" s="3295"/>
      <c r="H49" s="3295"/>
      <c r="K49" s="1803"/>
    </row>
    <row r="50" spans="1:11" ht="12.75" customHeight="1">
      <c r="C50" s="1787" t="s">
        <v>4824</v>
      </c>
      <c r="E50" s="3295" t="s">
        <v>3399</v>
      </c>
      <c r="F50" s="3295"/>
      <c r="G50" s="3295"/>
      <c r="H50" s="3295"/>
    </row>
    <row r="51" spans="1:11" ht="12.75" customHeight="1">
      <c r="C51" s="1788"/>
      <c r="D51" s="1785" t="s">
        <v>3237</v>
      </c>
      <c r="E51" s="3370" t="s">
        <v>3400</v>
      </c>
      <c r="F51" s="3370"/>
      <c r="G51" s="3370"/>
      <c r="H51" s="3370"/>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295" t="s">
        <v>3238</v>
      </c>
      <c r="F54" s="3295"/>
      <c r="G54" s="3295"/>
      <c r="H54" s="3295"/>
    </row>
    <row r="55" spans="1:11" ht="12.75" customHeight="1">
      <c r="C55" s="1787" t="s">
        <v>4824</v>
      </c>
      <c r="E55" s="3295" t="s">
        <v>3399</v>
      </c>
      <c r="F55" s="3295"/>
      <c r="G55" s="3295"/>
      <c r="H55" s="3295"/>
    </row>
    <row r="56" spans="1:11" ht="12.75" customHeight="1">
      <c r="C56" s="1788"/>
      <c r="D56" s="1786" t="s">
        <v>3237</v>
      </c>
      <c r="E56" s="3371" t="s">
        <v>3400</v>
      </c>
      <c r="F56" s="3371"/>
      <c r="G56" s="3371"/>
      <c r="H56" s="3371"/>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295" t="s">
        <v>3238</v>
      </c>
      <c r="F59" s="3295"/>
      <c r="G59" s="3295"/>
      <c r="H59" s="3295"/>
    </row>
    <row r="60" spans="1:11" ht="12.75" customHeight="1">
      <c r="C60" s="1787" t="s">
        <v>4824</v>
      </c>
      <c r="E60" s="3295" t="s">
        <v>3399</v>
      </c>
      <c r="F60" s="3295"/>
      <c r="G60" s="3295"/>
      <c r="H60" s="3295"/>
    </row>
    <row r="61" spans="1:11" ht="12.75" customHeight="1">
      <c r="C61" s="1788"/>
      <c r="D61" s="1786" t="s">
        <v>3237</v>
      </c>
      <c r="E61" s="3371" t="s">
        <v>3400</v>
      </c>
      <c r="F61" s="3371"/>
      <c r="G61" s="3371"/>
      <c r="H61" s="3371"/>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95" t="s">
        <v>3238</v>
      </c>
      <c r="F66" s="3295"/>
      <c r="G66" s="3295"/>
      <c r="H66" s="3295"/>
    </row>
    <row r="67" spans="1:8" ht="12.75" customHeight="1">
      <c r="C67" s="1787" t="s">
        <v>4824</v>
      </c>
      <c r="E67" s="3295" t="s">
        <v>3399</v>
      </c>
      <c r="F67" s="3295"/>
      <c r="G67" s="3295"/>
      <c r="H67" s="3295"/>
    </row>
    <row r="68" spans="1:8" ht="12.75" customHeight="1">
      <c r="C68" s="1788"/>
      <c r="D68" s="1785" t="s">
        <v>3237</v>
      </c>
      <c r="E68" s="3370" t="s">
        <v>3400</v>
      </c>
      <c r="F68" s="3370"/>
      <c r="G68" s="3370"/>
      <c r="H68" s="3370"/>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95" t="s">
        <v>3238</v>
      </c>
      <c r="F71" s="3295"/>
      <c r="G71" s="3295"/>
      <c r="H71" s="3295"/>
    </row>
    <row r="72" spans="1:8" ht="12.75" customHeight="1">
      <c r="C72" s="1787" t="s">
        <v>4824</v>
      </c>
      <c r="E72" s="3295" t="s">
        <v>3399</v>
      </c>
      <c r="F72" s="3295"/>
      <c r="G72" s="3295"/>
      <c r="H72" s="3295"/>
    </row>
    <row r="73" spans="1:8" ht="12.75" customHeight="1">
      <c r="C73" s="1788"/>
      <c r="D73" s="1786" t="s">
        <v>3237</v>
      </c>
      <c r="E73" s="3371" t="s">
        <v>3400</v>
      </c>
      <c r="F73" s="3371"/>
      <c r="G73" s="3371"/>
      <c r="H73" s="3371"/>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295" t="s">
        <v>3238</v>
      </c>
      <c r="F76" s="3295"/>
      <c r="G76" s="3295"/>
      <c r="H76" s="3295"/>
    </row>
    <row r="77" spans="1:8" ht="12.75" customHeight="1">
      <c r="C77" s="1787" t="s">
        <v>4824</v>
      </c>
      <c r="E77" s="3295" t="s">
        <v>3399</v>
      </c>
      <c r="F77" s="3295"/>
      <c r="G77" s="3295"/>
      <c r="H77" s="3295"/>
    </row>
    <row r="78" spans="1:8" ht="12.75" customHeight="1">
      <c r="C78" s="1788"/>
      <c r="D78" s="1786" t="s">
        <v>3237</v>
      </c>
      <c r="E78" s="3371" t="s">
        <v>3400</v>
      </c>
      <c r="F78" s="3371"/>
      <c r="G78" s="3371"/>
      <c r="H78" s="3371"/>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95" t="s">
        <v>3238</v>
      </c>
      <c r="F83" s="3295"/>
      <c r="G83" s="3295"/>
      <c r="H83" s="3295"/>
    </row>
    <row r="84" spans="3:8" ht="12.75" customHeight="1">
      <c r="C84" s="1787" t="s">
        <v>4824</v>
      </c>
      <c r="E84" s="3295" t="s">
        <v>3399</v>
      </c>
      <c r="F84" s="3295"/>
      <c r="G84" s="3295"/>
      <c r="H84" s="3295"/>
    </row>
    <row r="85" spans="3:8" ht="12.75" customHeight="1">
      <c r="C85" s="1788"/>
      <c r="D85" s="1785" t="s">
        <v>3237</v>
      </c>
      <c r="E85" s="3370" t="s">
        <v>3400</v>
      </c>
      <c r="F85" s="3370"/>
      <c r="G85" s="3370"/>
      <c r="H85" s="3370"/>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295" t="s">
        <v>3238</v>
      </c>
      <c r="F88" s="3295"/>
      <c r="G88" s="3295"/>
      <c r="H88" s="3295"/>
    </row>
    <row r="89" spans="3:8" ht="12.75" customHeight="1">
      <c r="C89" s="1787" t="s">
        <v>4824</v>
      </c>
      <c r="E89" s="3295" t="s">
        <v>3399</v>
      </c>
      <c r="F89" s="3295"/>
      <c r="G89" s="3295"/>
      <c r="H89" s="3295"/>
    </row>
    <row r="90" spans="3:8" ht="12.75" customHeight="1">
      <c r="C90" s="1788"/>
      <c r="D90" s="1786" t="s">
        <v>3237</v>
      </c>
      <c r="E90" s="3371" t="s">
        <v>3400</v>
      </c>
      <c r="F90" s="3371"/>
      <c r="G90" s="3371"/>
      <c r="H90" s="3371"/>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295" t="s">
        <v>3238</v>
      </c>
      <c r="F93" s="3295"/>
      <c r="G93" s="3295"/>
      <c r="H93" s="3295"/>
    </row>
    <row r="94" spans="3:8" ht="12.75" customHeight="1">
      <c r="C94" s="1787" t="s">
        <v>4824</v>
      </c>
      <c r="E94" s="3295" t="s">
        <v>3399</v>
      </c>
      <c r="F94" s="3295"/>
      <c r="G94" s="3295"/>
      <c r="H94" s="3295"/>
    </row>
    <row r="95" spans="3:8" ht="12.75" customHeight="1">
      <c r="C95" s="1788"/>
      <c r="D95" s="1786" t="s">
        <v>3237</v>
      </c>
      <c r="E95" s="3371" t="s">
        <v>3400</v>
      </c>
      <c r="F95" s="3371"/>
      <c r="G95" s="3371"/>
      <c r="H95" s="3371"/>
    </row>
    <row r="96" spans="3:8" ht="6" customHeight="1">
      <c r="D96" s="814"/>
      <c r="E96" s="1784"/>
      <c r="F96" s="1784"/>
      <c r="G96" s="1784"/>
      <c r="H96" s="1784"/>
    </row>
    <row r="97" spans="1:11">
      <c r="A97" s="785" t="s">
        <v>3233</v>
      </c>
      <c r="B97" s="812" t="str">
        <f>IF('Part VI-Revenues &amp; Expenses'!$O$62=0,"",'Part VI-Revenues &amp; Expenses'!$O$62)</f>
        <v/>
      </c>
      <c r="C97" s="785" t="s">
        <v>4822</v>
      </c>
      <c r="D97" s="813" t="s">
        <v>4823</v>
      </c>
    </row>
    <row r="98" spans="1:11" ht="1.95" customHeight="1"/>
    <row r="99" spans="1:11" ht="12.75" customHeight="1">
      <c r="C99" s="779" t="s">
        <v>3138</v>
      </c>
      <c r="D99" s="814" t="s">
        <v>1938</v>
      </c>
      <c r="E99" s="815"/>
      <c r="F99" s="3295" t="s">
        <v>3139</v>
      </c>
      <c r="G99" s="3295"/>
      <c r="H99" s="3295"/>
      <c r="K99" s="730" t="s">
        <v>238</v>
      </c>
    </row>
    <row r="100" spans="1:11" ht="12.75" customHeight="1">
      <c r="C100" s="816" t="s">
        <v>1326</v>
      </c>
      <c r="D100" s="814" t="s">
        <v>1940</v>
      </c>
      <c r="E100" s="3295" t="s">
        <v>3239</v>
      </c>
      <c r="F100" s="3295"/>
      <c r="G100" s="3295"/>
      <c r="H100" s="3295"/>
    </row>
    <row r="101" spans="1:11" ht="12.75" customHeight="1">
      <c r="E101" s="3295" t="s">
        <v>3399</v>
      </c>
      <c r="F101" s="3295"/>
      <c r="G101" s="3295"/>
      <c r="H101" s="3295"/>
    </row>
    <row r="102" spans="1:11" ht="12.75" customHeight="1">
      <c r="D102" s="817" t="s">
        <v>3237</v>
      </c>
      <c r="E102" s="3295" t="s">
        <v>3400</v>
      </c>
      <c r="F102" s="3295"/>
      <c r="G102" s="3295"/>
      <c r="H102" s="3295"/>
    </row>
    <row r="103" spans="1:11" ht="9" customHeight="1" thickBot="1"/>
    <row r="104" spans="1:11" ht="16.350000000000001" customHeight="1" thickBot="1">
      <c r="A104" s="3377">
        <v>30</v>
      </c>
      <c r="B104" s="3378"/>
      <c r="C104" s="1789" t="s">
        <v>1018</v>
      </c>
    </row>
    <row r="105" spans="1:11" ht="9" customHeight="1">
      <c r="A105" s="752"/>
    </row>
    <row r="106" spans="1:11" ht="28.35" customHeight="1">
      <c r="A106" s="3375" t="s">
        <v>4827</v>
      </c>
      <c r="B106" s="3375"/>
      <c r="C106" s="3375"/>
      <c r="D106" s="3375"/>
      <c r="E106" s="3375"/>
      <c r="F106" s="3375"/>
      <c r="G106" s="3375"/>
      <c r="H106" s="3375"/>
    </row>
    <row r="107" spans="1:11" ht="9" customHeight="1">
      <c r="A107" s="752"/>
    </row>
    <row r="108" spans="1:11">
      <c r="A108" s="785" t="s">
        <v>3233</v>
      </c>
      <c r="B108" s="812" t="str">
        <f>IF('Part VI-Revenues &amp; Expenses'!$K$61=0,"",'Part VI-Revenues &amp; Expenses'!$K$61)</f>
        <v/>
      </c>
      <c r="C108" s="785" t="s">
        <v>4819</v>
      </c>
      <c r="D108" s="813" t="s">
        <v>4820</v>
      </c>
    </row>
    <row r="109" spans="1:11" ht="1.95" customHeight="1"/>
    <row r="110" spans="1:11" ht="12.75" customHeight="1">
      <c r="C110" s="779" t="s">
        <v>3138</v>
      </c>
      <c r="D110" s="814" t="s">
        <v>1938</v>
      </c>
      <c r="E110" s="815"/>
      <c r="F110" s="3295" t="s">
        <v>3139</v>
      </c>
      <c r="G110" s="3295"/>
      <c r="H110" s="3295"/>
    </row>
    <row r="111" spans="1:11" ht="12.75" customHeight="1">
      <c r="C111" s="816" t="s">
        <v>1326</v>
      </c>
      <c r="D111" s="814" t="s">
        <v>1940</v>
      </c>
      <c r="E111" s="3295" t="s">
        <v>3238</v>
      </c>
      <c r="F111" s="3295"/>
      <c r="G111" s="3295"/>
      <c r="H111" s="3295"/>
    </row>
    <row r="112" spans="1:11" ht="12.75" customHeight="1">
      <c r="C112" s="1787" t="s">
        <v>4824</v>
      </c>
      <c r="E112" s="3295" t="s">
        <v>3399</v>
      </c>
      <c r="F112" s="3295"/>
      <c r="G112" s="3295"/>
      <c r="H112" s="3295"/>
    </row>
    <row r="113" spans="1:8" ht="12.75" customHeight="1">
      <c r="C113" s="1788"/>
      <c r="D113" s="1786" t="s">
        <v>3237</v>
      </c>
      <c r="E113" s="3371" t="s">
        <v>3400</v>
      </c>
      <c r="F113" s="3371"/>
      <c r="G113" s="3371"/>
      <c r="H113" s="3371"/>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295" t="s">
        <v>3238</v>
      </c>
      <c r="F116" s="3295"/>
      <c r="G116" s="3295"/>
      <c r="H116" s="3295"/>
    </row>
    <row r="117" spans="1:8" ht="12.75" customHeight="1">
      <c r="C117" s="1787" t="s">
        <v>4824</v>
      </c>
      <c r="E117" s="3295" t="s">
        <v>3399</v>
      </c>
      <c r="F117" s="3295"/>
      <c r="G117" s="3295"/>
      <c r="H117" s="3295"/>
    </row>
    <row r="118" spans="1:8" ht="12.75" customHeight="1">
      <c r="C118" s="1788"/>
      <c r="D118" s="1786" t="s">
        <v>3237</v>
      </c>
      <c r="E118" s="3371" t="s">
        <v>3400</v>
      </c>
      <c r="F118" s="3371"/>
      <c r="G118" s="3371"/>
      <c r="H118" s="3371"/>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295" t="s">
        <v>3238</v>
      </c>
      <c r="F121" s="3295"/>
      <c r="G121" s="3295"/>
      <c r="H121" s="3295"/>
    </row>
    <row r="122" spans="1:8" ht="12.75" customHeight="1">
      <c r="C122" s="1787" t="s">
        <v>4824</v>
      </c>
      <c r="E122" s="3295" t="s">
        <v>3399</v>
      </c>
      <c r="F122" s="3295"/>
      <c r="G122" s="3295"/>
      <c r="H122" s="3295"/>
    </row>
    <row r="123" spans="1:8" ht="12.75" customHeight="1">
      <c r="C123" s="1788"/>
      <c r="D123" s="1786" t="s">
        <v>3237</v>
      </c>
      <c r="E123" s="3371" t="s">
        <v>3400</v>
      </c>
      <c r="F123" s="3371"/>
      <c r="G123" s="3371"/>
      <c r="H123" s="3371"/>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95" t="s">
        <v>3238</v>
      </c>
      <c r="F128" s="3295"/>
      <c r="G128" s="3295"/>
      <c r="H128" s="3295"/>
    </row>
    <row r="129" spans="1:8" ht="12.75" customHeight="1">
      <c r="C129" s="1787" t="s">
        <v>4824</v>
      </c>
      <c r="E129" s="3295" t="s">
        <v>3399</v>
      </c>
      <c r="F129" s="3295"/>
      <c r="G129" s="3295"/>
      <c r="H129" s="3295"/>
    </row>
    <row r="130" spans="1:8" ht="12.75" customHeight="1">
      <c r="C130" s="1788"/>
      <c r="D130" s="1785" t="s">
        <v>3237</v>
      </c>
      <c r="E130" s="3370" t="s">
        <v>3400</v>
      </c>
      <c r="F130" s="3370"/>
      <c r="G130" s="3370"/>
      <c r="H130" s="3370"/>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295" t="s">
        <v>3238</v>
      </c>
      <c r="F133" s="3295"/>
      <c r="G133" s="3295"/>
      <c r="H133" s="3295"/>
    </row>
    <row r="134" spans="1:8" ht="12.75" customHeight="1">
      <c r="C134" s="1787" t="s">
        <v>4824</v>
      </c>
      <c r="E134" s="3295" t="s">
        <v>3399</v>
      </c>
      <c r="F134" s="3295"/>
      <c r="G134" s="3295"/>
      <c r="H134" s="3295"/>
    </row>
    <row r="135" spans="1:8" ht="12.75" customHeight="1">
      <c r="C135" s="1788"/>
      <c r="D135" s="1786" t="s">
        <v>3237</v>
      </c>
      <c r="E135" s="3371" t="s">
        <v>3400</v>
      </c>
      <c r="F135" s="3371"/>
      <c r="G135" s="3371"/>
      <c r="H135" s="3371"/>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295" t="s">
        <v>3238</v>
      </c>
      <c r="F138" s="3295"/>
      <c r="G138" s="3295"/>
      <c r="H138" s="3295"/>
    </row>
    <row r="139" spans="1:8" ht="12.75" customHeight="1">
      <c r="C139" s="1787" t="s">
        <v>4824</v>
      </c>
      <c r="E139" s="3295" t="s">
        <v>3399</v>
      </c>
      <c r="F139" s="3295"/>
      <c r="G139" s="3295"/>
      <c r="H139" s="3295"/>
    </row>
    <row r="140" spans="1:8" ht="12.75" customHeight="1">
      <c r="C140" s="1788"/>
      <c r="D140" s="1786" t="s">
        <v>3237</v>
      </c>
      <c r="E140" s="3371" t="s">
        <v>3400</v>
      </c>
      <c r="F140" s="3371"/>
      <c r="G140" s="3371"/>
      <c r="H140" s="3371"/>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95" t="s">
        <v>3238</v>
      </c>
      <c r="F145" s="3295"/>
      <c r="G145" s="3295"/>
      <c r="H145" s="3295"/>
    </row>
    <row r="146" spans="1:8" ht="12.75" customHeight="1">
      <c r="C146" s="1787" t="s">
        <v>4824</v>
      </c>
      <c r="E146" s="3295" t="s">
        <v>3399</v>
      </c>
      <c r="F146" s="3295"/>
      <c r="G146" s="3295"/>
      <c r="H146" s="3295"/>
    </row>
    <row r="147" spans="1:8" ht="12.75" customHeight="1">
      <c r="C147" s="1788"/>
      <c r="D147" s="1785" t="s">
        <v>3237</v>
      </c>
      <c r="E147" s="3370" t="s">
        <v>3400</v>
      </c>
      <c r="F147" s="3370"/>
      <c r="G147" s="3370"/>
      <c r="H147" s="3370"/>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295" t="s">
        <v>3238</v>
      </c>
      <c r="F150" s="3295"/>
      <c r="G150" s="3295"/>
      <c r="H150" s="3295"/>
    </row>
    <row r="151" spans="1:8" ht="12.75" customHeight="1">
      <c r="C151" s="1787" t="s">
        <v>4824</v>
      </c>
      <c r="E151" s="3295" t="s">
        <v>3399</v>
      </c>
      <c r="F151" s="3295"/>
      <c r="G151" s="3295"/>
      <c r="H151" s="3295"/>
    </row>
    <row r="152" spans="1:8" ht="12.75" customHeight="1">
      <c r="C152" s="1788"/>
      <c r="D152" s="1786" t="s">
        <v>3237</v>
      </c>
      <c r="E152" s="3371" t="s">
        <v>3400</v>
      </c>
      <c r="F152" s="3371"/>
      <c r="G152" s="3371"/>
      <c r="H152" s="3371"/>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295" t="s">
        <v>3238</v>
      </c>
      <c r="F155" s="3295"/>
      <c r="G155" s="3295"/>
      <c r="H155" s="3295"/>
    </row>
    <row r="156" spans="1:8" ht="12.75" customHeight="1">
      <c r="C156" s="1787" t="s">
        <v>4824</v>
      </c>
      <c r="E156" s="3295" t="s">
        <v>3399</v>
      </c>
      <c r="F156" s="3295"/>
      <c r="G156" s="3295"/>
      <c r="H156" s="3295"/>
    </row>
    <row r="157" spans="1:8" ht="12.75" customHeight="1">
      <c r="C157" s="1788"/>
      <c r="D157" s="1786" t="s">
        <v>3237</v>
      </c>
      <c r="E157" s="3371" t="s">
        <v>3400</v>
      </c>
      <c r="F157" s="3371"/>
      <c r="G157" s="3371"/>
      <c r="H157" s="3371"/>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95" t="s">
        <v>3238</v>
      </c>
      <c r="F162" s="3295"/>
      <c r="G162" s="3295"/>
      <c r="H162" s="3295"/>
    </row>
    <row r="163" spans="1:8" ht="12.75" customHeight="1">
      <c r="C163" s="1787" t="s">
        <v>4824</v>
      </c>
      <c r="E163" s="3295" t="s">
        <v>3399</v>
      </c>
      <c r="F163" s="3295"/>
      <c r="G163" s="3295"/>
      <c r="H163" s="3295"/>
    </row>
    <row r="164" spans="1:8" ht="12.75" customHeight="1">
      <c r="C164" s="1788"/>
      <c r="D164" s="1785" t="s">
        <v>3237</v>
      </c>
      <c r="E164" s="3370" t="s">
        <v>3400</v>
      </c>
      <c r="F164" s="3370"/>
      <c r="G164" s="3370"/>
      <c r="H164" s="3370"/>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295" t="s">
        <v>3238</v>
      </c>
      <c r="F167" s="3295"/>
      <c r="G167" s="3295"/>
      <c r="H167" s="3295"/>
    </row>
    <row r="168" spans="1:8" ht="12.75" customHeight="1">
      <c r="C168" s="1787" t="s">
        <v>4824</v>
      </c>
      <c r="E168" s="3295" t="s">
        <v>3399</v>
      </c>
      <c r="F168" s="3295"/>
      <c r="G168" s="3295"/>
      <c r="H168" s="3295"/>
    </row>
    <row r="169" spans="1:8" ht="12.75" customHeight="1">
      <c r="C169" s="1788"/>
      <c r="D169" s="1786" t="s">
        <v>3237</v>
      </c>
      <c r="E169" s="3371" t="s">
        <v>3400</v>
      </c>
      <c r="F169" s="3371"/>
      <c r="G169" s="3371"/>
      <c r="H169" s="3371"/>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295" t="s">
        <v>3238</v>
      </c>
      <c r="F172" s="3295"/>
      <c r="G172" s="3295"/>
      <c r="H172" s="3295"/>
    </row>
    <row r="173" spans="1:8" ht="12.75" customHeight="1">
      <c r="C173" s="1787" t="s">
        <v>4824</v>
      </c>
      <c r="E173" s="3295" t="s">
        <v>3399</v>
      </c>
      <c r="F173" s="3295"/>
      <c r="G173" s="3295"/>
      <c r="H173" s="3295"/>
    </row>
    <row r="174" spans="1:8" ht="12.75" customHeight="1">
      <c r="C174" s="1788"/>
      <c r="D174" s="1786" t="s">
        <v>3237</v>
      </c>
      <c r="E174" s="3371" t="s">
        <v>3400</v>
      </c>
      <c r="F174" s="3371"/>
      <c r="G174" s="3371"/>
      <c r="H174" s="3371"/>
    </row>
    <row r="175" spans="1:8" ht="6" customHeight="1">
      <c r="D175" s="814"/>
      <c r="E175" s="1784"/>
      <c r="F175" s="1784"/>
      <c r="G175" s="1784"/>
      <c r="H175" s="1784"/>
    </row>
    <row r="176" spans="1:8">
      <c r="A176" s="785" t="s">
        <v>3233</v>
      </c>
      <c r="B176" s="812" t="str">
        <f>IF('Part VI-Revenues &amp; Expenses'!$O61=0,"",'Part VI-Revenues &amp; Expenses'!$O$61)</f>
        <v/>
      </c>
      <c r="C176" s="785" t="s">
        <v>4822</v>
      </c>
      <c r="D176" s="813" t="s">
        <v>4823</v>
      </c>
    </row>
    <row r="177" spans="1:11" ht="1.95" customHeight="1"/>
    <row r="178" spans="1:11" ht="12.75" customHeight="1">
      <c r="C178" s="779" t="s">
        <v>3138</v>
      </c>
      <c r="D178" s="814" t="s">
        <v>1938</v>
      </c>
      <c r="E178" s="815"/>
      <c r="F178" s="3295" t="s">
        <v>3139</v>
      </c>
      <c r="G178" s="3295"/>
      <c r="H178" s="3295"/>
      <c r="K178" s="730" t="s">
        <v>238</v>
      </c>
    </row>
    <row r="179" spans="1:11" ht="12.75" customHeight="1">
      <c r="C179" s="816" t="s">
        <v>1326</v>
      </c>
      <c r="D179" s="814" t="s">
        <v>1940</v>
      </c>
      <c r="E179" s="3295" t="s">
        <v>3239</v>
      </c>
      <c r="F179" s="3295"/>
      <c r="G179" s="3295"/>
      <c r="H179" s="3295"/>
    </row>
    <row r="180" spans="1:11" ht="12.75" customHeight="1">
      <c r="E180" s="3295" t="s">
        <v>3399</v>
      </c>
      <c r="F180" s="3295"/>
      <c r="G180" s="3295"/>
      <c r="H180" s="3295"/>
    </row>
    <row r="181" spans="1:11" ht="12.75" customHeight="1">
      <c r="D181" s="817" t="s">
        <v>3237</v>
      </c>
      <c r="E181" s="3295" t="s">
        <v>3400</v>
      </c>
      <c r="F181" s="3295"/>
      <c r="G181" s="3295"/>
      <c r="H181" s="3295"/>
    </row>
    <row r="182" spans="1:11" ht="9" customHeight="1" thickBot="1"/>
    <row r="183" spans="1:11" ht="16.350000000000001" customHeight="1" thickBot="1">
      <c r="A183" s="3377">
        <v>40</v>
      </c>
      <c r="B183" s="3378"/>
      <c r="C183" s="1789" t="s">
        <v>1018</v>
      </c>
    </row>
    <row r="184" spans="1:11" ht="9" customHeight="1">
      <c r="A184" s="752"/>
    </row>
    <row r="185" spans="1:11" ht="28.35" customHeight="1">
      <c r="A185" s="3375" t="s">
        <v>4828</v>
      </c>
      <c r="B185" s="3375"/>
      <c r="C185" s="3375"/>
      <c r="D185" s="3375"/>
      <c r="E185" s="3375"/>
      <c r="F185" s="3375"/>
      <c r="G185" s="3375"/>
      <c r="H185" s="3375"/>
    </row>
    <row r="186" spans="1:11" ht="9" customHeight="1">
      <c r="A186" s="752"/>
    </row>
    <row r="187" spans="1:11">
      <c r="A187" s="785" t="s">
        <v>3233</v>
      </c>
      <c r="B187" s="812" t="str">
        <f>IF('Part VI-Revenues &amp; Expenses'!$K$60=0,"",'Part VI-Revenues &amp; Expenses'!$K$60)</f>
        <v/>
      </c>
      <c r="C187" s="785" t="s">
        <v>4819</v>
      </c>
      <c r="D187" s="813" t="s">
        <v>4820</v>
      </c>
    </row>
    <row r="188" spans="1:11" ht="1.95" customHeight="1"/>
    <row r="189" spans="1:11" ht="12.75" customHeight="1">
      <c r="C189" s="779" t="s">
        <v>3138</v>
      </c>
      <c r="D189" s="814" t="s">
        <v>1938</v>
      </c>
      <c r="E189" s="815"/>
      <c r="F189" s="3295" t="s">
        <v>3139</v>
      </c>
      <c r="G189" s="3295"/>
      <c r="H189" s="3295"/>
    </row>
    <row r="190" spans="1:11" ht="12.75" customHeight="1">
      <c r="C190" s="816" t="s">
        <v>1326</v>
      </c>
      <c r="D190" s="814" t="s">
        <v>1940</v>
      </c>
      <c r="E190" s="3295" t="s">
        <v>3238</v>
      </c>
      <c r="F190" s="3295"/>
      <c r="G190" s="3295"/>
      <c r="H190" s="3295"/>
    </row>
    <row r="191" spans="1:11" ht="12.75" customHeight="1">
      <c r="C191" s="1787" t="s">
        <v>4824</v>
      </c>
      <c r="E191" s="3295" t="s">
        <v>3399</v>
      </c>
      <c r="F191" s="3295"/>
      <c r="G191" s="3295"/>
      <c r="H191" s="3295"/>
    </row>
    <row r="192" spans="1:11" ht="12.75" customHeight="1">
      <c r="C192" s="1788"/>
      <c r="D192" s="1786" t="s">
        <v>3237</v>
      </c>
      <c r="E192" s="3371" t="s">
        <v>3400</v>
      </c>
      <c r="F192" s="3371"/>
      <c r="G192" s="3371"/>
      <c r="H192" s="3371"/>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295" t="s">
        <v>3238</v>
      </c>
      <c r="F195" s="3295"/>
      <c r="G195" s="3295"/>
      <c r="H195" s="3295"/>
    </row>
    <row r="196" spans="1:8" ht="12.75" customHeight="1">
      <c r="C196" s="1787" t="s">
        <v>4824</v>
      </c>
      <c r="E196" s="3295" t="s">
        <v>3399</v>
      </c>
      <c r="F196" s="3295"/>
      <c r="G196" s="3295"/>
      <c r="H196" s="3295"/>
    </row>
    <row r="197" spans="1:8" ht="12.75" customHeight="1">
      <c r="C197" s="1788"/>
      <c r="D197" s="1786" t="s">
        <v>3237</v>
      </c>
      <c r="E197" s="3371" t="s">
        <v>3400</v>
      </c>
      <c r="F197" s="3371"/>
      <c r="G197" s="3371"/>
      <c r="H197" s="3371"/>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295" t="s">
        <v>3238</v>
      </c>
      <c r="F200" s="3295"/>
      <c r="G200" s="3295"/>
      <c r="H200" s="3295"/>
    </row>
    <row r="201" spans="1:8" ht="12.75" customHeight="1">
      <c r="C201" s="1787" t="s">
        <v>4824</v>
      </c>
      <c r="E201" s="3295" t="s">
        <v>3399</v>
      </c>
      <c r="F201" s="3295"/>
      <c r="G201" s="3295"/>
      <c r="H201" s="3295"/>
    </row>
    <row r="202" spans="1:8" ht="12.75" customHeight="1">
      <c r="C202" s="1788"/>
      <c r="D202" s="1786" t="s">
        <v>3237</v>
      </c>
      <c r="E202" s="3371" t="s">
        <v>3400</v>
      </c>
      <c r="F202" s="3371"/>
      <c r="G202" s="3371"/>
      <c r="H202" s="3371"/>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95" t="s">
        <v>3238</v>
      </c>
      <c r="F207" s="3295"/>
      <c r="G207" s="3295"/>
      <c r="H207" s="3295"/>
    </row>
    <row r="208" spans="1:8" ht="12.75" customHeight="1">
      <c r="C208" s="1787" t="s">
        <v>4824</v>
      </c>
      <c r="E208" s="3295" t="s">
        <v>3399</v>
      </c>
      <c r="F208" s="3295"/>
      <c r="G208" s="3295"/>
      <c r="H208" s="3295"/>
    </row>
    <row r="209" spans="1:8" ht="12.75" customHeight="1">
      <c r="C209" s="1788"/>
      <c r="D209" s="1785" t="s">
        <v>3237</v>
      </c>
      <c r="E209" s="3370" t="s">
        <v>3400</v>
      </c>
      <c r="F209" s="3370"/>
      <c r="G209" s="3370"/>
      <c r="H209" s="3370"/>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295" t="s">
        <v>3238</v>
      </c>
      <c r="F212" s="3295"/>
      <c r="G212" s="3295"/>
      <c r="H212" s="3295"/>
    </row>
    <row r="213" spans="1:8" ht="12.75" customHeight="1">
      <c r="C213" s="1787" t="s">
        <v>4824</v>
      </c>
      <c r="E213" s="3295" t="s">
        <v>3399</v>
      </c>
      <c r="F213" s="3295"/>
      <c r="G213" s="3295"/>
      <c r="H213" s="3295"/>
    </row>
    <row r="214" spans="1:8" ht="12.75" customHeight="1">
      <c r="C214" s="1788"/>
      <c r="D214" s="1786" t="s">
        <v>3237</v>
      </c>
      <c r="E214" s="3371" t="s">
        <v>3400</v>
      </c>
      <c r="F214" s="3371"/>
      <c r="G214" s="3371"/>
      <c r="H214" s="3371"/>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295" t="s">
        <v>3238</v>
      </c>
      <c r="F217" s="3295"/>
      <c r="G217" s="3295"/>
      <c r="H217" s="3295"/>
    </row>
    <row r="218" spans="1:8" ht="12.75" customHeight="1">
      <c r="C218" s="1787" t="s">
        <v>4824</v>
      </c>
      <c r="E218" s="3295" t="s">
        <v>3399</v>
      </c>
      <c r="F218" s="3295"/>
      <c r="G218" s="3295"/>
      <c r="H218" s="3295"/>
    </row>
    <row r="219" spans="1:8" ht="12.75" customHeight="1">
      <c r="C219" s="1788"/>
      <c r="D219" s="1786" t="s">
        <v>3237</v>
      </c>
      <c r="E219" s="3371" t="s">
        <v>3400</v>
      </c>
      <c r="F219" s="3371"/>
      <c r="G219" s="3371"/>
      <c r="H219" s="3371"/>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95" t="s">
        <v>3238</v>
      </c>
      <c r="F224" s="3295"/>
      <c r="G224" s="3295"/>
      <c r="H224" s="3295"/>
    </row>
    <row r="225" spans="1:8" ht="12.75" customHeight="1">
      <c r="C225" s="1787" t="s">
        <v>4824</v>
      </c>
      <c r="E225" s="3295" t="s">
        <v>3399</v>
      </c>
      <c r="F225" s="3295"/>
      <c r="G225" s="3295"/>
      <c r="H225" s="3295"/>
    </row>
    <row r="226" spans="1:8" ht="12.75" customHeight="1">
      <c r="C226" s="1788"/>
      <c r="D226" s="1785" t="s">
        <v>3237</v>
      </c>
      <c r="E226" s="3370" t="s">
        <v>3400</v>
      </c>
      <c r="F226" s="3370"/>
      <c r="G226" s="3370"/>
      <c r="H226" s="3370"/>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295" t="s">
        <v>3238</v>
      </c>
      <c r="F229" s="3295"/>
      <c r="G229" s="3295"/>
      <c r="H229" s="3295"/>
    </row>
    <row r="230" spans="1:8" ht="12.75" customHeight="1">
      <c r="C230" s="1787" t="s">
        <v>4824</v>
      </c>
      <c r="E230" s="3295" t="s">
        <v>3399</v>
      </c>
      <c r="F230" s="3295"/>
      <c r="G230" s="3295"/>
      <c r="H230" s="3295"/>
    </row>
    <row r="231" spans="1:8" ht="12.75" customHeight="1">
      <c r="C231" s="1788"/>
      <c r="D231" s="1786" t="s">
        <v>3237</v>
      </c>
      <c r="E231" s="3371" t="s">
        <v>3400</v>
      </c>
      <c r="F231" s="3371"/>
      <c r="G231" s="3371"/>
      <c r="H231" s="3371"/>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295" t="s">
        <v>3238</v>
      </c>
      <c r="F234" s="3295"/>
      <c r="G234" s="3295"/>
      <c r="H234" s="3295"/>
    </row>
    <row r="235" spans="1:8" ht="12.75" customHeight="1">
      <c r="C235" s="1787" t="s">
        <v>4824</v>
      </c>
      <c r="E235" s="3295" t="s">
        <v>3399</v>
      </c>
      <c r="F235" s="3295"/>
      <c r="G235" s="3295"/>
      <c r="H235" s="3295"/>
    </row>
    <row r="236" spans="1:8" ht="12.75" customHeight="1">
      <c r="C236" s="1788"/>
      <c r="D236" s="1786" t="s">
        <v>3237</v>
      </c>
      <c r="E236" s="3371" t="s">
        <v>3400</v>
      </c>
      <c r="F236" s="3371"/>
      <c r="G236" s="3371"/>
      <c r="H236" s="3371"/>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95" t="s">
        <v>3238</v>
      </c>
      <c r="F241" s="3295"/>
      <c r="G241" s="3295"/>
      <c r="H241" s="3295"/>
    </row>
    <row r="242" spans="1:8" ht="12.75" customHeight="1">
      <c r="C242" s="1787" t="s">
        <v>4824</v>
      </c>
      <c r="E242" s="3295" t="s">
        <v>3399</v>
      </c>
      <c r="F242" s="3295"/>
      <c r="G242" s="3295"/>
      <c r="H242" s="3295"/>
    </row>
    <row r="243" spans="1:8" ht="12.75" customHeight="1">
      <c r="C243" s="1788"/>
      <c r="D243" s="1785" t="s">
        <v>3237</v>
      </c>
      <c r="E243" s="3370" t="s">
        <v>3400</v>
      </c>
      <c r="F243" s="3370"/>
      <c r="G243" s="3370"/>
      <c r="H243" s="3370"/>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295" t="s">
        <v>3238</v>
      </c>
      <c r="F246" s="3295"/>
      <c r="G246" s="3295"/>
      <c r="H246" s="3295"/>
    </row>
    <row r="247" spans="1:8" ht="12.75" customHeight="1">
      <c r="C247" s="1787" t="s">
        <v>4824</v>
      </c>
      <c r="E247" s="3295" t="s">
        <v>3399</v>
      </c>
      <c r="F247" s="3295"/>
      <c r="G247" s="3295"/>
      <c r="H247" s="3295"/>
    </row>
    <row r="248" spans="1:8" ht="12.75" customHeight="1">
      <c r="C248" s="1788"/>
      <c r="D248" s="1786" t="s">
        <v>3237</v>
      </c>
      <c r="E248" s="3371" t="s">
        <v>3400</v>
      </c>
      <c r="F248" s="3371"/>
      <c r="G248" s="3371"/>
      <c r="H248" s="3371"/>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295" t="s">
        <v>3238</v>
      </c>
      <c r="F251" s="3295"/>
      <c r="G251" s="3295"/>
      <c r="H251" s="3295"/>
    </row>
    <row r="252" spans="1:8" ht="12.75" customHeight="1">
      <c r="C252" s="1787" t="s">
        <v>4824</v>
      </c>
      <c r="E252" s="3295" t="s">
        <v>3399</v>
      </c>
      <c r="F252" s="3295"/>
      <c r="G252" s="3295"/>
      <c r="H252" s="3295"/>
    </row>
    <row r="253" spans="1:8" ht="12.75" customHeight="1">
      <c r="C253" s="1788"/>
      <c r="D253" s="1786" t="s">
        <v>3237</v>
      </c>
      <c r="E253" s="3371" t="s">
        <v>3400</v>
      </c>
      <c r="F253" s="3371"/>
      <c r="G253" s="3371"/>
      <c r="H253" s="3371"/>
    </row>
    <row r="254" spans="1:8" ht="6" customHeight="1">
      <c r="D254" s="814"/>
      <c r="E254" s="1784"/>
      <c r="F254" s="1784"/>
      <c r="G254" s="1784"/>
      <c r="H254" s="1784"/>
    </row>
    <row r="255" spans="1:8">
      <c r="A255" s="785" t="s">
        <v>3233</v>
      </c>
      <c r="B255" s="812" t="str">
        <f>IF('Part VI-Revenues &amp; Expenses'!$O$60=0,"",'Part VI-Revenues &amp; Expenses'!$O$60)</f>
        <v/>
      </c>
      <c r="C255" s="785" t="s">
        <v>4822</v>
      </c>
      <c r="D255" s="813" t="s">
        <v>4823</v>
      </c>
    </row>
    <row r="256" spans="1:8" ht="1.95" customHeight="1"/>
    <row r="257" spans="1:11" ht="12.75" customHeight="1">
      <c r="C257" s="779" t="s">
        <v>3138</v>
      </c>
      <c r="D257" s="814" t="s">
        <v>1938</v>
      </c>
      <c r="E257" s="815"/>
      <c r="F257" s="3295" t="s">
        <v>3139</v>
      </c>
      <c r="G257" s="3295"/>
      <c r="H257" s="3295"/>
      <c r="K257" s="730" t="s">
        <v>238</v>
      </c>
    </row>
    <row r="258" spans="1:11" ht="12.75" customHeight="1">
      <c r="C258" s="816" t="s">
        <v>1326</v>
      </c>
      <c r="D258" s="814" t="s">
        <v>1940</v>
      </c>
      <c r="E258" s="3295" t="s">
        <v>3239</v>
      </c>
      <c r="F258" s="3295"/>
      <c r="G258" s="3295"/>
      <c r="H258" s="3295"/>
    </row>
    <row r="259" spans="1:11" ht="12.75" customHeight="1">
      <c r="E259" s="3295" t="s">
        <v>3399</v>
      </c>
      <c r="F259" s="3295"/>
      <c r="G259" s="3295"/>
      <c r="H259" s="3295"/>
    </row>
    <row r="260" spans="1:11" ht="12.75" customHeight="1">
      <c r="D260" s="817" t="s">
        <v>3237</v>
      </c>
      <c r="E260" s="3295" t="s">
        <v>3400</v>
      </c>
      <c r="F260" s="3295"/>
      <c r="G260" s="3295"/>
      <c r="H260" s="3295"/>
    </row>
    <row r="261" spans="1:11" ht="9" customHeight="1" thickBot="1"/>
    <row r="262" spans="1:11" ht="16.350000000000001" customHeight="1" thickBot="1">
      <c r="A262" s="3377">
        <v>50</v>
      </c>
      <c r="B262" s="3378"/>
      <c r="C262" s="1789" t="s">
        <v>1018</v>
      </c>
    </row>
    <row r="263" spans="1:11" ht="9" customHeight="1">
      <c r="A263" s="752"/>
    </row>
    <row r="264" spans="1:11" ht="28.35" customHeight="1">
      <c r="A264" s="3375" t="s">
        <v>4825</v>
      </c>
      <c r="B264" s="3375"/>
      <c r="C264" s="3375"/>
      <c r="D264" s="3375"/>
      <c r="E264" s="3375"/>
      <c r="F264" s="3375"/>
      <c r="G264" s="3375"/>
      <c r="H264" s="3375"/>
    </row>
    <row r="265" spans="1:11" ht="9" customHeight="1">
      <c r="A265" s="752"/>
    </row>
    <row r="266" spans="1:11">
      <c r="A266" s="785" t="s">
        <v>3233</v>
      </c>
      <c r="B266" s="812" t="str">
        <f>IF('Part VI-Revenues &amp; Expenses'!$K$59=0,"",'Part VI-Revenues &amp; Expenses'!$K$59)</f>
        <v/>
      </c>
      <c r="C266" s="785" t="s">
        <v>4819</v>
      </c>
      <c r="D266" s="813" t="s">
        <v>4820</v>
      </c>
    </row>
    <row r="267" spans="1:11" ht="1.95" customHeight="1"/>
    <row r="268" spans="1:11" ht="12.75" customHeight="1">
      <c r="C268" s="779" t="s">
        <v>3138</v>
      </c>
      <c r="D268" s="814" t="s">
        <v>1938</v>
      </c>
      <c r="E268" s="815"/>
      <c r="F268" s="3295" t="s">
        <v>3139</v>
      </c>
      <c r="G268" s="3295"/>
      <c r="H268" s="3295"/>
    </row>
    <row r="269" spans="1:11" ht="12.75" customHeight="1">
      <c r="C269" s="816" t="s">
        <v>1326</v>
      </c>
      <c r="D269" s="814" t="s">
        <v>1940</v>
      </c>
      <c r="E269" s="3295" t="s">
        <v>3238</v>
      </c>
      <c r="F269" s="3295"/>
      <c r="G269" s="3295"/>
      <c r="H269" s="3295"/>
    </row>
    <row r="270" spans="1:11" ht="12.75" customHeight="1">
      <c r="C270" s="1787" t="s">
        <v>4824</v>
      </c>
      <c r="E270" s="3295" t="s">
        <v>3399</v>
      </c>
      <c r="F270" s="3295"/>
      <c r="G270" s="3295"/>
      <c r="H270" s="3295"/>
    </row>
    <row r="271" spans="1:11" ht="12.75" customHeight="1">
      <c r="C271" s="1788"/>
      <c r="D271" s="1786" t="s">
        <v>3237</v>
      </c>
      <c r="E271" s="3371" t="s">
        <v>3400</v>
      </c>
      <c r="F271" s="3371"/>
      <c r="G271" s="3371"/>
      <c r="H271" s="3371"/>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295" t="s">
        <v>3238</v>
      </c>
      <c r="F274" s="3295"/>
      <c r="G274" s="3295"/>
      <c r="H274" s="3295"/>
    </row>
    <row r="275" spans="1:8" ht="12.75" customHeight="1">
      <c r="C275" s="1787" t="s">
        <v>4824</v>
      </c>
      <c r="E275" s="3295" t="s">
        <v>3399</v>
      </c>
      <c r="F275" s="3295"/>
      <c r="G275" s="3295"/>
      <c r="H275" s="3295"/>
    </row>
    <row r="276" spans="1:8" ht="12.75" customHeight="1">
      <c r="C276" s="1788"/>
      <c r="D276" s="1786" t="s">
        <v>3237</v>
      </c>
      <c r="E276" s="3371" t="s">
        <v>3400</v>
      </c>
      <c r="F276" s="3371"/>
      <c r="G276" s="3371"/>
      <c r="H276" s="3371"/>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295" t="s">
        <v>3238</v>
      </c>
      <c r="F279" s="3295"/>
      <c r="G279" s="3295"/>
      <c r="H279" s="3295"/>
    </row>
    <row r="280" spans="1:8" ht="12.75" customHeight="1">
      <c r="C280" s="1787" t="s">
        <v>4824</v>
      </c>
      <c r="E280" s="3295" t="s">
        <v>3399</v>
      </c>
      <c r="F280" s="3295"/>
      <c r="G280" s="3295"/>
      <c r="H280" s="3295"/>
    </row>
    <row r="281" spans="1:8" ht="12.75" customHeight="1">
      <c r="C281" s="1788"/>
      <c r="D281" s="1786" t="s">
        <v>3237</v>
      </c>
      <c r="E281" s="3371" t="s">
        <v>3400</v>
      </c>
      <c r="F281" s="3371"/>
      <c r="G281" s="3371"/>
      <c r="H281" s="3371"/>
    </row>
    <row r="282" spans="1:8" ht="6" customHeight="1">
      <c r="D282" s="814"/>
      <c r="E282" s="1784"/>
      <c r="F282" s="1784"/>
      <c r="G282" s="1784"/>
      <c r="H282" s="1784"/>
    </row>
    <row r="283" spans="1:8">
      <c r="A283" s="785" t="s">
        <v>3233</v>
      </c>
      <c r="B283" s="812">
        <f>IF('Part VI-Revenues &amp; Expenses'!$L$59=0,"",'Part VI-Revenues &amp; Expenses'!$L$59)</f>
        <v>3</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95" t="s">
        <v>3238</v>
      </c>
      <c r="F286" s="3295"/>
      <c r="G286" s="3295"/>
      <c r="H286" s="3295"/>
    </row>
    <row r="287" spans="1:8" ht="12.75" customHeight="1">
      <c r="C287" s="1787" t="s">
        <v>4824</v>
      </c>
      <c r="E287" s="3295" t="s">
        <v>3399</v>
      </c>
      <c r="F287" s="3295"/>
      <c r="G287" s="3295"/>
      <c r="H287" s="3295"/>
    </row>
    <row r="288" spans="1:8" ht="12.75" customHeight="1">
      <c r="C288" s="1788"/>
      <c r="D288" s="1785" t="s">
        <v>3237</v>
      </c>
      <c r="E288" s="3370" t="s">
        <v>3400</v>
      </c>
      <c r="F288" s="3370"/>
      <c r="G288" s="3370"/>
      <c r="H288" s="3370"/>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295" t="s">
        <v>3238</v>
      </c>
      <c r="F291" s="3295"/>
      <c r="G291" s="3295"/>
      <c r="H291" s="3295"/>
    </row>
    <row r="292" spans="1:8" ht="12.75" customHeight="1">
      <c r="C292" s="1787" t="s">
        <v>4824</v>
      </c>
      <c r="E292" s="3295" t="s">
        <v>3399</v>
      </c>
      <c r="F292" s="3295"/>
      <c r="G292" s="3295"/>
      <c r="H292" s="3295"/>
    </row>
    <row r="293" spans="1:8" ht="12.75" customHeight="1">
      <c r="C293" s="1788"/>
      <c r="D293" s="1786" t="s">
        <v>3237</v>
      </c>
      <c r="E293" s="3371" t="s">
        <v>3400</v>
      </c>
      <c r="F293" s="3371"/>
      <c r="G293" s="3371"/>
      <c r="H293" s="3371"/>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295" t="s">
        <v>3238</v>
      </c>
      <c r="F296" s="3295"/>
      <c r="G296" s="3295"/>
      <c r="H296" s="3295"/>
    </row>
    <row r="297" spans="1:8" ht="12.75" customHeight="1">
      <c r="C297" s="1787" t="s">
        <v>4824</v>
      </c>
      <c r="E297" s="3295" t="s">
        <v>3399</v>
      </c>
      <c r="F297" s="3295"/>
      <c r="G297" s="3295"/>
      <c r="H297" s="3295"/>
    </row>
    <row r="298" spans="1:8" ht="12.75" customHeight="1">
      <c r="C298" s="1788"/>
      <c r="D298" s="1786" t="s">
        <v>3237</v>
      </c>
      <c r="E298" s="3371" t="s">
        <v>3400</v>
      </c>
      <c r="F298" s="3371"/>
      <c r="G298" s="3371"/>
      <c r="H298" s="3371"/>
    </row>
    <row r="299" spans="1:8" ht="6" customHeight="1">
      <c r="D299" s="814"/>
      <c r="E299" s="1784"/>
      <c r="F299" s="1784"/>
      <c r="G299" s="1784"/>
      <c r="H299" s="1784"/>
    </row>
    <row r="300" spans="1:8">
      <c r="A300" s="785" t="s">
        <v>3233</v>
      </c>
      <c r="B300" s="812">
        <f>IF('Part VI-Revenues &amp; Expenses'!$M$59=0,"",'Part VI-Revenues &amp; Expenses'!$M$59)</f>
        <v>7</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95" t="s">
        <v>3238</v>
      </c>
      <c r="F303" s="3295"/>
      <c r="G303" s="3295"/>
      <c r="H303" s="3295"/>
    </row>
    <row r="304" spans="1:8" ht="12.75" customHeight="1">
      <c r="C304" s="1787" t="s">
        <v>4824</v>
      </c>
      <c r="E304" s="3295" t="s">
        <v>3399</v>
      </c>
      <c r="F304" s="3295"/>
      <c r="G304" s="3295"/>
      <c r="H304" s="3295"/>
    </row>
    <row r="305" spans="1:8" ht="12.75" customHeight="1">
      <c r="C305" s="1788"/>
      <c r="D305" s="1785" t="s">
        <v>3237</v>
      </c>
      <c r="E305" s="3370" t="s">
        <v>3400</v>
      </c>
      <c r="F305" s="3370"/>
      <c r="G305" s="3370"/>
      <c r="H305" s="3370"/>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295" t="s">
        <v>3238</v>
      </c>
      <c r="F308" s="3295"/>
      <c r="G308" s="3295"/>
      <c r="H308" s="3295"/>
    </row>
    <row r="309" spans="1:8" ht="12.75" customHeight="1">
      <c r="C309" s="1787" t="s">
        <v>4824</v>
      </c>
      <c r="E309" s="3295" t="s">
        <v>3399</v>
      </c>
      <c r="F309" s="3295"/>
      <c r="G309" s="3295"/>
      <c r="H309" s="3295"/>
    </row>
    <row r="310" spans="1:8" ht="12.75" customHeight="1">
      <c r="C310" s="1788"/>
      <c r="D310" s="1786" t="s">
        <v>3237</v>
      </c>
      <c r="E310" s="3371" t="s">
        <v>3400</v>
      </c>
      <c r="F310" s="3371"/>
      <c r="G310" s="3371"/>
      <c r="H310" s="3371"/>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295" t="s">
        <v>3238</v>
      </c>
      <c r="F313" s="3295"/>
      <c r="G313" s="3295"/>
      <c r="H313" s="3295"/>
    </row>
    <row r="314" spans="1:8" ht="12.75" customHeight="1">
      <c r="C314" s="1787" t="s">
        <v>4824</v>
      </c>
      <c r="E314" s="3295" t="s">
        <v>3399</v>
      </c>
      <c r="F314" s="3295"/>
      <c r="G314" s="3295"/>
      <c r="H314" s="3295"/>
    </row>
    <row r="315" spans="1:8" ht="12.75" customHeight="1">
      <c r="C315" s="1788"/>
      <c r="D315" s="1786" t="s">
        <v>3237</v>
      </c>
      <c r="E315" s="3371" t="s">
        <v>3400</v>
      </c>
      <c r="F315" s="3371"/>
      <c r="G315" s="3371"/>
      <c r="H315" s="3371"/>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95" t="s">
        <v>3238</v>
      </c>
      <c r="F320" s="3295"/>
      <c r="G320" s="3295"/>
      <c r="H320" s="3295"/>
    </row>
    <row r="321" spans="1:11" ht="12.75" customHeight="1">
      <c r="C321" s="1787" t="s">
        <v>4824</v>
      </c>
      <c r="E321" s="3295" t="s">
        <v>3399</v>
      </c>
      <c r="F321" s="3295"/>
      <c r="G321" s="3295"/>
      <c r="H321" s="3295"/>
    </row>
    <row r="322" spans="1:11" ht="12.75" customHeight="1">
      <c r="C322" s="1788"/>
      <c r="D322" s="1785" t="s">
        <v>3237</v>
      </c>
      <c r="E322" s="3370" t="s">
        <v>3400</v>
      </c>
      <c r="F322" s="3370"/>
      <c r="G322" s="3370"/>
      <c r="H322" s="3370"/>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295" t="s">
        <v>3238</v>
      </c>
      <c r="F325" s="3295"/>
      <c r="G325" s="3295"/>
      <c r="H325" s="3295"/>
    </row>
    <row r="326" spans="1:11" ht="12.75" customHeight="1">
      <c r="C326" s="1787" t="s">
        <v>4824</v>
      </c>
      <c r="E326" s="3295" t="s">
        <v>3399</v>
      </c>
      <c r="F326" s="3295"/>
      <c r="G326" s="3295"/>
      <c r="H326" s="3295"/>
    </row>
    <row r="327" spans="1:11" ht="12.75" customHeight="1">
      <c r="C327" s="1788"/>
      <c r="D327" s="1786" t="s">
        <v>3237</v>
      </c>
      <c r="E327" s="3371" t="s">
        <v>3400</v>
      </c>
      <c r="F327" s="3371"/>
      <c r="G327" s="3371"/>
      <c r="H327" s="3371"/>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295" t="s">
        <v>3238</v>
      </c>
      <c r="F330" s="3295"/>
      <c r="G330" s="3295"/>
      <c r="H330" s="3295"/>
    </row>
    <row r="331" spans="1:11" ht="12.75" customHeight="1">
      <c r="C331" s="1787" t="s">
        <v>4824</v>
      </c>
      <c r="E331" s="3295" t="s">
        <v>3399</v>
      </c>
      <c r="F331" s="3295"/>
      <c r="G331" s="3295"/>
      <c r="H331" s="3295"/>
    </row>
    <row r="332" spans="1:11" ht="12.75" customHeight="1">
      <c r="C332" s="1788"/>
      <c r="D332" s="1786" t="s">
        <v>3237</v>
      </c>
      <c r="E332" s="3371" t="s">
        <v>3400</v>
      </c>
      <c r="F332" s="3371"/>
      <c r="G332" s="3371"/>
      <c r="H332" s="3371"/>
    </row>
    <row r="333" spans="1:11" ht="6" customHeight="1">
      <c r="D333" s="814"/>
      <c r="E333" s="1784"/>
      <c r="F333" s="1784"/>
      <c r="G333" s="1784"/>
      <c r="H333" s="1784"/>
    </row>
    <row r="334" spans="1:11">
      <c r="A334" s="785" t="s">
        <v>3233</v>
      </c>
      <c r="B334" s="812" t="str">
        <f>IF('Part VI-Revenues &amp; Expenses'!$O$59=0,"",'Part VI-Revenues &amp; Expenses'!$O$59)</f>
        <v/>
      </c>
      <c r="C334" s="785" t="s">
        <v>4822</v>
      </c>
      <c r="D334" s="813" t="s">
        <v>4823</v>
      </c>
    </row>
    <row r="335" spans="1:11" ht="1.95" customHeight="1"/>
    <row r="336" spans="1:11" ht="12.75" customHeight="1">
      <c r="C336" s="779" t="s">
        <v>3138</v>
      </c>
      <c r="D336" s="814" t="s">
        <v>1938</v>
      </c>
      <c r="E336" s="815"/>
      <c r="F336" s="3295" t="s">
        <v>3139</v>
      </c>
      <c r="G336" s="3295"/>
      <c r="H336" s="3295"/>
      <c r="K336" s="730" t="s">
        <v>238</v>
      </c>
    </row>
    <row r="337" spans="1:8" ht="12.75" customHeight="1">
      <c r="C337" s="816" t="s">
        <v>1326</v>
      </c>
      <c r="D337" s="814" t="s">
        <v>1940</v>
      </c>
      <c r="E337" s="3295" t="s">
        <v>3239</v>
      </c>
      <c r="F337" s="3295"/>
      <c r="G337" s="3295"/>
      <c r="H337" s="3295"/>
    </row>
    <row r="338" spans="1:8" ht="12.75" customHeight="1">
      <c r="E338" s="3295" t="s">
        <v>3399</v>
      </c>
      <c r="F338" s="3295"/>
      <c r="G338" s="3295"/>
      <c r="H338" s="3295"/>
    </row>
    <row r="339" spans="1:8" ht="12.75" customHeight="1">
      <c r="D339" s="817" t="s">
        <v>3237</v>
      </c>
      <c r="E339" s="3295" t="s">
        <v>3400</v>
      </c>
      <c r="F339" s="3295"/>
      <c r="G339" s="3295"/>
      <c r="H339" s="3295"/>
    </row>
    <row r="340" spans="1:8" ht="9" customHeight="1"/>
    <row r="341" spans="1:8" ht="7.5" customHeight="1" thickBot="1">
      <c r="E341" s="3295"/>
      <c r="F341" s="3295"/>
      <c r="G341" s="3295"/>
      <c r="H341" s="3295"/>
    </row>
    <row r="342" spans="1:8" ht="16.350000000000001" customHeight="1" thickBot="1">
      <c r="A342" s="3377">
        <v>60</v>
      </c>
      <c r="B342" s="3378"/>
      <c r="C342" s="1789" t="s">
        <v>1018</v>
      </c>
    </row>
    <row r="343" spans="1:8" ht="9" customHeight="1">
      <c r="A343" s="752"/>
    </row>
    <row r="344" spans="1:8" ht="28.35" customHeight="1">
      <c r="A344" s="3375" t="s">
        <v>4829</v>
      </c>
      <c r="B344" s="3375"/>
      <c r="C344" s="3375"/>
      <c r="D344" s="3375"/>
      <c r="E344" s="3375"/>
      <c r="F344" s="3375"/>
      <c r="G344" s="3375"/>
      <c r="H344" s="3375"/>
    </row>
    <row r="345" spans="1:8" ht="9" customHeight="1">
      <c r="A345" s="752"/>
    </row>
    <row r="346" spans="1:8">
      <c r="A346" s="785" t="s">
        <v>3233</v>
      </c>
      <c r="B346" s="812" t="str">
        <f>IF('Part VI-Revenues &amp; Expenses'!$K$58=0,"",'Part VI-Revenues &amp; Expenses'!$K$58)</f>
        <v/>
      </c>
      <c r="C346" s="785" t="s">
        <v>4819</v>
      </c>
      <c r="D346" s="813" t="s">
        <v>4820</v>
      </c>
    </row>
    <row r="347" spans="1:8" ht="1.95" customHeight="1"/>
    <row r="348" spans="1:8" ht="12.75" customHeight="1">
      <c r="C348" s="779" t="s">
        <v>3138</v>
      </c>
      <c r="D348" s="814" t="s">
        <v>1938</v>
      </c>
      <c r="E348" s="815"/>
      <c r="F348" s="3295" t="s">
        <v>3139</v>
      </c>
      <c r="G348" s="3295"/>
      <c r="H348" s="3295"/>
    </row>
    <row r="349" spans="1:8" ht="12.75" customHeight="1">
      <c r="C349" s="816" t="s">
        <v>1326</v>
      </c>
      <c r="D349" s="814" t="s">
        <v>1940</v>
      </c>
      <c r="E349" s="3295" t="s">
        <v>3238</v>
      </c>
      <c r="F349" s="3295"/>
      <c r="G349" s="3295"/>
      <c r="H349" s="3295"/>
    </row>
    <row r="350" spans="1:8" ht="12.75" customHeight="1">
      <c r="C350" s="1787" t="s">
        <v>4824</v>
      </c>
      <c r="E350" s="3295" t="s">
        <v>3399</v>
      </c>
      <c r="F350" s="3295"/>
      <c r="G350" s="3295"/>
      <c r="H350" s="3295"/>
    </row>
    <row r="351" spans="1:8" ht="12.75" customHeight="1">
      <c r="C351" s="1788"/>
      <c r="D351" s="1786" t="s">
        <v>3237</v>
      </c>
      <c r="E351" s="3371" t="s">
        <v>3400</v>
      </c>
      <c r="F351" s="3371"/>
      <c r="G351" s="3371"/>
      <c r="H351" s="3371"/>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295" t="s">
        <v>3238</v>
      </c>
      <c r="F354" s="3295"/>
      <c r="G354" s="3295"/>
      <c r="H354" s="3295"/>
    </row>
    <row r="355" spans="1:8" ht="12.75" customHeight="1">
      <c r="C355" s="1787" t="s">
        <v>4824</v>
      </c>
      <c r="E355" s="3295" t="s">
        <v>3399</v>
      </c>
      <c r="F355" s="3295"/>
      <c r="G355" s="3295"/>
      <c r="H355" s="3295"/>
    </row>
    <row r="356" spans="1:8" ht="12.75" customHeight="1">
      <c r="C356" s="1788"/>
      <c r="D356" s="1786" t="s">
        <v>3237</v>
      </c>
      <c r="E356" s="3371" t="s">
        <v>3400</v>
      </c>
      <c r="F356" s="3371"/>
      <c r="G356" s="3371"/>
      <c r="H356" s="3371"/>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295" t="s">
        <v>3238</v>
      </c>
      <c r="F359" s="3295"/>
      <c r="G359" s="3295"/>
      <c r="H359" s="3295"/>
    </row>
    <row r="360" spans="1:8" ht="12.75" customHeight="1">
      <c r="C360" s="1787" t="s">
        <v>4824</v>
      </c>
      <c r="E360" s="3295" t="s">
        <v>3399</v>
      </c>
      <c r="F360" s="3295"/>
      <c r="G360" s="3295"/>
      <c r="H360" s="3295"/>
    </row>
    <row r="361" spans="1:8" ht="12.75" customHeight="1">
      <c r="C361" s="1788"/>
      <c r="D361" s="1786" t="s">
        <v>3237</v>
      </c>
      <c r="E361" s="3371" t="s">
        <v>3400</v>
      </c>
      <c r="F361" s="3371"/>
      <c r="G361" s="3371"/>
      <c r="H361" s="3371"/>
    </row>
    <row r="362" spans="1:8" ht="6" customHeight="1">
      <c r="D362" s="814"/>
      <c r="E362" s="1784"/>
      <c r="F362" s="1784"/>
      <c r="G362" s="1784"/>
      <c r="H362" s="1784"/>
    </row>
    <row r="363" spans="1:8">
      <c r="A363" s="785" t="s">
        <v>3233</v>
      </c>
      <c r="B363" s="812">
        <f>IF('Part VI-Revenues &amp; Expenses'!$L$58=0,"",'Part VI-Revenues &amp; Expenses'!$L$58)</f>
        <v>11</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95" t="s">
        <v>3238</v>
      </c>
      <c r="F366" s="3295"/>
      <c r="G366" s="3295"/>
      <c r="H366" s="3295"/>
    </row>
    <row r="367" spans="1:8" ht="12.75" customHeight="1">
      <c r="C367" s="1787" t="s">
        <v>4824</v>
      </c>
      <c r="E367" s="3295" t="s">
        <v>3399</v>
      </c>
      <c r="F367" s="3295"/>
      <c r="G367" s="3295"/>
      <c r="H367" s="3295"/>
    </row>
    <row r="368" spans="1:8" ht="12.75" customHeight="1">
      <c r="C368" s="1788"/>
      <c r="D368" s="1785" t="s">
        <v>3237</v>
      </c>
      <c r="E368" s="3370" t="s">
        <v>3400</v>
      </c>
      <c r="F368" s="3370"/>
      <c r="G368" s="3370"/>
      <c r="H368" s="3370"/>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295" t="s">
        <v>3238</v>
      </c>
      <c r="F371" s="3295"/>
      <c r="G371" s="3295"/>
      <c r="H371" s="3295"/>
    </row>
    <row r="372" spans="1:8" ht="12.75" customHeight="1">
      <c r="C372" s="1787" t="s">
        <v>4824</v>
      </c>
      <c r="E372" s="3295" t="s">
        <v>3399</v>
      </c>
      <c r="F372" s="3295"/>
      <c r="G372" s="3295"/>
      <c r="H372" s="3295"/>
    </row>
    <row r="373" spans="1:8" ht="12.75" customHeight="1">
      <c r="C373" s="1788"/>
      <c r="D373" s="1786" t="s">
        <v>3237</v>
      </c>
      <c r="E373" s="3371" t="s">
        <v>3400</v>
      </c>
      <c r="F373" s="3371"/>
      <c r="G373" s="3371"/>
      <c r="H373" s="3371"/>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295" t="s">
        <v>3238</v>
      </c>
      <c r="F376" s="3295"/>
      <c r="G376" s="3295"/>
      <c r="H376" s="3295"/>
    </row>
    <row r="377" spans="1:8" ht="12.75" customHeight="1">
      <c r="C377" s="1787" t="s">
        <v>4824</v>
      </c>
      <c r="E377" s="3295" t="s">
        <v>3399</v>
      </c>
      <c r="F377" s="3295"/>
      <c r="G377" s="3295"/>
      <c r="H377" s="3295"/>
    </row>
    <row r="378" spans="1:8" ht="12.75" customHeight="1">
      <c r="C378" s="1788"/>
      <c r="D378" s="1786" t="s">
        <v>3237</v>
      </c>
      <c r="E378" s="3371" t="s">
        <v>3400</v>
      </c>
      <c r="F378" s="3371"/>
      <c r="G378" s="3371"/>
      <c r="H378" s="3371"/>
    </row>
    <row r="379" spans="1:8" ht="6" customHeight="1">
      <c r="D379" s="814"/>
      <c r="E379" s="1784"/>
      <c r="F379" s="1784"/>
      <c r="G379" s="1784"/>
      <c r="H379" s="1784"/>
    </row>
    <row r="380" spans="1:8">
      <c r="A380" s="785" t="s">
        <v>3233</v>
      </c>
      <c r="B380" s="812">
        <f>IF('Part VI-Revenues &amp; Expenses'!$M$58=0,"",'Part VI-Revenues &amp; Expenses'!$M$58)</f>
        <v>27</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95" t="s">
        <v>3238</v>
      </c>
      <c r="F383" s="3295"/>
      <c r="G383" s="3295"/>
      <c r="H383" s="3295"/>
    </row>
    <row r="384" spans="1:8" ht="12.75" customHeight="1">
      <c r="C384" s="1787" t="s">
        <v>4824</v>
      </c>
      <c r="E384" s="3295" t="s">
        <v>3399</v>
      </c>
      <c r="F384" s="3295"/>
      <c r="G384" s="3295"/>
      <c r="H384" s="3295"/>
    </row>
    <row r="385" spans="1:8" ht="12.75" customHeight="1">
      <c r="C385" s="1788"/>
      <c r="D385" s="1785" t="s">
        <v>3237</v>
      </c>
      <c r="E385" s="3370" t="s">
        <v>3400</v>
      </c>
      <c r="F385" s="3370"/>
      <c r="G385" s="3370"/>
      <c r="H385" s="3370"/>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295" t="s">
        <v>3238</v>
      </c>
      <c r="F388" s="3295"/>
      <c r="G388" s="3295"/>
      <c r="H388" s="3295"/>
    </row>
    <row r="389" spans="1:8" ht="12.75" customHeight="1">
      <c r="C389" s="1787" t="s">
        <v>4824</v>
      </c>
      <c r="E389" s="3295" t="s">
        <v>3399</v>
      </c>
      <c r="F389" s="3295"/>
      <c r="G389" s="3295"/>
      <c r="H389" s="3295"/>
    </row>
    <row r="390" spans="1:8" ht="12.75" customHeight="1">
      <c r="C390" s="1788"/>
      <c r="D390" s="1786" t="s">
        <v>3237</v>
      </c>
      <c r="E390" s="3371" t="s">
        <v>3400</v>
      </c>
      <c r="F390" s="3371"/>
      <c r="G390" s="3371"/>
      <c r="H390" s="3371"/>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295" t="s">
        <v>3238</v>
      </c>
      <c r="F393" s="3295"/>
      <c r="G393" s="3295"/>
      <c r="H393" s="3295"/>
    </row>
    <row r="394" spans="1:8" ht="12.75" customHeight="1">
      <c r="C394" s="1787" t="s">
        <v>4824</v>
      </c>
      <c r="E394" s="3295" t="s">
        <v>3399</v>
      </c>
      <c r="F394" s="3295"/>
      <c r="G394" s="3295"/>
      <c r="H394" s="3295"/>
    </row>
    <row r="395" spans="1:8" ht="12.75" customHeight="1">
      <c r="C395" s="1788"/>
      <c r="D395" s="1786" t="s">
        <v>3237</v>
      </c>
      <c r="E395" s="3371" t="s">
        <v>3400</v>
      </c>
      <c r="F395" s="3371"/>
      <c r="G395" s="3371"/>
      <c r="H395" s="3371"/>
    </row>
    <row r="396" spans="1:8" ht="6" customHeight="1">
      <c r="D396" s="814"/>
      <c r="E396" s="1784"/>
      <c r="F396" s="1784"/>
      <c r="G396" s="1784"/>
      <c r="H396" s="1784"/>
    </row>
    <row r="397" spans="1:8">
      <c r="A397" s="785" t="s">
        <v>3233</v>
      </c>
      <c r="B397" s="812" t="str">
        <f>IF('Part VI-Revenues &amp; Expenses'!$N$58=0,"",'Part VI-Revenues &amp; Expenses'!$N$58)</f>
        <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95" t="s">
        <v>3238</v>
      </c>
      <c r="F400" s="3295"/>
      <c r="G400" s="3295"/>
      <c r="H400" s="3295"/>
    </row>
    <row r="401" spans="1:11" ht="12.75" customHeight="1">
      <c r="C401" s="1787" t="s">
        <v>4824</v>
      </c>
      <c r="E401" s="3295" t="s">
        <v>3399</v>
      </c>
      <c r="F401" s="3295"/>
      <c r="G401" s="3295"/>
      <c r="H401" s="3295"/>
    </row>
    <row r="402" spans="1:11" ht="12.75" customHeight="1">
      <c r="C402" s="1788"/>
      <c r="D402" s="1785" t="s">
        <v>3237</v>
      </c>
      <c r="E402" s="3370" t="s">
        <v>3400</v>
      </c>
      <c r="F402" s="3370"/>
      <c r="G402" s="3370"/>
      <c r="H402" s="3370"/>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295" t="s">
        <v>3238</v>
      </c>
      <c r="F405" s="3295"/>
      <c r="G405" s="3295"/>
      <c r="H405" s="3295"/>
    </row>
    <row r="406" spans="1:11" ht="12.75" customHeight="1">
      <c r="C406" s="1787" t="s">
        <v>4824</v>
      </c>
      <c r="E406" s="3295" t="s">
        <v>3399</v>
      </c>
      <c r="F406" s="3295"/>
      <c r="G406" s="3295"/>
      <c r="H406" s="3295"/>
    </row>
    <row r="407" spans="1:11" ht="12.75" customHeight="1">
      <c r="C407" s="1788"/>
      <c r="D407" s="1786" t="s">
        <v>3237</v>
      </c>
      <c r="E407" s="3371" t="s">
        <v>3400</v>
      </c>
      <c r="F407" s="3371"/>
      <c r="G407" s="3371"/>
      <c r="H407" s="3371"/>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295" t="s">
        <v>3238</v>
      </c>
      <c r="F410" s="3295"/>
      <c r="G410" s="3295"/>
      <c r="H410" s="3295"/>
    </row>
    <row r="411" spans="1:11" ht="12.75" customHeight="1">
      <c r="C411" s="1787" t="s">
        <v>4824</v>
      </c>
      <c r="E411" s="3295" t="s">
        <v>3399</v>
      </c>
      <c r="F411" s="3295"/>
      <c r="G411" s="3295"/>
      <c r="H411" s="3295"/>
    </row>
    <row r="412" spans="1:11" ht="12.75" customHeight="1">
      <c r="C412" s="1788"/>
      <c r="D412" s="1786" t="s">
        <v>3237</v>
      </c>
      <c r="E412" s="3371" t="s">
        <v>3400</v>
      </c>
      <c r="F412" s="3371"/>
      <c r="G412" s="3371"/>
      <c r="H412" s="3371"/>
    </row>
    <row r="413" spans="1:11" ht="6" customHeight="1">
      <c r="D413" s="814"/>
      <c r="E413" s="1784"/>
      <c r="F413" s="1784"/>
      <c r="G413" s="1784"/>
      <c r="H413" s="1784"/>
    </row>
    <row r="414" spans="1:11">
      <c r="A414" s="785" t="s">
        <v>3233</v>
      </c>
      <c r="B414" s="812" t="str">
        <f>IF('Part VI-Revenues &amp; Expenses'!$O$58=0,"",'Part VI-Revenues &amp; Expenses'!$O$58)</f>
        <v/>
      </c>
      <c r="C414" s="785" t="s">
        <v>4822</v>
      </c>
      <c r="D414" s="813" t="s">
        <v>4823</v>
      </c>
    </row>
    <row r="415" spans="1:11" ht="1.95" customHeight="1"/>
    <row r="416" spans="1:11" ht="12.75" customHeight="1">
      <c r="C416" s="779" t="s">
        <v>3138</v>
      </c>
      <c r="D416" s="814" t="s">
        <v>1938</v>
      </c>
      <c r="E416" s="815"/>
      <c r="F416" s="3295" t="s">
        <v>3139</v>
      </c>
      <c r="G416" s="3295"/>
      <c r="H416" s="3295"/>
      <c r="K416" s="730" t="s">
        <v>238</v>
      </c>
    </row>
    <row r="417" spans="1:8" ht="12.75" customHeight="1">
      <c r="C417" s="816" t="s">
        <v>1326</v>
      </c>
      <c r="D417" s="814" t="s">
        <v>1940</v>
      </c>
      <c r="E417" s="3295" t="s">
        <v>3239</v>
      </c>
      <c r="F417" s="3295"/>
      <c r="G417" s="3295"/>
      <c r="H417" s="3295"/>
    </row>
    <row r="418" spans="1:8" ht="12.75" customHeight="1">
      <c r="E418" s="3295" t="s">
        <v>3399</v>
      </c>
      <c r="F418" s="3295"/>
      <c r="G418" s="3295"/>
      <c r="H418" s="3295"/>
    </row>
    <row r="419" spans="1:8" ht="12.75" customHeight="1">
      <c r="D419" s="817" t="s">
        <v>3237</v>
      </c>
      <c r="E419" s="3295" t="s">
        <v>3400</v>
      </c>
      <c r="F419" s="3295"/>
      <c r="G419" s="3295"/>
      <c r="H419" s="3295"/>
    </row>
    <row r="420" spans="1:8" ht="9" customHeight="1" thickBot="1"/>
    <row r="421" spans="1:8" ht="16.350000000000001" customHeight="1" thickBot="1">
      <c r="A421" s="3377">
        <v>70</v>
      </c>
      <c r="B421" s="3378"/>
      <c r="C421" s="1789" t="s">
        <v>1018</v>
      </c>
    </row>
    <row r="422" spans="1:8" ht="9" customHeight="1">
      <c r="A422" s="752"/>
    </row>
    <row r="423" spans="1:8" ht="28.35" customHeight="1">
      <c r="A423" s="3375" t="s">
        <v>4830</v>
      </c>
      <c r="B423" s="3375"/>
      <c r="C423" s="3375"/>
      <c r="D423" s="3375"/>
      <c r="E423" s="3375"/>
      <c r="F423" s="3375"/>
      <c r="G423" s="3375"/>
      <c r="H423" s="3375"/>
    </row>
    <row r="424" spans="1:8" ht="9" customHeight="1">
      <c r="A424" s="752"/>
    </row>
    <row r="425" spans="1:8">
      <c r="A425" s="785" t="s">
        <v>3233</v>
      </c>
      <c r="B425" s="812" t="str">
        <f>IF('Part VI-Revenues &amp; Expenses'!$K$57=0,"",'Part VI-Revenues &amp; Expenses'!$K$57)</f>
        <v/>
      </c>
      <c r="C425" s="785" t="s">
        <v>4819</v>
      </c>
      <c r="D425" s="813" t="s">
        <v>4820</v>
      </c>
    </row>
    <row r="426" spans="1:8" ht="1.95" customHeight="1"/>
    <row r="427" spans="1:8" ht="12.75" customHeight="1">
      <c r="C427" s="779" t="s">
        <v>3138</v>
      </c>
      <c r="D427" s="814" t="s">
        <v>1938</v>
      </c>
      <c r="E427" s="815"/>
      <c r="F427" s="3295" t="s">
        <v>3139</v>
      </c>
      <c r="G427" s="3295"/>
      <c r="H427" s="3295"/>
    </row>
    <row r="428" spans="1:8" ht="12.75" customHeight="1">
      <c r="C428" s="816" t="s">
        <v>1326</v>
      </c>
      <c r="D428" s="814" t="s">
        <v>1940</v>
      </c>
      <c r="E428" s="3295" t="s">
        <v>3238</v>
      </c>
      <c r="F428" s="3295"/>
      <c r="G428" s="3295"/>
      <c r="H428" s="3295"/>
    </row>
    <row r="429" spans="1:8" ht="12.75" customHeight="1">
      <c r="C429" s="1787" t="s">
        <v>4824</v>
      </c>
      <c r="E429" s="3295" t="s">
        <v>3399</v>
      </c>
      <c r="F429" s="3295"/>
      <c r="G429" s="3295"/>
      <c r="H429" s="3295"/>
    </row>
    <row r="430" spans="1:8" ht="12.75" customHeight="1">
      <c r="C430" s="1788"/>
      <c r="D430" s="1786" t="s">
        <v>3237</v>
      </c>
      <c r="E430" s="3371" t="s">
        <v>3400</v>
      </c>
      <c r="F430" s="3371"/>
      <c r="G430" s="3371"/>
      <c r="H430" s="3371"/>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295" t="s">
        <v>3238</v>
      </c>
      <c r="F433" s="3295"/>
      <c r="G433" s="3295"/>
      <c r="H433" s="3295"/>
    </row>
    <row r="434" spans="1:8" ht="12.75" customHeight="1">
      <c r="C434" s="1787" t="s">
        <v>4824</v>
      </c>
      <c r="E434" s="3295" t="s">
        <v>3399</v>
      </c>
      <c r="F434" s="3295"/>
      <c r="G434" s="3295"/>
      <c r="H434" s="3295"/>
    </row>
    <row r="435" spans="1:8" ht="12.75" customHeight="1">
      <c r="C435" s="1788"/>
      <c r="D435" s="1786" t="s">
        <v>3237</v>
      </c>
      <c r="E435" s="3371" t="s">
        <v>3400</v>
      </c>
      <c r="F435" s="3371"/>
      <c r="G435" s="3371"/>
      <c r="H435" s="3371"/>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295" t="s">
        <v>3238</v>
      </c>
      <c r="F438" s="3295"/>
      <c r="G438" s="3295"/>
      <c r="H438" s="3295"/>
    </row>
    <row r="439" spans="1:8" ht="12.75" customHeight="1">
      <c r="C439" s="1787" t="s">
        <v>4824</v>
      </c>
      <c r="E439" s="3295" t="s">
        <v>3399</v>
      </c>
      <c r="F439" s="3295"/>
      <c r="G439" s="3295"/>
      <c r="H439" s="3295"/>
    </row>
    <row r="440" spans="1:8" ht="12.75" customHeight="1">
      <c r="C440" s="1788"/>
      <c r="D440" s="1786" t="s">
        <v>3237</v>
      </c>
      <c r="E440" s="3371" t="s">
        <v>3400</v>
      </c>
      <c r="F440" s="3371"/>
      <c r="G440" s="3371"/>
      <c r="H440" s="3371"/>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95" t="s">
        <v>3238</v>
      </c>
      <c r="F445" s="3295"/>
      <c r="G445" s="3295"/>
      <c r="H445" s="3295"/>
    </row>
    <row r="446" spans="1:8" ht="12.75" customHeight="1">
      <c r="C446" s="1787" t="s">
        <v>4824</v>
      </c>
      <c r="E446" s="3295" t="s">
        <v>3399</v>
      </c>
      <c r="F446" s="3295"/>
      <c r="G446" s="3295"/>
      <c r="H446" s="3295"/>
    </row>
    <row r="447" spans="1:8" ht="12.75" customHeight="1">
      <c r="C447" s="1788"/>
      <c r="D447" s="1785" t="s">
        <v>3237</v>
      </c>
      <c r="E447" s="3370" t="s">
        <v>3400</v>
      </c>
      <c r="F447" s="3370"/>
      <c r="G447" s="3370"/>
      <c r="H447" s="3370"/>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295" t="s">
        <v>3238</v>
      </c>
      <c r="F450" s="3295"/>
      <c r="G450" s="3295"/>
      <c r="H450" s="3295"/>
    </row>
    <row r="451" spans="1:8" ht="12.75" customHeight="1">
      <c r="C451" s="1787" t="s">
        <v>4824</v>
      </c>
      <c r="E451" s="3295" t="s">
        <v>3399</v>
      </c>
      <c r="F451" s="3295"/>
      <c r="G451" s="3295"/>
      <c r="H451" s="3295"/>
    </row>
    <row r="452" spans="1:8" ht="12.75" customHeight="1">
      <c r="C452" s="1788"/>
      <c r="D452" s="1786" t="s">
        <v>3237</v>
      </c>
      <c r="E452" s="3371" t="s">
        <v>3400</v>
      </c>
      <c r="F452" s="3371"/>
      <c r="G452" s="3371"/>
      <c r="H452" s="3371"/>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295" t="s">
        <v>3238</v>
      </c>
      <c r="F455" s="3295"/>
      <c r="G455" s="3295"/>
      <c r="H455" s="3295"/>
    </row>
    <row r="456" spans="1:8" ht="12.75" customHeight="1">
      <c r="C456" s="1787" t="s">
        <v>4824</v>
      </c>
      <c r="E456" s="3295" t="s">
        <v>3399</v>
      </c>
      <c r="F456" s="3295"/>
      <c r="G456" s="3295"/>
      <c r="H456" s="3295"/>
    </row>
    <row r="457" spans="1:8" ht="12.75" customHeight="1">
      <c r="C457" s="1788"/>
      <c r="D457" s="1786" t="s">
        <v>3237</v>
      </c>
      <c r="E457" s="3371" t="s">
        <v>3400</v>
      </c>
      <c r="F457" s="3371"/>
      <c r="G457" s="3371"/>
      <c r="H457" s="3371"/>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95" t="s">
        <v>3238</v>
      </c>
      <c r="F462" s="3295"/>
      <c r="G462" s="3295"/>
      <c r="H462" s="3295"/>
    </row>
    <row r="463" spans="1:8" ht="12.75" customHeight="1">
      <c r="C463" s="1787" t="s">
        <v>4824</v>
      </c>
      <c r="E463" s="3295" t="s">
        <v>3399</v>
      </c>
      <c r="F463" s="3295"/>
      <c r="G463" s="3295"/>
      <c r="H463" s="3295"/>
    </row>
    <row r="464" spans="1:8" ht="12.75" customHeight="1">
      <c r="C464" s="1788"/>
      <c r="D464" s="1785" t="s">
        <v>3237</v>
      </c>
      <c r="E464" s="3370" t="s">
        <v>3400</v>
      </c>
      <c r="F464" s="3370"/>
      <c r="G464" s="3370"/>
      <c r="H464" s="3370"/>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295" t="s">
        <v>3238</v>
      </c>
      <c r="F467" s="3295"/>
      <c r="G467" s="3295"/>
      <c r="H467" s="3295"/>
    </row>
    <row r="468" spans="1:8" ht="12.75" customHeight="1">
      <c r="C468" s="1787" t="s">
        <v>4824</v>
      </c>
      <c r="E468" s="3295" t="s">
        <v>3399</v>
      </c>
      <c r="F468" s="3295"/>
      <c r="G468" s="3295"/>
      <c r="H468" s="3295"/>
    </row>
    <row r="469" spans="1:8" ht="12.75" customHeight="1">
      <c r="C469" s="1788"/>
      <c r="D469" s="1786" t="s">
        <v>3237</v>
      </c>
      <c r="E469" s="3371" t="s">
        <v>3400</v>
      </c>
      <c r="F469" s="3371"/>
      <c r="G469" s="3371"/>
      <c r="H469" s="3371"/>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295" t="s">
        <v>3238</v>
      </c>
      <c r="F472" s="3295"/>
      <c r="G472" s="3295"/>
      <c r="H472" s="3295"/>
    </row>
    <row r="473" spans="1:8" ht="12.75" customHeight="1">
      <c r="C473" s="1787" t="s">
        <v>4824</v>
      </c>
      <c r="E473" s="3295" t="s">
        <v>3399</v>
      </c>
      <c r="F473" s="3295"/>
      <c r="G473" s="3295"/>
      <c r="H473" s="3295"/>
    </row>
    <row r="474" spans="1:8" ht="12.75" customHeight="1">
      <c r="C474" s="1788"/>
      <c r="D474" s="1786" t="s">
        <v>3237</v>
      </c>
      <c r="E474" s="3371" t="s">
        <v>3400</v>
      </c>
      <c r="F474" s="3371"/>
      <c r="G474" s="3371"/>
      <c r="H474" s="3371"/>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95" t="s">
        <v>3238</v>
      </c>
      <c r="F479" s="3295"/>
      <c r="G479" s="3295"/>
      <c r="H479" s="3295"/>
    </row>
    <row r="480" spans="1:8" ht="12.75" customHeight="1">
      <c r="C480" s="1787" t="s">
        <v>4824</v>
      </c>
      <c r="E480" s="3295" t="s">
        <v>3399</v>
      </c>
      <c r="F480" s="3295"/>
      <c r="G480" s="3295"/>
      <c r="H480" s="3295"/>
    </row>
    <row r="481" spans="1:11" ht="12.75" customHeight="1">
      <c r="C481" s="1788"/>
      <c r="D481" s="1785" t="s">
        <v>3237</v>
      </c>
      <c r="E481" s="3370" t="s">
        <v>3400</v>
      </c>
      <c r="F481" s="3370"/>
      <c r="G481" s="3370"/>
      <c r="H481" s="3370"/>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295" t="s">
        <v>3238</v>
      </c>
      <c r="F484" s="3295"/>
      <c r="G484" s="3295"/>
      <c r="H484" s="3295"/>
    </row>
    <row r="485" spans="1:11" ht="12.75" customHeight="1">
      <c r="C485" s="1787" t="s">
        <v>4824</v>
      </c>
      <c r="E485" s="3295" t="s">
        <v>3399</v>
      </c>
      <c r="F485" s="3295"/>
      <c r="G485" s="3295"/>
      <c r="H485" s="3295"/>
    </row>
    <row r="486" spans="1:11" ht="12.75" customHeight="1">
      <c r="C486" s="1788"/>
      <c r="D486" s="1786" t="s">
        <v>3237</v>
      </c>
      <c r="E486" s="3371" t="s">
        <v>3400</v>
      </c>
      <c r="F486" s="3371"/>
      <c r="G486" s="3371"/>
      <c r="H486" s="3371"/>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295" t="s">
        <v>3238</v>
      </c>
      <c r="F489" s="3295"/>
      <c r="G489" s="3295"/>
      <c r="H489" s="3295"/>
    </row>
    <row r="490" spans="1:11" ht="12.75" customHeight="1">
      <c r="C490" s="1787" t="s">
        <v>4824</v>
      </c>
      <c r="E490" s="3295" t="s">
        <v>3399</v>
      </c>
      <c r="F490" s="3295"/>
      <c r="G490" s="3295"/>
      <c r="H490" s="3295"/>
    </row>
    <row r="491" spans="1:11" ht="12.75" customHeight="1">
      <c r="C491" s="1788"/>
      <c r="D491" s="1786" t="s">
        <v>3237</v>
      </c>
      <c r="E491" s="3371" t="s">
        <v>3400</v>
      </c>
      <c r="F491" s="3371"/>
      <c r="G491" s="3371"/>
      <c r="H491" s="3371"/>
    </row>
    <row r="492" spans="1:11" ht="6" customHeight="1">
      <c r="D492" s="814"/>
      <c r="E492" s="1784"/>
      <c r="F492" s="1784"/>
      <c r="G492" s="1784"/>
      <c r="H492" s="1784"/>
    </row>
    <row r="493" spans="1:11">
      <c r="A493" s="785" t="s">
        <v>3233</v>
      </c>
      <c r="B493" s="812" t="str">
        <f>IF('Part VI-Revenues &amp; Expenses'!$O$57=0,"",'Part VI-Revenues &amp; Expenses'!$O$57)</f>
        <v/>
      </c>
      <c r="C493" s="785" t="s">
        <v>4822</v>
      </c>
      <c r="D493" s="813" t="s">
        <v>4823</v>
      </c>
    </row>
    <row r="494" spans="1:11" ht="1.95" customHeight="1"/>
    <row r="495" spans="1:11" ht="12.75" customHeight="1">
      <c r="C495" s="779" t="s">
        <v>3138</v>
      </c>
      <c r="D495" s="814" t="s">
        <v>1938</v>
      </c>
      <c r="E495" s="815"/>
      <c r="F495" s="3295" t="s">
        <v>3139</v>
      </c>
      <c r="G495" s="3295"/>
      <c r="H495" s="3295"/>
      <c r="K495" s="730" t="s">
        <v>238</v>
      </c>
    </row>
    <row r="496" spans="1:11" ht="12.75" customHeight="1">
      <c r="C496" s="816" t="s">
        <v>1326</v>
      </c>
      <c r="D496" s="814" t="s">
        <v>1940</v>
      </c>
      <c r="E496" s="3295" t="s">
        <v>3239</v>
      </c>
      <c r="F496" s="3295"/>
      <c r="G496" s="3295"/>
      <c r="H496" s="3295"/>
    </row>
    <row r="497" spans="1:8" ht="12.75" customHeight="1">
      <c r="E497" s="3295" t="s">
        <v>3399</v>
      </c>
      <c r="F497" s="3295"/>
      <c r="G497" s="3295"/>
      <c r="H497" s="3295"/>
    </row>
    <row r="498" spans="1:8" ht="12.75" customHeight="1">
      <c r="D498" s="817" t="s">
        <v>3237</v>
      </c>
      <c r="E498" s="3295" t="s">
        <v>3400</v>
      </c>
      <c r="F498" s="3295"/>
      <c r="G498" s="3295"/>
      <c r="H498" s="3295"/>
    </row>
    <row r="499" spans="1:8" ht="9" customHeight="1" thickBot="1"/>
    <row r="500" spans="1:8" ht="16.350000000000001" customHeight="1" thickBot="1">
      <c r="A500" s="3377">
        <v>80</v>
      </c>
      <c r="B500" s="3378"/>
      <c r="C500" s="1789" t="s">
        <v>1018</v>
      </c>
    </row>
    <row r="501" spans="1:8" ht="9" customHeight="1">
      <c r="A501" s="752"/>
    </row>
    <row r="502" spans="1:8" ht="28.35" customHeight="1">
      <c r="A502" s="3375" t="s">
        <v>4831</v>
      </c>
      <c r="B502" s="3375"/>
      <c r="C502" s="3375"/>
      <c r="D502" s="3375"/>
      <c r="E502" s="3375"/>
      <c r="F502" s="3375"/>
      <c r="G502" s="3375"/>
      <c r="H502" s="3375"/>
    </row>
    <row r="503" spans="1:8" ht="9" customHeight="1">
      <c r="A503" s="752"/>
    </row>
    <row r="504" spans="1:8">
      <c r="A504" s="785" t="s">
        <v>3233</v>
      </c>
      <c r="B504" s="812" t="str">
        <f>IF('Part VI-Revenues &amp; Expenses'!$K$56=0,"",'Part VI-Revenues &amp; Expenses'!$K$56)</f>
        <v/>
      </c>
      <c r="C504" s="785" t="s">
        <v>4819</v>
      </c>
      <c r="D504" s="813" t="s">
        <v>4820</v>
      </c>
    </row>
    <row r="505" spans="1:8" ht="1.95" customHeight="1"/>
    <row r="506" spans="1:8" ht="12.75" customHeight="1">
      <c r="C506" s="779" t="s">
        <v>3138</v>
      </c>
      <c r="D506" s="814" t="s">
        <v>1938</v>
      </c>
      <c r="E506" s="815"/>
      <c r="F506" s="3295" t="s">
        <v>3139</v>
      </c>
      <c r="G506" s="3295"/>
      <c r="H506" s="3295"/>
    </row>
    <row r="507" spans="1:8" ht="12.75" customHeight="1">
      <c r="C507" s="816" t="s">
        <v>1326</v>
      </c>
      <c r="D507" s="814" t="s">
        <v>1940</v>
      </c>
      <c r="E507" s="3295" t="s">
        <v>3238</v>
      </c>
      <c r="F507" s="3295"/>
      <c r="G507" s="3295"/>
      <c r="H507" s="3295"/>
    </row>
    <row r="508" spans="1:8" ht="12.75" customHeight="1">
      <c r="C508" s="1787" t="s">
        <v>4824</v>
      </c>
      <c r="E508" s="3295" t="s">
        <v>3399</v>
      </c>
      <c r="F508" s="3295"/>
      <c r="G508" s="3295"/>
      <c r="H508" s="3295"/>
    </row>
    <row r="509" spans="1:8" ht="12.75" customHeight="1">
      <c r="C509" s="1788"/>
      <c r="D509" s="1786" t="s">
        <v>3237</v>
      </c>
      <c r="E509" s="3371" t="s">
        <v>3400</v>
      </c>
      <c r="F509" s="3371"/>
      <c r="G509" s="3371"/>
      <c r="H509" s="3371"/>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295" t="s">
        <v>3238</v>
      </c>
      <c r="F512" s="3295"/>
      <c r="G512" s="3295"/>
      <c r="H512" s="3295"/>
    </row>
    <row r="513" spans="1:8" ht="12.75" customHeight="1">
      <c r="C513" s="1787" t="s">
        <v>4824</v>
      </c>
      <c r="E513" s="3295" t="s">
        <v>3399</v>
      </c>
      <c r="F513" s="3295"/>
      <c r="G513" s="3295"/>
      <c r="H513" s="3295"/>
    </row>
    <row r="514" spans="1:8" ht="12.75" customHeight="1">
      <c r="C514" s="1788"/>
      <c r="D514" s="1786" t="s">
        <v>3237</v>
      </c>
      <c r="E514" s="3371" t="s">
        <v>3400</v>
      </c>
      <c r="F514" s="3371"/>
      <c r="G514" s="3371"/>
      <c r="H514" s="3371"/>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295" t="s">
        <v>3238</v>
      </c>
      <c r="F517" s="3295"/>
      <c r="G517" s="3295"/>
      <c r="H517" s="3295"/>
    </row>
    <row r="518" spans="1:8" ht="12.75" customHeight="1">
      <c r="C518" s="1787" t="s">
        <v>4824</v>
      </c>
      <c r="E518" s="3295" t="s">
        <v>3399</v>
      </c>
      <c r="F518" s="3295"/>
      <c r="G518" s="3295"/>
      <c r="H518" s="3295"/>
    </row>
    <row r="519" spans="1:8" ht="12.75" customHeight="1">
      <c r="C519" s="1788"/>
      <c r="D519" s="1786" t="s">
        <v>3237</v>
      </c>
      <c r="E519" s="3371" t="s">
        <v>3400</v>
      </c>
      <c r="F519" s="3371"/>
      <c r="G519" s="3371"/>
      <c r="H519" s="3371"/>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95" t="s">
        <v>3238</v>
      </c>
      <c r="F524" s="3295"/>
      <c r="G524" s="3295"/>
      <c r="H524" s="3295"/>
    </row>
    <row r="525" spans="1:8" ht="12.75" customHeight="1">
      <c r="C525" s="1787" t="s">
        <v>4824</v>
      </c>
      <c r="E525" s="3295" t="s">
        <v>3399</v>
      </c>
      <c r="F525" s="3295"/>
      <c r="G525" s="3295"/>
      <c r="H525" s="3295"/>
    </row>
    <row r="526" spans="1:8" ht="12.75" customHeight="1">
      <c r="C526" s="1788"/>
      <c r="D526" s="1785" t="s">
        <v>3237</v>
      </c>
      <c r="E526" s="3370" t="s">
        <v>3400</v>
      </c>
      <c r="F526" s="3370"/>
      <c r="G526" s="3370"/>
      <c r="H526" s="3370"/>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295" t="s">
        <v>3238</v>
      </c>
      <c r="F529" s="3295"/>
      <c r="G529" s="3295"/>
      <c r="H529" s="3295"/>
    </row>
    <row r="530" spans="1:8" ht="12.75" customHeight="1">
      <c r="C530" s="1787" t="s">
        <v>4824</v>
      </c>
      <c r="E530" s="3295" t="s">
        <v>3399</v>
      </c>
      <c r="F530" s="3295"/>
      <c r="G530" s="3295"/>
      <c r="H530" s="3295"/>
    </row>
    <row r="531" spans="1:8" ht="12.75" customHeight="1">
      <c r="C531" s="1788"/>
      <c r="D531" s="1786" t="s">
        <v>3237</v>
      </c>
      <c r="E531" s="3371" t="s">
        <v>3400</v>
      </c>
      <c r="F531" s="3371"/>
      <c r="G531" s="3371"/>
      <c r="H531" s="3371"/>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295" t="s">
        <v>3238</v>
      </c>
      <c r="F534" s="3295"/>
      <c r="G534" s="3295"/>
      <c r="H534" s="3295"/>
    </row>
    <row r="535" spans="1:8" ht="12.75" customHeight="1">
      <c r="C535" s="1787" t="s">
        <v>4824</v>
      </c>
      <c r="E535" s="3295" t="s">
        <v>3399</v>
      </c>
      <c r="F535" s="3295"/>
      <c r="G535" s="3295"/>
      <c r="H535" s="3295"/>
    </row>
    <row r="536" spans="1:8" ht="12.75" customHeight="1">
      <c r="C536" s="1788"/>
      <c r="D536" s="1786" t="s">
        <v>3237</v>
      </c>
      <c r="E536" s="3371" t="s">
        <v>3400</v>
      </c>
      <c r="F536" s="3371"/>
      <c r="G536" s="3371"/>
      <c r="H536" s="3371"/>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95" t="s">
        <v>3238</v>
      </c>
      <c r="F541" s="3295"/>
      <c r="G541" s="3295"/>
      <c r="H541" s="3295"/>
    </row>
    <row r="542" spans="1:8" ht="12.75" customHeight="1">
      <c r="C542" s="1787" t="s">
        <v>4824</v>
      </c>
      <c r="E542" s="3295" t="s">
        <v>3399</v>
      </c>
      <c r="F542" s="3295"/>
      <c r="G542" s="3295"/>
      <c r="H542" s="3295"/>
    </row>
    <row r="543" spans="1:8" ht="12.75" customHeight="1">
      <c r="C543" s="1788"/>
      <c r="D543" s="1785" t="s">
        <v>3237</v>
      </c>
      <c r="E543" s="3370" t="s">
        <v>3400</v>
      </c>
      <c r="F543" s="3370"/>
      <c r="G543" s="3370"/>
      <c r="H543" s="3370"/>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295" t="s">
        <v>3238</v>
      </c>
      <c r="F546" s="3295"/>
      <c r="G546" s="3295"/>
      <c r="H546" s="3295"/>
    </row>
    <row r="547" spans="1:8" ht="12.75" customHeight="1">
      <c r="C547" s="1787" t="s">
        <v>4824</v>
      </c>
      <c r="E547" s="3295" t="s">
        <v>3399</v>
      </c>
      <c r="F547" s="3295"/>
      <c r="G547" s="3295"/>
      <c r="H547" s="3295"/>
    </row>
    <row r="548" spans="1:8" ht="12.75" customHeight="1">
      <c r="C548" s="1788"/>
      <c r="D548" s="1786" t="s">
        <v>3237</v>
      </c>
      <c r="E548" s="3371" t="s">
        <v>3400</v>
      </c>
      <c r="F548" s="3371"/>
      <c r="G548" s="3371"/>
      <c r="H548" s="3371"/>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295" t="s">
        <v>3238</v>
      </c>
      <c r="F551" s="3295"/>
      <c r="G551" s="3295"/>
      <c r="H551" s="3295"/>
    </row>
    <row r="552" spans="1:8" ht="12.75" customHeight="1">
      <c r="C552" s="1787" t="s">
        <v>4824</v>
      </c>
      <c r="E552" s="3295" t="s">
        <v>3399</v>
      </c>
      <c r="F552" s="3295"/>
      <c r="G552" s="3295"/>
      <c r="H552" s="3295"/>
    </row>
    <row r="553" spans="1:8" ht="12.75" customHeight="1">
      <c r="C553" s="1788"/>
      <c r="D553" s="1786" t="s">
        <v>3237</v>
      </c>
      <c r="E553" s="3371" t="s">
        <v>3400</v>
      </c>
      <c r="F553" s="3371"/>
      <c r="G553" s="3371"/>
      <c r="H553" s="3371"/>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95" t="s">
        <v>3238</v>
      </c>
      <c r="F558" s="3295"/>
      <c r="G558" s="3295"/>
      <c r="H558" s="3295"/>
    </row>
    <row r="559" spans="1:8" ht="12.75" customHeight="1">
      <c r="C559" s="1787" t="s">
        <v>4824</v>
      </c>
      <c r="E559" s="3295" t="s">
        <v>3399</v>
      </c>
      <c r="F559" s="3295"/>
      <c r="G559" s="3295"/>
      <c r="H559" s="3295"/>
    </row>
    <row r="560" spans="1:8" ht="12.75" customHeight="1">
      <c r="C560" s="1788"/>
      <c r="D560" s="1785" t="s">
        <v>3237</v>
      </c>
      <c r="E560" s="3370" t="s">
        <v>3400</v>
      </c>
      <c r="F560" s="3370"/>
      <c r="G560" s="3370"/>
      <c r="H560" s="3370"/>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295" t="s">
        <v>3238</v>
      </c>
      <c r="F563" s="3295"/>
      <c r="G563" s="3295"/>
      <c r="H563" s="3295"/>
    </row>
    <row r="564" spans="1:11" ht="12.75" customHeight="1">
      <c r="C564" s="1787" t="s">
        <v>4824</v>
      </c>
      <c r="E564" s="3295" t="s">
        <v>3399</v>
      </c>
      <c r="F564" s="3295"/>
      <c r="G564" s="3295"/>
      <c r="H564" s="3295"/>
    </row>
    <row r="565" spans="1:11" ht="12.75" customHeight="1">
      <c r="C565" s="1788"/>
      <c r="D565" s="1786" t="s">
        <v>3237</v>
      </c>
      <c r="E565" s="3371" t="s">
        <v>3400</v>
      </c>
      <c r="F565" s="3371"/>
      <c r="G565" s="3371"/>
      <c r="H565" s="3371"/>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295" t="s">
        <v>3238</v>
      </c>
      <c r="F568" s="3295"/>
      <c r="G568" s="3295"/>
      <c r="H568" s="3295"/>
    </row>
    <row r="569" spans="1:11" ht="12.75" customHeight="1">
      <c r="C569" s="1787" t="s">
        <v>4824</v>
      </c>
      <c r="E569" s="3295" t="s">
        <v>3399</v>
      </c>
      <c r="F569" s="3295"/>
      <c r="G569" s="3295"/>
      <c r="H569" s="3295"/>
    </row>
    <row r="570" spans="1:11" ht="12.75" customHeight="1">
      <c r="C570" s="1788"/>
      <c r="D570" s="1786" t="s">
        <v>3237</v>
      </c>
      <c r="E570" s="3371" t="s">
        <v>3400</v>
      </c>
      <c r="F570" s="3371"/>
      <c r="G570" s="3371"/>
      <c r="H570" s="3371"/>
    </row>
    <row r="571" spans="1:11" ht="6" customHeight="1">
      <c r="D571" s="814"/>
      <c r="E571" s="1784"/>
      <c r="F571" s="1784"/>
      <c r="G571" s="1784"/>
      <c r="H571" s="1784"/>
    </row>
    <row r="572" spans="1:11">
      <c r="A572" s="785" t="s">
        <v>3233</v>
      </c>
      <c r="B572" s="812" t="str">
        <f>IF('Part VI-Revenues &amp; Expenses'!$O$56=0,"",'Part VI-Revenues &amp; Expenses'!$O$56)</f>
        <v/>
      </c>
      <c r="C572" s="785" t="s">
        <v>4822</v>
      </c>
      <c r="D572" s="813" t="s">
        <v>4823</v>
      </c>
    </row>
    <row r="573" spans="1:11" ht="1.95" customHeight="1"/>
    <row r="574" spans="1:11" ht="12.75" customHeight="1">
      <c r="C574" s="779" t="s">
        <v>3138</v>
      </c>
      <c r="D574" s="814" t="s">
        <v>1938</v>
      </c>
      <c r="E574" s="815"/>
      <c r="F574" s="3295" t="s">
        <v>3139</v>
      </c>
      <c r="G574" s="3295"/>
      <c r="H574" s="3295"/>
      <c r="K574" s="730" t="s">
        <v>238</v>
      </c>
    </row>
    <row r="575" spans="1:11" ht="12.75" customHeight="1">
      <c r="C575" s="816" t="s">
        <v>1326</v>
      </c>
      <c r="D575" s="814" t="s">
        <v>1940</v>
      </c>
      <c r="E575" s="3295" t="s">
        <v>3239</v>
      </c>
      <c r="F575" s="3295"/>
      <c r="G575" s="3295"/>
      <c r="H575" s="3295"/>
    </row>
    <row r="576" spans="1:11" ht="12.75" customHeight="1">
      <c r="E576" s="3295" t="s">
        <v>3399</v>
      </c>
      <c r="F576" s="3295"/>
      <c r="G576" s="3295"/>
      <c r="H576" s="3295"/>
    </row>
    <row r="577" spans="4:8" ht="12.75" customHeight="1">
      <c r="D577" s="817" t="s">
        <v>3237</v>
      </c>
      <c r="E577" s="3295" t="s">
        <v>3400</v>
      </c>
      <c r="F577" s="3295"/>
      <c r="G577" s="3295"/>
      <c r="H577" s="3295"/>
    </row>
    <row r="578" spans="4:8" ht="9" customHeight="1"/>
    <row r="579" spans="4:8" ht="7.5" customHeight="1">
      <c r="E579" s="3295"/>
      <c r="F579" s="3295"/>
      <c r="G579" s="3295"/>
      <c r="H579" s="329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Dulles Park II</v>
      </c>
    </row>
    <row r="2" spans="1:14">
      <c r="A2" s="667" t="s">
        <v>3133</v>
      </c>
      <c r="H2" s="730" t="str">
        <f>'Sensitivity Analysis'!E8</f>
        <v>2020-059</v>
      </c>
    </row>
    <row r="3" spans="1:14" ht="3" customHeight="1"/>
    <row r="4" spans="1:14" ht="69.599999999999994" customHeight="1">
      <c r="A4" s="3372" t="s">
        <v>3231</v>
      </c>
      <c r="B4" s="3372"/>
      <c r="C4" s="3372"/>
      <c r="D4" s="3372"/>
      <c r="E4" s="3372"/>
      <c r="F4" s="3372"/>
      <c r="G4" s="3372"/>
      <c r="H4" s="3372"/>
      <c r="I4" s="3372"/>
      <c r="J4" s="3372"/>
      <c r="K4" s="3372"/>
      <c r="L4" s="3379">
        <f>SUM('Part VII-Pro Forma'!B14:B16)/12</f>
        <v>24649.371000000003</v>
      </c>
      <c r="M4" s="3379"/>
      <c r="N4" s="2037" t="s">
        <v>4106</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72" t="s">
        <v>3135</v>
      </c>
      <c r="D7" s="3372"/>
      <c r="E7" s="3372"/>
      <c r="F7" s="3372"/>
      <c r="G7" s="3372"/>
      <c r="H7" s="3372"/>
      <c r="I7" s="3372"/>
      <c r="J7" s="3372"/>
      <c r="K7" s="3372"/>
      <c r="L7" s="3372"/>
      <c r="M7" s="3372"/>
    </row>
    <row r="8" spans="1:14" ht="3" customHeight="1"/>
    <row r="9" spans="1:14">
      <c r="A9" s="730" t="s">
        <v>3136</v>
      </c>
    </row>
    <row r="10" spans="1:14" ht="1.5" customHeight="1"/>
    <row r="11" spans="1:14" ht="26.25" customHeight="1">
      <c r="A11" s="811" t="s">
        <v>1935</v>
      </c>
      <c r="B11" s="3372" t="s">
        <v>3228</v>
      </c>
      <c r="C11" s="3372"/>
      <c r="D11" s="3372"/>
      <c r="E11" s="3372"/>
      <c r="F11" s="3372"/>
      <c r="G11" s="3372"/>
      <c r="H11" s="3372"/>
      <c r="I11" s="3372"/>
      <c r="J11" s="3372"/>
      <c r="K11" s="3372"/>
      <c r="L11" s="3373">
        <f>'Part III-Sources of Funds'!I49+'Part III-Sources of Funds'!I50</f>
        <v>10731210</v>
      </c>
      <c r="M11" s="3373"/>
    </row>
    <row r="12" spans="1:14" ht="1.5" customHeight="1">
      <c r="G12" s="779"/>
      <c r="H12" s="779"/>
    </row>
    <row r="13" spans="1:14" ht="25.95" customHeight="1">
      <c r="A13" s="811" t="s">
        <v>1937</v>
      </c>
      <c r="B13" s="3372" t="s">
        <v>3229</v>
      </c>
      <c r="C13" s="3372"/>
      <c r="D13" s="3372"/>
      <c r="E13" s="3372"/>
      <c r="F13" s="3372"/>
      <c r="G13" s="3372"/>
      <c r="H13" s="3372"/>
      <c r="I13" s="3372"/>
      <c r="J13" s="3372"/>
      <c r="K13" s="3372"/>
      <c r="L13" s="3374" t="s">
        <v>3062</v>
      </c>
      <c r="M13" s="3374"/>
    </row>
    <row r="14" spans="1:14">
      <c r="A14" s="811"/>
      <c r="B14" s="3309"/>
      <c r="C14" s="3309"/>
      <c r="D14" s="3309"/>
      <c r="E14" s="3309"/>
      <c r="F14" s="3309"/>
      <c r="G14" s="3309"/>
      <c r="H14" s="3309"/>
    </row>
    <row r="15" spans="1:14" ht="3" customHeight="1"/>
    <row r="16" spans="1:14">
      <c r="A16" s="811" t="s">
        <v>731</v>
      </c>
      <c r="B16" s="730" t="s">
        <v>3232</v>
      </c>
      <c r="F16" s="803"/>
      <c r="L16" s="3292" t="s">
        <v>2888</v>
      </c>
      <c r="M16" s="3292"/>
    </row>
    <row r="17" spans="1:19" ht="1.5" customHeight="1">
      <c r="L17" s="785"/>
    </row>
    <row r="18" spans="1:19" ht="12" customHeight="1">
      <c r="A18" s="811" t="s">
        <v>2064</v>
      </c>
      <c r="B18" s="779" t="s">
        <v>3230</v>
      </c>
      <c r="C18" s="811"/>
      <c r="D18" s="811"/>
      <c r="E18" s="811"/>
      <c r="L18" s="3309" t="s">
        <v>2727</v>
      </c>
      <c r="M18" s="3309"/>
    </row>
    <row r="19" spans="1:19" ht="12" hidden="1" customHeight="1">
      <c r="B19" s="3309"/>
      <c r="C19" s="3309"/>
      <c r="D19" s="3309"/>
      <c r="E19" s="3309"/>
      <c r="F19" s="3309"/>
      <c r="G19" s="3309"/>
      <c r="H19" s="3309"/>
    </row>
    <row r="20" spans="1:19" ht="13.5" customHeight="1"/>
    <row r="21" spans="1:19" ht="12" customHeight="1">
      <c r="A21" s="667" t="s">
        <v>3137</v>
      </c>
    </row>
    <row r="22" spans="1:19" ht="3" customHeight="1"/>
    <row r="23" spans="1:19" ht="42.6" customHeight="1" thickBot="1">
      <c r="A23" s="3376" t="s">
        <v>4821</v>
      </c>
      <c r="B23" s="3376"/>
      <c r="C23" s="3376"/>
      <c r="D23" s="3376"/>
      <c r="E23" s="3376"/>
      <c r="F23" s="3376"/>
      <c r="G23" s="3376"/>
      <c r="H23" s="3376"/>
      <c r="I23" s="3376"/>
      <c r="J23" s="3376"/>
      <c r="K23" s="3376"/>
      <c r="L23" s="3376"/>
      <c r="M23" s="3376"/>
    </row>
    <row r="24" spans="1:19" ht="18" customHeight="1" thickBot="1">
      <c r="A24" s="2036"/>
      <c r="B24" s="3385" t="s">
        <v>6841</v>
      </c>
      <c r="F24" s="3401" t="s">
        <v>6843</v>
      </c>
      <c r="G24" s="3402"/>
      <c r="H24" s="3402"/>
      <c r="I24" s="3402"/>
      <c r="J24" s="3402"/>
      <c r="K24" s="3402"/>
      <c r="L24" s="3402"/>
      <c r="M24" s="3403"/>
      <c r="S24" s="730"/>
    </row>
    <row r="25" spans="1:19" ht="15" customHeight="1">
      <c r="A25" s="2036"/>
      <c r="B25" s="3385"/>
      <c r="D25" s="3385" t="s">
        <v>6839</v>
      </c>
      <c r="E25" s="3385" t="s">
        <v>6842</v>
      </c>
      <c r="F25" s="3386" t="s">
        <v>6846</v>
      </c>
      <c r="G25" s="3387"/>
      <c r="H25" s="3392" t="s">
        <v>1326</v>
      </c>
      <c r="I25" s="3404" t="s">
        <v>6840</v>
      </c>
      <c r="J25" s="3405"/>
      <c r="K25" s="3405"/>
      <c r="L25" s="3405"/>
      <c r="M25" s="3406"/>
      <c r="S25" s="730"/>
    </row>
    <row r="26" spans="1:19" ht="15" customHeight="1">
      <c r="A26" s="3384" t="s">
        <v>1018</v>
      </c>
      <c r="B26" s="3385"/>
      <c r="C26" s="807"/>
      <c r="D26" s="3385"/>
      <c r="E26" s="3385"/>
      <c r="F26" s="3388"/>
      <c r="G26" s="3389"/>
      <c r="H26" s="3393"/>
      <c r="I26" s="3395" t="s">
        <v>6844</v>
      </c>
      <c r="J26" s="3396"/>
      <c r="K26" s="3407" t="s">
        <v>1326</v>
      </c>
      <c r="L26" s="3396" t="s">
        <v>6845</v>
      </c>
      <c r="M26" s="3399"/>
      <c r="S26" s="730"/>
    </row>
    <row r="27" spans="1:19" ht="15" customHeight="1">
      <c r="A27" s="3384"/>
      <c r="B27" s="3385"/>
      <c r="C27" s="3384" t="s">
        <v>6838</v>
      </c>
      <c r="D27" s="3385"/>
      <c r="E27" s="3385"/>
      <c r="F27" s="3388"/>
      <c r="G27" s="3389"/>
      <c r="H27" s="3393"/>
      <c r="I27" s="3395"/>
      <c r="J27" s="3396"/>
      <c r="K27" s="3408"/>
      <c r="L27" s="3396"/>
      <c r="M27" s="3399"/>
      <c r="S27" s="730"/>
    </row>
    <row r="28" spans="1:19" ht="15" customHeight="1" thickBot="1">
      <c r="A28" s="3384"/>
      <c r="B28" s="3384"/>
      <c r="C28" s="3384"/>
      <c r="D28" s="3384"/>
      <c r="E28" s="3384"/>
      <c r="F28" s="3390"/>
      <c r="G28" s="3391"/>
      <c r="H28" s="3394"/>
      <c r="I28" s="3397"/>
      <c r="J28" s="3398"/>
      <c r="K28" s="3409"/>
      <c r="L28" s="3398"/>
      <c r="M28" s="3400"/>
      <c r="S28" s="730"/>
    </row>
    <row r="29" spans="1:19" ht="13.35" customHeight="1">
      <c r="A29" s="2036"/>
      <c r="I29" s="737"/>
      <c r="K29" s="730"/>
      <c r="S29" s="730"/>
    </row>
    <row r="30" spans="1:19" ht="13.35" customHeight="1">
      <c r="A30" s="2041">
        <v>20</v>
      </c>
      <c r="B30" s="2030" t="str">
        <f>IF('Part VI-Revenues &amp; Expenses'!$K$62=0,"",'Part VI-Revenues &amp; Expenses'!$K$62)</f>
        <v/>
      </c>
      <c r="C30" s="748" t="s">
        <v>551</v>
      </c>
      <c r="D30" s="538"/>
      <c r="E30" s="538"/>
      <c r="F30" s="3380"/>
      <c r="G30" s="3381"/>
      <c r="H30" s="538"/>
      <c r="I30" s="737"/>
      <c r="J30" s="538"/>
      <c r="K30" s="538"/>
      <c r="L30" s="538"/>
      <c r="M30" s="538"/>
      <c r="S30" s="730"/>
    </row>
    <row r="31" spans="1:19" ht="13.35" customHeight="1">
      <c r="A31" s="2039"/>
      <c r="B31" s="538"/>
      <c r="C31" s="538" t="s">
        <v>551</v>
      </c>
      <c r="D31" s="2032"/>
      <c r="E31" s="2033"/>
      <c r="F31" s="3382"/>
      <c r="G31" s="3382"/>
      <c r="H31" s="3382"/>
      <c r="I31" s="3382"/>
      <c r="J31" s="3382"/>
      <c r="K31" s="3382"/>
      <c r="L31" s="3382"/>
      <c r="M31" s="3383"/>
      <c r="S31" s="730"/>
    </row>
    <row r="32" spans="1:19" ht="13.35" customHeight="1">
      <c r="A32" s="2039"/>
      <c r="B32" s="538"/>
      <c r="C32" s="538" t="s">
        <v>551</v>
      </c>
      <c r="D32" s="2032"/>
      <c r="E32" s="2033"/>
      <c r="F32" s="3382"/>
      <c r="G32" s="3382"/>
      <c r="H32" s="3382"/>
      <c r="I32" s="3382"/>
      <c r="J32" s="3382"/>
      <c r="K32" s="3382"/>
      <c r="L32" s="3382"/>
      <c r="M32" s="3383"/>
      <c r="S32" s="730"/>
    </row>
    <row r="33" spans="1:19" ht="13.35" customHeight="1">
      <c r="A33" s="2039"/>
      <c r="B33" s="538"/>
      <c r="C33" s="538" t="s">
        <v>551</v>
      </c>
      <c r="D33" s="2032"/>
      <c r="E33" s="2033"/>
      <c r="F33" s="3382"/>
      <c r="G33" s="3382"/>
      <c r="H33" s="3382"/>
      <c r="I33" s="3382"/>
      <c r="J33" s="3382"/>
      <c r="K33" s="3382"/>
      <c r="L33" s="3382"/>
      <c r="M33" s="3383"/>
      <c r="S33" s="730"/>
    </row>
    <row r="34" spans="1:19" ht="13.35" customHeight="1">
      <c r="A34" s="2035">
        <f>A30</f>
        <v>20</v>
      </c>
      <c r="B34" s="812" t="str">
        <f>IF('Part VI-Revenues &amp; Expenses'!$L$62=0,"",'Part VI-Revenues &amp; Expenses'!$L$62)</f>
        <v/>
      </c>
      <c r="C34" s="2031">
        <v>1</v>
      </c>
      <c r="D34" s="538"/>
      <c r="E34" s="538"/>
      <c r="F34" s="3380"/>
      <c r="G34" s="3381"/>
      <c r="H34" s="2031"/>
      <c r="I34" s="2031"/>
      <c r="J34" s="2031"/>
      <c r="K34" s="2031"/>
      <c r="L34" s="2031"/>
      <c r="M34" s="2031"/>
      <c r="S34" s="730"/>
    </row>
    <row r="35" spans="1:19" ht="13.35" customHeight="1">
      <c r="A35" s="2035"/>
      <c r="B35" s="538"/>
      <c r="C35" s="2034">
        <v>1</v>
      </c>
      <c r="D35" s="2032"/>
      <c r="E35" s="2033"/>
      <c r="F35" s="3382"/>
      <c r="G35" s="3382"/>
      <c r="H35" s="3382"/>
      <c r="I35" s="3382"/>
      <c r="J35" s="3382"/>
      <c r="K35" s="3382"/>
      <c r="L35" s="3382"/>
      <c r="M35" s="3383"/>
      <c r="S35" s="730"/>
    </row>
    <row r="36" spans="1:19" ht="13.35" customHeight="1">
      <c r="A36" s="2035"/>
      <c r="B36" s="538"/>
      <c r="C36" s="2034">
        <v>1</v>
      </c>
      <c r="D36" s="2032"/>
      <c r="E36" s="2033"/>
      <c r="F36" s="3382"/>
      <c r="G36" s="3382"/>
      <c r="H36" s="3382"/>
      <c r="I36" s="3382"/>
      <c r="J36" s="3382"/>
      <c r="K36" s="3382"/>
      <c r="L36" s="3382"/>
      <c r="M36" s="3383"/>
      <c r="S36" s="730"/>
    </row>
    <row r="37" spans="1:19" ht="13.35" customHeight="1">
      <c r="A37" s="2035"/>
      <c r="B37" s="538"/>
      <c r="C37" s="2034">
        <v>1</v>
      </c>
      <c r="D37" s="2032"/>
      <c r="E37" s="2033"/>
      <c r="F37" s="3382"/>
      <c r="G37" s="3382"/>
      <c r="H37" s="3382"/>
      <c r="I37" s="3382"/>
      <c r="J37" s="3382"/>
      <c r="K37" s="3382"/>
      <c r="L37" s="3382"/>
      <c r="M37" s="3383"/>
      <c r="S37" s="730"/>
    </row>
    <row r="38" spans="1:19" ht="13.35" customHeight="1">
      <c r="A38" s="2035">
        <f>A30</f>
        <v>20</v>
      </c>
      <c r="B38" s="812" t="str">
        <f>IF('Part VI-Revenues &amp; Expenses'!$M$62=0,"",'Part VI-Revenues &amp; Expenses'!$M$62)</f>
        <v/>
      </c>
      <c r="C38" s="2031">
        <v>2</v>
      </c>
      <c r="D38" s="538"/>
      <c r="E38" s="538"/>
      <c r="F38" s="3380"/>
      <c r="G38" s="3381"/>
      <c r="H38" s="2031"/>
      <c r="I38" s="2031"/>
      <c r="J38" s="2031"/>
      <c r="K38" s="2031"/>
      <c r="L38" s="2031"/>
      <c r="M38" s="2031"/>
      <c r="S38" s="730"/>
    </row>
    <row r="39" spans="1:19" ht="13.35" customHeight="1">
      <c r="A39" s="2035"/>
      <c r="B39" s="538"/>
      <c r="C39" s="2034">
        <v>2</v>
      </c>
      <c r="D39" s="2032"/>
      <c r="E39" s="2033"/>
      <c r="F39" s="3382"/>
      <c r="G39" s="3382"/>
      <c r="H39" s="3382"/>
      <c r="I39" s="3382"/>
      <c r="J39" s="3382"/>
      <c r="K39" s="3382"/>
      <c r="L39" s="3382"/>
      <c r="M39" s="3383"/>
      <c r="S39" s="730"/>
    </row>
    <row r="40" spans="1:19" ht="13.35" customHeight="1">
      <c r="A40" s="2035"/>
      <c r="B40" s="538"/>
      <c r="C40" s="2034">
        <v>2</v>
      </c>
      <c r="D40" s="2032"/>
      <c r="E40" s="2033"/>
      <c r="F40" s="3382"/>
      <c r="G40" s="3382"/>
      <c r="H40" s="3382"/>
      <c r="I40" s="3382"/>
      <c r="J40" s="3382"/>
      <c r="K40" s="3382"/>
      <c r="L40" s="3382"/>
      <c r="M40" s="3383"/>
      <c r="S40" s="730"/>
    </row>
    <row r="41" spans="1:19" ht="13.35" customHeight="1">
      <c r="A41" s="2035"/>
      <c r="B41" s="538"/>
      <c r="C41" s="2034">
        <v>2</v>
      </c>
      <c r="D41" s="2032"/>
      <c r="E41" s="2033"/>
      <c r="F41" s="3382"/>
      <c r="G41" s="3382"/>
      <c r="H41" s="3382"/>
      <c r="I41" s="3382"/>
      <c r="J41" s="3382"/>
      <c r="K41" s="3382"/>
      <c r="L41" s="3382"/>
      <c r="M41" s="3383"/>
      <c r="S41" s="730"/>
    </row>
    <row r="42" spans="1:19" ht="13.35" customHeight="1">
      <c r="A42" s="2035"/>
      <c r="B42" s="538"/>
      <c r="C42" s="2034">
        <v>2</v>
      </c>
      <c r="D42" s="2032"/>
      <c r="E42" s="2033"/>
      <c r="F42" s="3382"/>
      <c r="G42" s="3382"/>
      <c r="H42" s="3382"/>
      <c r="I42" s="3382"/>
      <c r="J42" s="3382"/>
      <c r="K42" s="3382"/>
      <c r="L42" s="3382"/>
      <c r="M42" s="3383"/>
      <c r="S42" s="730"/>
    </row>
    <row r="43" spans="1:19" ht="13.35" customHeight="1">
      <c r="A43" s="2035">
        <f>A30</f>
        <v>20</v>
      </c>
      <c r="B43" s="812" t="str">
        <f>IF('Part VI-Revenues &amp; Expenses'!$N$62=0,"",'Part VI-Revenues &amp; Expenses'!$N$62)</f>
        <v/>
      </c>
      <c r="C43" s="2031">
        <v>3</v>
      </c>
      <c r="D43" s="538"/>
      <c r="E43" s="538"/>
      <c r="F43" s="3380"/>
      <c r="G43" s="3381"/>
      <c r="H43" s="2031"/>
      <c r="I43" s="2031"/>
      <c r="J43" s="2031"/>
      <c r="K43" s="2031"/>
      <c r="L43" s="2031"/>
      <c r="M43" s="2031"/>
      <c r="S43" s="730"/>
    </row>
    <row r="44" spans="1:19" ht="13.35" customHeight="1">
      <c r="A44" s="2035"/>
      <c r="B44" s="538"/>
      <c r="C44" s="2034">
        <v>3</v>
      </c>
      <c r="D44" s="2032"/>
      <c r="E44" s="2033"/>
      <c r="F44" s="3382"/>
      <c r="G44" s="3382"/>
      <c r="H44" s="3382"/>
      <c r="I44" s="3382"/>
      <c r="J44" s="3382"/>
      <c r="K44" s="3382"/>
      <c r="L44" s="3382"/>
      <c r="M44" s="3383"/>
      <c r="S44" s="730"/>
    </row>
    <row r="45" spans="1:19" ht="13.35" customHeight="1">
      <c r="A45" s="2035"/>
      <c r="B45" s="538"/>
      <c r="C45" s="2034">
        <v>3</v>
      </c>
      <c r="D45" s="2032"/>
      <c r="E45" s="2033"/>
      <c r="F45" s="3382"/>
      <c r="G45" s="3382"/>
      <c r="H45" s="3382"/>
      <c r="I45" s="3382"/>
      <c r="J45" s="3382"/>
      <c r="K45" s="3382"/>
      <c r="L45" s="3382"/>
      <c r="M45" s="3383"/>
      <c r="S45" s="730"/>
    </row>
    <row r="46" spans="1:19" ht="13.35" customHeight="1">
      <c r="A46" s="2035"/>
      <c r="B46" s="538"/>
      <c r="C46" s="2034">
        <v>3</v>
      </c>
      <c r="D46" s="2032"/>
      <c r="E46" s="2033"/>
      <c r="F46" s="3382"/>
      <c r="G46" s="3382"/>
      <c r="H46" s="3382"/>
      <c r="I46" s="3382"/>
      <c r="J46" s="3382"/>
      <c r="K46" s="3382"/>
      <c r="L46" s="3382"/>
      <c r="M46" s="3383"/>
      <c r="S46" s="730"/>
    </row>
    <row r="47" spans="1:19" ht="13.35" customHeight="1">
      <c r="A47" s="2035"/>
      <c r="B47" s="538"/>
      <c r="C47" s="2034">
        <v>3</v>
      </c>
      <c r="D47" s="2032"/>
      <c r="E47" s="2033"/>
      <c r="F47" s="3382"/>
      <c r="G47" s="3382"/>
      <c r="H47" s="3382"/>
      <c r="I47" s="3382"/>
      <c r="J47" s="3382"/>
      <c r="K47" s="3382"/>
      <c r="L47" s="3382"/>
      <c r="M47" s="3383"/>
      <c r="S47" s="730"/>
    </row>
    <row r="48" spans="1:19" ht="13.35" customHeight="1">
      <c r="A48" s="2035">
        <f>A30</f>
        <v>20</v>
      </c>
      <c r="B48" s="812" t="str">
        <f>IF('Part VI-Revenues &amp; Expenses'!$O$62=0,"",'Part VI-Revenues &amp; Expenses'!$O$62)</f>
        <v/>
      </c>
      <c r="C48" s="2031">
        <v>4</v>
      </c>
      <c r="D48" s="538"/>
      <c r="E48" s="538"/>
      <c r="F48" s="3380"/>
      <c r="G48" s="3381"/>
      <c r="H48" s="2031"/>
      <c r="I48" s="2031"/>
      <c r="J48" s="2031"/>
      <c r="K48" s="2031"/>
      <c r="L48" s="2031"/>
      <c r="M48" s="2031"/>
      <c r="S48" s="730"/>
    </row>
    <row r="49" spans="1:19" ht="13.35" customHeight="1">
      <c r="A49" s="2039"/>
      <c r="B49" s="538"/>
      <c r="C49" s="2034">
        <v>4</v>
      </c>
      <c r="D49" s="2032"/>
      <c r="E49" s="2033"/>
      <c r="F49" s="3382"/>
      <c r="G49" s="3382"/>
      <c r="H49" s="3382"/>
      <c r="I49" s="3382"/>
      <c r="J49" s="3382"/>
      <c r="K49" s="3382"/>
      <c r="L49" s="3382"/>
      <c r="M49" s="3383"/>
      <c r="S49" s="730"/>
    </row>
    <row r="50" spans="1:19" ht="13.35" customHeight="1">
      <c r="A50" s="2036"/>
      <c r="C50" s="2034">
        <v>4</v>
      </c>
      <c r="D50" s="2032"/>
      <c r="E50" s="2033"/>
      <c r="F50" s="3382"/>
      <c r="G50" s="3382"/>
      <c r="H50" s="3382"/>
      <c r="I50" s="3382"/>
      <c r="J50" s="3382"/>
      <c r="K50" s="3382"/>
      <c r="L50" s="3382"/>
      <c r="M50" s="3383"/>
      <c r="S50" s="730"/>
    </row>
    <row r="51" spans="1:19" ht="13.35" customHeight="1">
      <c r="A51" s="2036"/>
      <c r="C51" s="2034">
        <v>4</v>
      </c>
      <c r="D51" s="2032"/>
      <c r="E51" s="2033"/>
      <c r="F51" s="3382"/>
      <c r="G51" s="3382"/>
      <c r="H51" s="3382"/>
      <c r="I51" s="3382"/>
      <c r="J51" s="3382"/>
      <c r="K51" s="3382"/>
      <c r="L51" s="3382"/>
      <c r="M51" s="3383"/>
      <c r="S51" s="730"/>
    </row>
    <row r="52" spans="1:19" ht="13.35" customHeight="1">
      <c r="A52" s="2038"/>
      <c r="B52" s="2028"/>
      <c r="C52" s="2028"/>
      <c r="D52" s="2028"/>
      <c r="E52" s="2028"/>
      <c r="F52" s="2057"/>
      <c r="G52" s="2057"/>
      <c r="H52" s="2057"/>
      <c r="I52" s="2058"/>
      <c r="J52" s="2057"/>
      <c r="K52" s="2057"/>
      <c r="L52" s="2057"/>
      <c r="M52" s="2057"/>
      <c r="S52" s="730"/>
    </row>
    <row r="53" spans="1:19" ht="13.35" customHeight="1">
      <c r="A53" s="2040"/>
      <c r="B53" s="2029"/>
      <c r="C53" s="2029"/>
      <c r="D53" s="2029"/>
      <c r="E53" s="2029"/>
      <c r="F53" s="777"/>
      <c r="G53" s="777"/>
      <c r="H53" s="777"/>
      <c r="I53" s="2059"/>
      <c r="J53" s="777"/>
      <c r="K53" s="777"/>
      <c r="L53" s="777"/>
      <c r="M53" s="777"/>
      <c r="S53" s="730"/>
    </row>
    <row r="54" spans="1:19" ht="13.35" customHeight="1">
      <c r="A54" s="2041">
        <v>30</v>
      </c>
      <c r="B54" s="2030" t="str">
        <f>IF('Part VI-Revenues &amp; Expenses'!$K$61=0,"",'Part VI-Revenues &amp; Expenses'!$K$61)</f>
        <v/>
      </c>
      <c r="C54" s="748" t="s">
        <v>551</v>
      </c>
      <c r="D54" s="538"/>
      <c r="E54" s="538"/>
      <c r="F54" s="3380"/>
      <c r="G54" s="3381"/>
      <c r="H54" s="538"/>
      <c r="I54" s="737"/>
      <c r="J54" s="538"/>
      <c r="K54" s="538"/>
      <c r="L54" s="538"/>
      <c r="M54" s="538"/>
      <c r="S54" s="730"/>
    </row>
    <row r="55" spans="1:19" ht="13.35" customHeight="1">
      <c r="A55" s="2039"/>
      <c r="B55" s="538"/>
      <c r="C55" s="538" t="s">
        <v>551</v>
      </c>
      <c r="D55" s="2032"/>
      <c r="E55" s="2033"/>
      <c r="F55" s="3382"/>
      <c r="G55" s="3382"/>
      <c r="H55" s="3382"/>
      <c r="I55" s="3382"/>
      <c r="J55" s="3382"/>
      <c r="K55" s="3382"/>
      <c r="L55" s="3382"/>
      <c r="M55" s="3383"/>
      <c r="S55" s="730"/>
    </row>
    <row r="56" spans="1:19" ht="13.35" customHeight="1">
      <c r="A56" s="2039"/>
      <c r="B56" s="538"/>
      <c r="C56" s="538" t="s">
        <v>551</v>
      </c>
      <c r="D56" s="2032"/>
      <c r="E56" s="2033"/>
      <c r="F56" s="3382"/>
      <c r="G56" s="3382"/>
      <c r="H56" s="3382"/>
      <c r="I56" s="3382"/>
      <c r="J56" s="3382"/>
      <c r="K56" s="3382"/>
      <c r="L56" s="3382"/>
      <c r="M56" s="3383"/>
      <c r="S56" s="730"/>
    </row>
    <row r="57" spans="1:19" ht="13.35" customHeight="1">
      <c r="A57" s="2039"/>
      <c r="B57" s="538"/>
      <c r="C57" s="538" t="s">
        <v>551</v>
      </c>
      <c r="D57" s="2032"/>
      <c r="E57" s="2033"/>
      <c r="F57" s="3382"/>
      <c r="G57" s="3382"/>
      <c r="H57" s="3382"/>
      <c r="I57" s="3382"/>
      <c r="J57" s="3382"/>
      <c r="K57" s="3382"/>
      <c r="L57" s="3382"/>
      <c r="M57" s="3383"/>
      <c r="S57" s="730"/>
    </row>
    <row r="58" spans="1:19" ht="13.35" customHeight="1">
      <c r="A58" s="2035">
        <f>A54</f>
        <v>30</v>
      </c>
      <c r="B58" s="812" t="str">
        <f>IF('Part VI-Revenues &amp; Expenses'!$L$61=0,"",'Part VI-Revenues &amp; Expenses'!$L$61)</f>
        <v/>
      </c>
      <c r="C58" s="2031">
        <v>1</v>
      </c>
      <c r="D58" s="538"/>
      <c r="E58" s="538"/>
      <c r="F58" s="3380"/>
      <c r="G58" s="3381"/>
      <c r="H58" s="2031"/>
      <c r="I58" s="2031"/>
      <c r="J58" s="2031"/>
      <c r="K58" s="2031"/>
      <c r="L58" s="2031"/>
      <c r="M58" s="2031"/>
      <c r="S58" s="730"/>
    </row>
    <row r="59" spans="1:19" ht="13.35" customHeight="1">
      <c r="A59" s="2035"/>
      <c r="B59" s="538"/>
      <c r="C59" s="2034">
        <v>1</v>
      </c>
      <c r="D59" s="2032"/>
      <c r="E59" s="2033"/>
      <c r="F59" s="3382"/>
      <c r="G59" s="3382"/>
      <c r="H59" s="3382"/>
      <c r="I59" s="3382"/>
      <c r="J59" s="3382"/>
      <c r="K59" s="3382"/>
      <c r="L59" s="3382"/>
      <c r="M59" s="3383"/>
      <c r="S59" s="730"/>
    </row>
    <row r="60" spans="1:19" ht="13.35" customHeight="1">
      <c r="A60" s="2035"/>
      <c r="B60" s="538"/>
      <c r="C60" s="2034">
        <v>1</v>
      </c>
      <c r="D60" s="2032"/>
      <c r="E60" s="2033"/>
      <c r="F60" s="3382"/>
      <c r="G60" s="3382"/>
      <c r="H60" s="3382"/>
      <c r="I60" s="3382"/>
      <c r="J60" s="3382"/>
      <c r="K60" s="3382"/>
      <c r="L60" s="3382"/>
      <c r="M60" s="3383"/>
      <c r="S60" s="730"/>
    </row>
    <row r="61" spans="1:19" ht="13.35" customHeight="1">
      <c r="A61" s="2035"/>
      <c r="B61" s="538"/>
      <c r="C61" s="2034">
        <v>1</v>
      </c>
      <c r="D61" s="2032"/>
      <c r="E61" s="2033"/>
      <c r="F61" s="3382"/>
      <c r="G61" s="3382"/>
      <c r="H61" s="3382"/>
      <c r="I61" s="3382"/>
      <c r="J61" s="3382"/>
      <c r="K61" s="3382"/>
      <c r="L61" s="3382"/>
      <c r="M61" s="3383"/>
      <c r="S61" s="730"/>
    </row>
    <row r="62" spans="1:19" ht="13.35" customHeight="1">
      <c r="A62" s="2035">
        <f>A54</f>
        <v>30</v>
      </c>
      <c r="B62" s="812" t="str">
        <f>IF('Part VI-Revenues &amp; Expenses'!$M$61=0,"",'Part VI-Revenues &amp; Expenses'!$M$61)</f>
        <v/>
      </c>
      <c r="C62" s="2031">
        <v>2</v>
      </c>
      <c r="D62" s="538"/>
      <c r="E62" s="538"/>
      <c r="F62" s="3380"/>
      <c r="G62" s="3381"/>
      <c r="H62" s="2031"/>
      <c r="I62" s="2031"/>
      <c r="J62" s="2031"/>
      <c r="K62" s="2031"/>
      <c r="L62" s="2031"/>
      <c r="M62" s="2031"/>
      <c r="S62" s="730"/>
    </row>
    <row r="63" spans="1:19" ht="13.35" customHeight="1">
      <c r="A63" s="2035"/>
      <c r="B63" s="538"/>
      <c r="C63" s="2034">
        <v>2</v>
      </c>
      <c r="D63" s="2032"/>
      <c r="E63" s="2033"/>
      <c r="F63" s="3382"/>
      <c r="G63" s="3382"/>
      <c r="H63" s="3382"/>
      <c r="I63" s="3382"/>
      <c r="J63" s="3382"/>
      <c r="K63" s="3382"/>
      <c r="L63" s="3382"/>
      <c r="M63" s="3383"/>
      <c r="S63" s="730"/>
    </row>
    <row r="64" spans="1:19" ht="13.35" customHeight="1">
      <c r="A64" s="2035"/>
      <c r="B64" s="538"/>
      <c r="C64" s="2034">
        <v>2</v>
      </c>
      <c r="D64" s="2032"/>
      <c r="E64" s="2033"/>
      <c r="F64" s="3382"/>
      <c r="G64" s="3382"/>
      <c r="H64" s="3382"/>
      <c r="I64" s="3382"/>
      <c r="J64" s="3382"/>
      <c r="K64" s="3382"/>
      <c r="L64" s="3382"/>
      <c r="M64" s="3383"/>
      <c r="S64" s="730"/>
    </row>
    <row r="65" spans="1:19" ht="13.35" customHeight="1">
      <c r="A65" s="2035"/>
      <c r="B65" s="538"/>
      <c r="C65" s="2034">
        <v>2</v>
      </c>
      <c r="D65" s="2032"/>
      <c r="E65" s="2033"/>
      <c r="F65" s="3382"/>
      <c r="G65" s="3382"/>
      <c r="H65" s="3382"/>
      <c r="I65" s="3382"/>
      <c r="J65" s="3382"/>
      <c r="K65" s="3382"/>
      <c r="L65" s="3382"/>
      <c r="M65" s="3383"/>
      <c r="S65" s="730"/>
    </row>
    <row r="66" spans="1:19" ht="13.35" customHeight="1">
      <c r="A66" s="2035"/>
      <c r="B66" s="538"/>
      <c r="C66" s="2034">
        <v>2</v>
      </c>
      <c r="D66" s="2032"/>
      <c r="E66" s="2033"/>
      <c r="F66" s="3382"/>
      <c r="G66" s="3382"/>
      <c r="H66" s="3382"/>
      <c r="I66" s="3382"/>
      <c r="J66" s="3382"/>
      <c r="K66" s="3382"/>
      <c r="L66" s="3382"/>
      <c r="M66" s="3383"/>
      <c r="S66" s="730"/>
    </row>
    <row r="67" spans="1:19" ht="13.35" customHeight="1">
      <c r="A67" s="2035">
        <f>A54</f>
        <v>30</v>
      </c>
      <c r="B67" s="812" t="str">
        <f>IF('Part VI-Revenues &amp; Expenses'!$N$61=0,"",'Part VI-Revenues &amp; Expenses'!$N$61)</f>
        <v/>
      </c>
      <c r="C67" s="2031">
        <v>3</v>
      </c>
      <c r="D67" s="538"/>
      <c r="E67" s="538"/>
      <c r="F67" s="3380"/>
      <c r="G67" s="3381"/>
      <c r="H67" s="2031"/>
      <c r="I67" s="2031"/>
      <c r="J67" s="2031"/>
      <c r="K67" s="2031"/>
      <c r="L67" s="2031"/>
      <c r="M67" s="2031"/>
      <c r="S67" s="730"/>
    </row>
    <row r="68" spans="1:19" ht="13.35" customHeight="1">
      <c r="A68" s="2035"/>
      <c r="B68" s="538"/>
      <c r="C68" s="2034">
        <v>3</v>
      </c>
      <c r="D68" s="2032"/>
      <c r="E68" s="2033"/>
      <c r="F68" s="3382"/>
      <c r="G68" s="3382"/>
      <c r="H68" s="3382"/>
      <c r="I68" s="3382"/>
      <c r="J68" s="3382"/>
      <c r="K68" s="3382"/>
      <c r="L68" s="3382"/>
      <c r="M68" s="3383"/>
      <c r="S68" s="730"/>
    </row>
    <row r="69" spans="1:19" ht="13.35" customHeight="1">
      <c r="A69" s="2035"/>
      <c r="B69" s="538"/>
      <c r="C69" s="2034">
        <v>3</v>
      </c>
      <c r="D69" s="2032"/>
      <c r="E69" s="2033"/>
      <c r="F69" s="3382"/>
      <c r="G69" s="3382"/>
      <c r="H69" s="3382"/>
      <c r="I69" s="3382"/>
      <c r="J69" s="3382"/>
      <c r="K69" s="3382"/>
      <c r="L69" s="3382"/>
      <c r="M69" s="3383"/>
      <c r="S69" s="730"/>
    </row>
    <row r="70" spans="1:19" ht="13.35" customHeight="1">
      <c r="A70" s="2035"/>
      <c r="B70" s="538"/>
      <c r="C70" s="2034">
        <v>3</v>
      </c>
      <c r="D70" s="2032"/>
      <c r="E70" s="2033"/>
      <c r="F70" s="3382"/>
      <c r="G70" s="3382"/>
      <c r="H70" s="3382"/>
      <c r="I70" s="3382"/>
      <c r="J70" s="3382"/>
      <c r="K70" s="3382"/>
      <c r="L70" s="3382"/>
      <c r="M70" s="3383"/>
      <c r="S70" s="730"/>
    </row>
    <row r="71" spans="1:19" ht="13.35" customHeight="1">
      <c r="A71" s="2035"/>
      <c r="B71" s="538"/>
      <c r="C71" s="2034">
        <v>3</v>
      </c>
      <c r="D71" s="2032"/>
      <c r="E71" s="2033"/>
      <c r="F71" s="3382"/>
      <c r="G71" s="3382"/>
      <c r="H71" s="3382"/>
      <c r="I71" s="3382"/>
      <c r="J71" s="3382"/>
      <c r="K71" s="3382"/>
      <c r="L71" s="3382"/>
      <c r="M71" s="3383"/>
      <c r="S71" s="730"/>
    </row>
    <row r="72" spans="1:19" ht="13.35" customHeight="1">
      <c r="A72" s="2035">
        <f>A54</f>
        <v>30</v>
      </c>
      <c r="B72" s="812" t="str">
        <f>IF('Part VI-Revenues &amp; Expenses'!$O$61=0,"",'Part VI-Revenues &amp; Expenses'!$O$61)</f>
        <v/>
      </c>
      <c r="C72" s="2031">
        <v>4</v>
      </c>
      <c r="D72" s="538"/>
      <c r="E72" s="538"/>
      <c r="F72" s="3380"/>
      <c r="G72" s="3381"/>
      <c r="H72" s="2031"/>
      <c r="I72" s="2031"/>
      <c r="J72" s="2031"/>
      <c r="K72" s="2031"/>
      <c r="L72" s="2031"/>
      <c r="M72" s="2031"/>
      <c r="S72" s="730"/>
    </row>
    <row r="73" spans="1:19" ht="13.35" customHeight="1">
      <c r="A73" s="2039"/>
      <c r="B73" s="538"/>
      <c r="C73" s="2034">
        <v>4</v>
      </c>
      <c r="D73" s="2032"/>
      <c r="E73" s="2033"/>
      <c r="F73" s="3382"/>
      <c r="G73" s="3382"/>
      <c r="H73" s="3382"/>
      <c r="I73" s="3382"/>
      <c r="J73" s="3382"/>
      <c r="K73" s="3382"/>
      <c r="L73" s="3382"/>
      <c r="M73" s="3383"/>
      <c r="S73" s="730"/>
    </row>
    <row r="74" spans="1:19" ht="13.35" customHeight="1">
      <c r="A74" s="2036"/>
      <c r="C74" s="2034">
        <v>4</v>
      </c>
      <c r="D74" s="2032"/>
      <c r="E74" s="2033"/>
      <c r="F74" s="3382"/>
      <c r="G74" s="3382"/>
      <c r="H74" s="3382"/>
      <c r="I74" s="3382"/>
      <c r="J74" s="3382"/>
      <c r="K74" s="3382"/>
      <c r="L74" s="3382"/>
      <c r="M74" s="3383"/>
      <c r="S74" s="730"/>
    </row>
    <row r="75" spans="1:19" ht="13.35" customHeight="1">
      <c r="A75" s="2036"/>
      <c r="C75" s="2034">
        <v>4</v>
      </c>
      <c r="D75" s="2032"/>
      <c r="E75" s="2033"/>
      <c r="F75" s="3382"/>
      <c r="G75" s="3382"/>
      <c r="H75" s="3382"/>
      <c r="I75" s="3382"/>
      <c r="J75" s="3382"/>
      <c r="K75" s="3382"/>
      <c r="L75" s="3382"/>
      <c r="M75" s="3383"/>
      <c r="S75" s="730"/>
    </row>
    <row r="76" spans="1:19" ht="13.35" customHeight="1">
      <c r="A76" s="2038"/>
      <c r="B76" s="2028"/>
      <c r="C76" s="2028"/>
      <c r="D76" s="2028"/>
      <c r="E76" s="2028"/>
      <c r="F76" s="2057"/>
      <c r="G76" s="2057"/>
      <c r="H76" s="2057"/>
      <c r="I76" s="2058"/>
      <c r="J76" s="2057"/>
      <c r="K76" s="2057"/>
      <c r="L76" s="2057"/>
      <c r="M76" s="2057"/>
      <c r="S76" s="730"/>
    </row>
    <row r="77" spans="1:19" ht="13.35" customHeight="1">
      <c r="A77" s="2036"/>
      <c r="F77" s="1804"/>
      <c r="G77" s="1804"/>
      <c r="H77" s="1804"/>
      <c r="I77" s="2031"/>
      <c r="J77" s="1804"/>
      <c r="K77" s="1804"/>
      <c r="L77" s="1804"/>
      <c r="M77" s="1804"/>
      <c r="S77" s="730"/>
    </row>
    <row r="78" spans="1:19" ht="13.35" customHeight="1">
      <c r="A78" s="2041">
        <v>40</v>
      </c>
      <c r="B78" s="2030" t="str">
        <f>IF('Part VI-Revenues &amp; Expenses'!$K$60=0,"",'Part VI-Revenues &amp; Expenses'!$K$60)</f>
        <v/>
      </c>
      <c r="C78" s="748" t="s">
        <v>551</v>
      </c>
      <c r="D78" s="538"/>
      <c r="E78" s="538"/>
      <c r="F78" s="3380"/>
      <c r="G78" s="3381"/>
      <c r="H78" s="538"/>
      <c r="I78" s="737"/>
      <c r="J78" s="538"/>
      <c r="K78" s="538"/>
      <c r="L78" s="538"/>
      <c r="M78" s="538"/>
      <c r="S78" s="730"/>
    </row>
    <row r="79" spans="1:19" ht="13.35" customHeight="1">
      <c r="A79" s="2039"/>
      <c r="B79" s="538"/>
      <c r="C79" s="538" t="s">
        <v>551</v>
      </c>
      <c r="D79" s="2032"/>
      <c r="E79" s="2033"/>
      <c r="F79" s="3382"/>
      <c r="G79" s="3382"/>
      <c r="H79" s="3382"/>
      <c r="I79" s="3382"/>
      <c r="J79" s="3382"/>
      <c r="K79" s="3382"/>
      <c r="L79" s="3382"/>
      <c r="M79" s="3383"/>
      <c r="S79" s="730"/>
    </row>
    <row r="80" spans="1:19" ht="13.35" customHeight="1">
      <c r="A80" s="2039"/>
      <c r="B80" s="538"/>
      <c r="C80" s="538" t="s">
        <v>551</v>
      </c>
      <c r="D80" s="2032"/>
      <c r="E80" s="2033"/>
      <c r="F80" s="3382"/>
      <c r="G80" s="3382"/>
      <c r="H80" s="3382"/>
      <c r="I80" s="3382"/>
      <c r="J80" s="3382"/>
      <c r="K80" s="3382"/>
      <c r="L80" s="3382"/>
      <c r="M80" s="3383"/>
      <c r="S80" s="730"/>
    </row>
    <row r="81" spans="1:19" ht="13.35" customHeight="1">
      <c r="A81" s="2039"/>
      <c r="B81" s="538"/>
      <c r="C81" s="538" t="s">
        <v>551</v>
      </c>
      <c r="D81" s="2032"/>
      <c r="E81" s="2033"/>
      <c r="F81" s="3382"/>
      <c r="G81" s="3382"/>
      <c r="H81" s="3382"/>
      <c r="I81" s="3382"/>
      <c r="J81" s="3382"/>
      <c r="K81" s="3382"/>
      <c r="L81" s="3382"/>
      <c r="M81" s="3383"/>
      <c r="S81" s="730"/>
    </row>
    <row r="82" spans="1:19" ht="13.35" customHeight="1">
      <c r="A82" s="2035">
        <f>A78</f>
        <v>40</v>
      </c>
      <c r="B82" s="812" t="str">
        <f>IF('Part VI-Revenues &amp; Expenses'!$L$60=0,"",'Part VI-Revenues &amp; Expenses'!$L$60)</f>
        <v/>
      </c>
      <c r="C82" s="2031">
        <v>1</v>
      </c>
      <c r="D82" s="538"/>
      <c r="E82" s="538"/>
      <c r="F82" s="3380"/>
      <c r="G82" s="3381"/>
      <c r="H82" s="2031"/>
      <c r="I82" s="2031"/>
      <c r="J82" s="2031"/>
      <c r="K82" s="2031"/>
      <c r="L82" s="2031"/>
      <c r="M82" s="2031"/>
      <c r="S82" s="730"/>
    </row>
    <row r="83" spans="1:19" ht="13.35" customHeight="1">
      <c r="A83" s="2035"/>
      <c r="B83" s="538"/>
      <c r="C83" s="2034">
        <v>1</v>
      </c>
      <c r="D83" s="2032"/>
      <c r="E83" s="2033"/>
      <c r="F83" s="3382"/>
      <c r="G83" s="3382"/>
      <c r="H83" s="3382"/>
      <c r="I83" s="3382"/>
      <c r="J83" s="3382"/>
      <c r="K83" s="3382"/>
      <c r="L83" s="3382"/>
      <c r="M83" s="3383"/>
      <c r="S83" s="730"/>
    </row>
    <row r="84" spans="1:19" ht="13.35" customHeight="1">
      <c r="A84" s="2035"/>
      <c r="B84" s="538"/>
      <c r="C84" s="2034">
        <v>1</v>
      </c>
      <c r="D84" s="2032"/>
      <c r="E84" s="2033"/>
      <c r="F84" s="3382"/>
      <c r="G84" s="3382"/>
      <c r="H84" s="3382"/>
      <c r="I84" s="3382"/>
      <c r="J84" s="3382"/>
      <c r="K84" s="3382"/>
      <c r="L84" s="3382"/>
      <c r="M84" s="3383"/>
      <c r="S84" s="730"/>
    </row>
    <row r="85" spans="1:19" ht="13.35" customHeight="1">
      <c r="A85" s="2035"/>
      <c r="B85" s="538"/>
      <c r="C85" s="2034">
        <v>1</v>
      </c>
      <c r="D85" s="2032"/>
      <c r="E85" s="2033"/>
      <c r="F85" s="3382"/>
      <c r="G85" s="3382"/>
      <c r="H85" s="3382"/>
      <c r="I85" s="3382"/>
      <c r="J85" s="3382"/>
      <c r="K85" s="3382"/>
      <c r="L85" s="3382"/>
      <c r="M85" s="3383"/>
      <c r="S85" s="730"/>
    </row>
    <row r="86" spans="1:19" ht="13.35" customHeight="1">
      <c r="A86" s="2035">
        <f>A78</f>
        <v>40</v>
      </c>
      <c r="B86" s="812" t="str">
        <f>IF('Part VI-Revenues &amp; Expenses'!$M$60=0,"",'Part VI-Revenues &amp; Expenses'!$M$60)</f>
        <v/>
      </c>
      <c r="C86" s="2031">
        <v>2</v>
      </c>
      <c r="D86" s="538"/>
      <c r="E86" s="538"/>
      <c r="F86" s="3380"/>
      <c r="G86" s="3381"/>
      <c r="H86" s="2031"/>
      <c r="I86" s="2031"/>
      <c r="J86" s="2031"/>
      <c r="K86" s="2031"/>
      <c r="L86" s="2031"/>
      <c r="M86" s="2031"/>
      <c r="S86" s="730"/>
    </row>
    <row r="87" spans="1:19" ht="13.35" customHeight="1">
      <c r="A87" s="2035"/>
      <c r="B87" s="538"/>
      <c r="C87" s="2034">
        <v>2</v>
      </c>
      <c r="D87" s="2032"/>
      <c r="E87" s="2033"/>
      <c r="F87" s="3382"/>
      <c r="G87" s="3382"/>
      <c r="H87" s="3382"/>
      <c r="I87" s="3382"/>
      <c r="J87" s="3382"/>
      <c r="K87" s="3382"/>
      <c r="L87" s="3382"/>
      <c r="M87" s="3383"/>
      <c r="S87" s="730"/>
    </row>
    <row r="88" spans="1:19" ht="13.35" customHeight="1">
      <c r="A88" s="2035"/>
      <c r="B88" s="538"/>
      <c r="C88" s="2034">
        <v>2</v>
      </c>
      <c r="D88" s="2032"/>
      <c r="E88" s="2033"/>
      <c r="F88" s="3382"/>
      <c r="G88" s="3382"/>
      <c r="H88" s="3382"/>
      <c r="I88" s="3382"/>
      <c r="J88" s="3382"/>
      <c r="K88" s="3382"/>
      <c r="L88" s="3382"/>
      <c r="M88" s="3383"/>
      <c r="S88" s="730"/>
    </row>
    <row r="89" spans="1:19" ht="13.35" customHeight="1">
      <c r="A89" s="2035"/>
      <c r="B89" s="538"/>
      <c r="C89" s="2034">
        <v>2</v>
      </c>
      <c r="D89" s="2032"/>
      <c r="E89" s="2033"/>
      <c r="F89" s="3382"/>
      <c r="G89" s="3382"/>
      <c r="H89" s="3382"/>
      <c r="I89" s="3382"/>
      <c r="J89" s="3382"/>
      <c r="K89" s="3382"/>
      <c r="L89" s="3382"/>
      <c r="M89" s="3383"/>
      <c r="S89" s="730"/>
    </row>
    <row r="90" spans="1:19" ht="13.35" customHeight="1">
      <c r="A90" s="2035"/>
      <c r="B90" s="538"/>
      <c r="C90" s="2034">
        <v>2</v>
      </c>
      <c r="D90" s="2032"/>
      <c r="E90" s="2033"/>
      <c r="F90" s="3382"/>
      <c r="G90" s="3382"/>
      <c r="H90" s="3382"/>
      <c r="I90" s="3382"/>
      <c r="J90" s="3382"/>
      <c r="K90" s="3382"/>
      <c r="L90" s="3382"/>
      <c r="M90" s="3383"/>
      <c r="S90" s="730"/>
    </row>
    <row r="91" spans="1:19" ht="13.35" customHeight="1">
      <c r="A91" s="2035">
        <f>A78</f>
        <v>40</v>
      </c>
      <c r="B91" s="812" t="str">
        <f>IF('Part VI-Revenues &amp; Expenses'!$N$60=0,"",'Part VI-Revenues &amp; Expenses'!$N$60)</f>
        <v/>
      </c>
      <c r="C91" s="2031">
        <v>3</v>
      </c>
      <c r="D91" s="538"/>
      <c r="E91" s="538"/>
      <c r="F91" s="3380"/>
      <c r="G91" s="3381"/>
      <c r="H91" s="2031"/>
      <c r="I91" s="2031"/>
      <c r="J91" s="2031"/>
      <c r="K91" s="2031"/>
      <c r="L91" s="2031"/>
      <c r="M91" s="2031"/>
      <c r="S91" s="730"/>
    </row>
    <row r="92" spans="1:19" ht="13.35" customHeight="1">
      <c r="A92" s="2035"/>
      <c r="B92" s="538"/>
      <c r="C92" s="2034">
        <v>3</v>
      </c>
      <c r="D92" s="2032"/>
      <c r="E92" s="2033"/>
      <c r="F92" s="3382"/>
      <c r="G92" s="3382"/>
      <c r="H92" s="3382"/>
      <c r="I92" s="3382"/>
      <c r="J92" s="3382"/>
      <c r="K92" s="3382"/>
      <c r="L92" s="3382"/>
      <c r="M92" s="3383"/>
      <c r="S92" s="730"/>
    </row>
    <row r="93" spans="1:19" ht="13.35" customHeight="1">
      <c r="A93" s="2035"/>
      <c r="B93" s="538"/>
      <c r="C93" s="2034">
        <v>3</v>
      </c>
      <c r="D93" s="2032"/>
      <c r="E93" s="2033"/>
      <c r="F93" s="3382"/>
      <c r="G93" s="3382"/>
      <c r="H93" s="3382"/>
      <c r="I93" s="3382"/>
      <c r="J93" s="3382"/>
      <c r="K93" s="3382"/>
      <c r="L93" s="3382"/>
      <c r="M93" s="3383"/>
      <c r="S93" s="730"/>
    </row>
    <row r="94" spans="1:19" ht="13.35" customHeight="1">
      <c r="A94" s="2035"/>
      <c r="B94" s="538"/>
      <c r="C94" s="2034">
        <v>3</v>
      </c>
      <c r="D94" s="2032"/>
      <c r="E94" s="2033"/>
      <c r="F94" s="3382"/>
      <c r="G94" s="3382"/>
      <c r="H94" s="3382"/>
      <c r="I94" s="3382"/>
      <c r="J94" s="3382"/>
      <c r="K94" s="3382"/>
      <c r="L94" s="3382"/>
      <c r="M94" s="3383"/>
      <c r="S94" s="730"/>
    </row>
    <row r="95" spans="1:19" ht="13.35" customHeight="1">
      <c r="A95" s="2035"/>
      <c r="B95" s="538"/>
      <c r="C95" s="2034">
        <v>3</v>
      </c>
      <c r="D95" s="2032"/>
      <c r="E95" s="2033"/>
      <c r="F95" s="3382"/>
      <c r="G95" s="3382"/>
      <c r="H95" s="3382"/>
      <c r="I95" s="3382"/>
      <c r="J95" s="3382"/>
      <c r="K95" s="3382"/>
      <c r="L95" s="3382"/>
      <c r="M95" s="3383"/>
      <c r="S95" s="730"/>
    </row>
    <row r="96" spans="1:19" ht="13.35" customHeight="1">
      <c r="A96" s="2035">
        <f>A78</f>
        <v>40</v>
      </c>
      <c r="B96" s="812" t="str">
        <f>IF('Part VI-Revenues &amp; Expenses'!$O$60=0,"",'Part VI-Revenues &amp; Expenses'!$O$60)</f>
        <v/>
      </c>
      <c r="C96" s="2031">
        <v>4</v>
      </c>
      <c r="D96" s="538"/>
      <c r="E96" s="538"/>
      <c r="F96" s="3380"/>
      <c r="G96" s="3381"/>
      <c r="H96" s="2031"/>
      <c r="I96" s="2031"/>
      <c r="J96" s="2031"/>
      <c r="K96" s="2031"/>
      <c r="L96" s="2031"/>
      <c r="M96" s="2031"/>
      <c r="S96" s="730"/>
    </row>
    <row r="97" spans="1:19" ht="13.35" customHeight="1">
      <c r="A97" s="2039"/>
      <c r="B97" s="538"/>
      <c r="C97" s="2034">
        <v>4</v>
      </c>
      <c r="D97" s="2032"/>
      <c r="E97" s="2033"/>
      <c r="F97" s="3382"/>
      <c r="G97" s="3382"/>
      <c r="H97" s="3382"/>
      <c r="I97" s="3382"/>
      <c r="J97" s="3382"/>
      <c r="K97" s="3382"/>
      <c r="L97" s="3382"/>
      <c r="M97" s="3383"/>
      <c r="S97" s="730"/>
    </row>
    <row r="98" spans="1:19" ht="13.35" customHeight="1">
      <c r="A98" s="2036"/>
      <c r="C98" s="2034">
        <v>4</v>
      </c>
      <c r="D98" s="2032"/>
      <c r="E98" s="2033"/>
      <c r="F98" s="3382"/>
      <c r="G98" s="3382"/>
      <c r="H98" s="3382"/>
      <c r="I98" s="3382"/>
      <c r="J98" s="3382"/>
      <c r="K98" s="3382"/>
      <c r="L98" s="3382"/>
      <c r="M98" s="3383"/>
      <c r="S98" s="730"/>
    </row>
    <row r="99" spans="1:19" ht="13.35" customHeight="1">
      <c r="A99" s="2036"/>
      <c r="C99" s="2034">
        <v>4</v>
      </c>
      <c r="D99" s="2032"/>
      <c r="E99" s="2033"/>
      <c r="F99" s="3382"/>
      <c r="G99" s="3382"/>
      <c r="H99" s="3382"/>
      <c r="I99" s="3382"/>
      <c r="J99" s="3382"/>
      <c r="K99" s="3382"/>
      <c r="L99" s="3382"/>
      <c r="M99" s="3383"/>
      <c r="S99" s="730"/>
    </row>
    <row r="100" spans="1:19" ht="13.35" customHeight="1">
      <c r="A100" s="2038"/>
      <c r="B100" s="2028"/>
      <c r="C100" s="2028"/>
      <c r="D100" s="2028"/>
      <c r="E100" s="2028"/>
      <c r="F100" s="2057"/>
      <c r="G100" s="2057"/>
      <c r="H100" s="2057"/>
      <c r="I100" s="2058"/>
      <c r="J100" s="2057"/>
      <c r="K100" s="2057"/>
      <c r="L100" s="2057"/>
      <c r="M100" s="2057"/>
      <c r="S100" s="730"/>
    </row>
    <row r="101" spans="1:19" ht="13.35" customHeight="1">
      <c r="A101" s="2036"/>
      <c r="F101" s="1804"/>
      <c r="G101" s="1804"/>
      <c r="H101" s="1804"/>
      <c r="I101" s="2031"/>
      <c r="J101" s="1804"/>
      <c r="K101" s="1804"/>
      <c r="L101" s="1804"/>
      <c r="M101" s="1804"/>
      <c r="S101" s="730"/>
    </row>
    <row r="102" spans="1:19" ht="13.35" customHeight="1">
      <c r="A102" s="2041">
        <v>50</v>
      </c>
      <c r="B102" s="2030" t="str">
        <f>IF('Part VI-Revenues &amp; Expenses'!$K$59=0,"",'Part VI-Revenues &amp; Expenses'!$K$59)</f>
        <v/>
      </c>
      <c r="C102" s="748" t="s">
        <v>551</v>
      </c>
      <c r="D102" s="538"/>
      <c r="E102" s="538"/>
      <c r="F102" s="3380"/>
      <c r="G102" s="3381"/>
      <c r="H102" s="538"/>
      <c r="I102" s="737"/>
      <c r="J102" s="538"/>
      <c r="K102" s="538"/>
      <c r="L102" s="538"/>
      <c r="M102" s="538"/>
      <c r="S102" s="730"/>
    </row>
    <row r="103" spans="1:19" ht="13.35" customHeight="1">
      <c r="A103" s="2039"/>
      <c r="B103" s="538"/>
      <c r="C103" s="538" t="s">
        <v>551</v>
      </c>
      <c r="D103" s="2032"/>
      <c r="E103" s="2033"/>
      <c r="F103" s="3382"/>
      <c r="G103" s="3382"/>
      <c r="H103" s="3382"/>
      <c r="I103" s="3382"/>
      <c r="J103" s="3382"/>
      <c r="K103" s="3382"/>
      <c r="L103" s="3382"/>
      <c r="M103" s="3383"/>
      <c r="S103" s="730"/>
    </row>
    <row r="104" spans="1:19" ht="13.35" customHeight="1">
      <c r="A104" s="2039"/>
      <c r="B104" s="538"/>
      <c r="C104" s="538" t="s">
        <v>551</v>
      </c>
      <c r="D104" s="2032"/>
      <c r="E104" s="2033"/>
      <c r="F104" s="3382"/>
      <c r="G104" s="3382"/>
      <c r="H104" s="3382"/>
      <c r="I104" s="3382"/>
      <c r="J104" s="3382"/>
      <c r="K104" s="3382"/>
      <c r="L104" s="3382"/>
      <c r="M104" s="3383"/>
      <c r="S104" s="730"/>
    </row>
    <row r="105" spans="1:19" ht="13.35" customHeight="1">
      <c r="A105" s="2039"/>
      <c r="B105" s="538"/>
      <c r="C105" s="538" t="s">
        <v>551</v>
      </c>
      <c r="D105" s="2032"/>
      <c r="E105" s="2033"/>
      <c r="F105" s="3382"/>
      <c r="G105" s="3382"/>
      <c r="H105" s="3382"/>
      <c r="I105" s="3382"/>
      <c r="J105" s="3382"/>
      <c r="K105" s="3382"/>
      <c r="L105" s="3382"/>
      <c r="M105" s="3383"/>
      <c r="S105" s="730"/>
    </row>
    <row r="106" spans="1:19" ht="13.35" customHeight="1">
      <c r="A106" s="2035">
        <f>A102</f>
        <v>50</v>
      </c>
      <c r="B106" s="812">
        <f>IF('Part VI-Revenues &amp; Expenses'!$L$59=0,"",'Part VI-Revenues &amp; Expenses'!$L$59)</f>
        <v>3</v>
      </c>
      <c r="C106" s="2031">
        <v>1</v>
      </c>
      <c r="D106" s="538"/>
      <c r="E106" s="538"/>
      <c r="F106" s="3380"/>
      <c r="G106" s="3381"/>
      <c r="H106" s="2031"/>
      <c r="I106" s="2031"/>
      <c r="J106" s="2031"/>
      <c r="K106" s="2031"/>
      <c r="L106" s="2031"/>
      <c r="M106" s="2031"/>
      <c r="S106" s="730"/>
    </row>
    <row r="107" spans="1:19" ht="13.35" customHeight="1">
      <c r="A107" s="2035"/>
      <c r="B107" s="538"/>
      <c r="C107" s="2034">
        <v>1</v>
      </c>
      <c r="D107" s="2032"/>
      <c r="E107" s="2033"/>
      <c r="F107" s="3382"/>
      <c r="G107" s="3382"/>
      <c r="H107" s="3382"/>
      <c r="I107" s="3382"/>
      <c r="J107" s="3382"/>
      <c r="K107" s="3382"/>
      <c r="L107" s="3382"/>
      <c r="M107" s="3383"/>
      <c r="S107" s="730"/>
    </row>
    <row r="108" spans="1:19" ht="13.35" customHeight="1">
      <c r="A108" s="2035"/>
      <c r="B108" s="538"/>
      <c r="C108" s="2034">
        <v>1</v>
      </c>
      <c r="D108" s="2032"/>
      <c r="E108" s="2033"/>
      <c r="F108" s="3382"/>
      <c r="G108" s="3382"/>
      <c r="H108" s="3382"/>
      <c r="I108" s="3382"/>
      <c r="J108" s="3382"/>
      <c r="K108" s="3382"/>
      <c r="L108" s="3382"/>
      <c r="M108" s="3383"/>
      <c r="S108" s="730"/>
    </row>
    <row r="109" spans="1:19" ht="13.35" customHeight="1">
      <c r="A109" s="2035"/>
      <c r="B109" s="538"/>
      <c r="C109" s="2034">
        <v>1</v>
      </c>
      <c r="D109" s="2032"/>
      <c r="E109" s="2033"/>
      <c r="F109" s="3382"/>
      <c r="G109" s="3382"/>
      <c r="H109" s="3382"/>
      <c r="I109" s="3382"/>
      <c r="J109" s="3382"/>
      <c r="K109" s="3382"/>
      <c r="L109" s="3382"/>
      <c r="M109" s="3383"/>
      <c r="S109" s="730"/>
    </row>
    <row r="110" spans="1:19" ht="13.35" customHeight="1">
      <c r="A110" s="2035">
        <f>A102</f>
        <v>50</v>
      </c>
      <c r="B110" s="812">
        <f>IF('Part VI-Revenues &amp; Expenses'!$M$59=0,"",'Part VI-Revenues &amp; Expenses'!$M$59)</f>
        <v>7</v>
      </c>
      <c r="C110" s="2031">
        <v>2</v>
      </c>
      <c r="D110" s="538"/>
      <c r="E110" s="538"/>
      <c r="F110" s="3380"/>
      <c r="G110" s="3381"/>
      <c r="H110" s="2031"/>
      <c r="I110" s="2031"/>
      <c r="J110" s="2031"/>
      <c r="K110" s="2031"/>
      <c r="L110" s="2031"/>
      <c r="M110" s="2031"/>
      <c r="S110" s="730"/>
    </row>
    <row r="111" spans="1:19" ht="13.35" customHeight="1">
      <c r="A111" s="2035"/>
      <c r="B111" s="538"/>
      <c r="C111" s="2034">
        <v>2</v>
      </c>
      <c r="D111" s="2032"/>
      <c r="E111" s="2033"/>
      <c r="F111" s="3382"/>
      <c r="G111" s="3382"/>
      <c r="H111" s="3382"/>
      <c r="I111" s="3382"/>
      <c r="J111" s="3382"/>
      <c r="K111" s="3382"/>
      <c r="L111" s="3382"/>
      <c r="M111" s="3383"/>
      <c r="S111" s="730"/>
    </row>
    <row r="112" spans="1:19" ht="13.35" customHeight="1">
      <c r="A112" s="2035"/>
      <c r="B112" s="538"/>
      <c r="C112" s="2034">
        <v>2</v>
      </c>
      <c r="D112" s="2032"/>
      <c r="E112" s="2033"/>
      <c r="F112" s="3382"/>
      <c r="G112" s="3382"/>
      <c r="H112" s="3382"/>
      <c r="I112" s="3382"/>
      <c r="J112" s="3382"/>
      <c r="K112" s="3382"/>
      <c r="L112" s="3382"/>
      <c r="M112" s="3383"/>
      <c r="S112" s="730"/>
    </row>
    <row r="113" spans="1:19" ht="13.35" customHeight="1">
      <c r="A113" s="2035"/>
      <c r="B113" s="538"/>
      <c r="C113" s="2034">
        <v>2</v>
      </c>
      <c r="D113" s="2032"/>
      <c r="E113" s="2033"/>
      <c r="F113" s="3382"/>
      <c r="G113" s="3382"/>
      <c r="H113" s="3382"/>
      <c r="I113" s="3382"/>
      <c r="J113" s="3382"/>
      <c r="K113" s="3382"/>
      <c r="L113" s="3382"/>
      <c r="M113" s="3383"/>
      <c r="S113" s="730"/>
    </row>
    <row r="114" spans="1:19" ht="13.35" customHeight="1">
      <c r="A114" s="2035"/>
      <c r="B114" s="538"/>
      <c r="C114" s="2034">
        <v>2</v>
      </c>
      <c r="D114" s="2032"/>
      <c r="E114" s="2033"/>
      <c r="F114" s="3382"/>
      <c r="G114" s="3382"/>
      <c r="H114" s="3382"/>
      <c r="I114" s="3382"/>
      <c r="J114" s="3382"/>
      <c r="K114" s="3382"/>
      <c r="L114" s="3382"/>
      <c r="M114" s="3383"/>
      <c r="S114" s="730"/>
    </row>
    <row r="115" spans="1:19" ht="13.35" customHeight="1">
      <c r="A115" s="2035">
        <f>A102</f>
        <v>50</v>
      </c>
      <c r="B115" s="812" t="str">
        <f>IF('Part VI-Revenues &amp; Expenses'!$N$59=0,"",'Part VI-Revenues &amp; Expenses'!$N$59)</f>
        <v/>
      </c>
      <c r="C115" s="2031">
        <v>3</v>
      </c>
      <c r="D115" s="538"/>
      <c r="E115" s="538"/>
      <c r="F115" s="3380"/>
      <c r="G115" s="3381"/>
      <c r="H115" s="2031"/>
      <c r="I115" s="2031"/>
      <c r="J115" s="2031"/>
      <c r="K115" s="2031"/>
      <c r="L115" s="2031"/>
      <c r="M115" s="2031"/>
      <c r="S115" s="730"/>
    </row>
    <row r="116" spans="1:19" ht="13.35" customHeight="1">
      <c r="A116" s="2035"/>
      <c r="B116" s="538"/>
      <c r="C116" s="2034">
        <v>3</v>
      </c>
      <c r="D116" s="2032"/>
      <c r="E116" s="2033"/>
      <c r="F116" s="3382"/>
      <c r="G116" s="3382"/>
      <c r="H116" s="3382"/>
      <c r="I116" s="3382"/>
      <c r="J116" s="3382"/>
      <c r="K116" s="3382"/>
      <c r="L116" s="3382"/>
      <c r="M116" s="3383"/>
      <c r="S116" s="730"/>
    </row>
    <row r="117" spans="1:19" ht="13.35" customHeight="1">
      <c r="A117" s="2035"/>
      <c r="B117" s="538"/>
      <c r="C117" s="2034">
        <v>3</v>
      </c>
      <c r="D117" s="2032"/>
      <c r="E117" s="2033"/>
      <c r="F117" s="3382"/>
      <c r="G117" s="3382"/>
      <c r="H117" s="3382"/>
      <c r="I117" s="3382"/>
      <c r="J117" s="3382"/>
      <c r="K117" s="3382"/>
      <c r="L117" s="3382"/>
      <c r="M117" s="3383"/>
      <c r="S117" s="730"/>
    </row>
    <row r="118" spans="1:19" ht="13.35" customHeight="1">
      <c r="A118" s="2035"/>
      <c r="B118" s="538"/>
      <c r="C118" s="2034">
        <v>3</v>
      </c>
      <c r="D118" s="2032"/>
      <c r="E118" s="2033"/>
      <c r="F118" s="3382"/>
      <c r="G118" s="3382"/>
      <c r="H118" s="3382"/>
      <c r="I118" s="3382"/>
      <c r="J118" s="3382"/>
      <c r="K118" s="3382"/>
      <c r="L118" s="3382"/>
      <c r="M118" s="3383"/>
      <c r="S118" s="730"/>
    </row>
    <row r="119" spans="1:19" ht="13.35" customHeight="1">
      <c r="A119" s="2035"/>
      <c r="B119" s="538"/>
      <c r="C119" s="2034">
        <v>3</v>
      </c>
      <c r="D119" s="2032"/>
      <c r="E119" s="2033"/>
      <c r="F119" s="3382"/>
      <c r="G119" s="3382"/>
      <c r="H119" s="3382"/>
      <c r="I119" s="3382"/>
      <c r="J119" s="3382"/>
      <c r="K119" s="3382"/>
      <c r="L119" s="3382"/>
      <c r="M119" s="3383"/>
      <c r="S119" s="730"/>
    </row>
    <row r="120" spans="1:19" ht="13.35" customHeight="1">
      <c r="A120" s="2035">
        <f>A102</f>
        <v>50</v>
      </c>
      <c r="B120" s="812" t="str">
        <f>IF('Part VI-Revenues &amp; Expenses'!$O$59=0,"",'Part VI-Revenues &amp; Expenses'!$O$59)</f>
        <v/>
      </c>
      <c r="C120" s="2031">
        <v>4</v>
      </c>
      <c r="D120" s="538"/>
      <c r="E120" s="538"/>
      <c r="F120" s="3380"/>
      <c r="G120" s="3381"/>
      <c r="H120" s="2031"/>
      <c r="I120" s="2031"/>
      <c r="J120" s="2031"/>
      <c r="K120" s="2031"/>
      <c r="L120" s="2031"/>
      <c r="M120" s="2031"/>
      <c r="S120" s="730"/>
    </row>
    <row r="121" spans="1:19" ht="13.35" customHeight="1">
      <c r="A121" s="2039"/>
      <c r="B121" s="538"/>
      <c r="C121" s="2034">
        <v>4</v>
      </c>
      <c r="D121" s="2032"/>
      <c r="E121" s="2033"/>
      <c r="F121" s="3382"/>
      <c r="G121" s="3382"/>
      <c r="H121" s="3382"/>
      <c r="I121" s="3382"/>
      <c r="J121" s="3382"/>
      <c r="K121" s="3382"/>
      <c r="L121" s="3382"/>
      <c r="M121" s="3383"/>
      <c r="S121" s="730"/>
    </row>
    <row r="122" spans="1:19" ht="13.35" customHeight="1">
      <c r="A122" s="2036"/>
      <c r="C122" s="2034">
        <v>4</v>
      </c>
      <c r="D122" s="2032"/>
      <c r="E122" s="2033"/>
      <c r="F122" s="3382"/>
      <c r="G122" s="3382"/>
      <c r="H122" s="3382"/>
      <c r="I122" s="3382"/>
      <c r="J122" s="3382"/>
      <c r="K122" s="3382"/>
      <c r="L122" s="3382"/>
      <c r="M122" s="3383"/>
      <c r="S122" s="730"/>
    </row>
    <row r="123" spans="1:19" ht="13.35" customHeight="1">
      <c r="A123" s="2036"/>
      <c r="C123" s="2034">
        <v>4</v>
      </c>
      <c r="D123" s="2032"/>
      <c r="E123" s="2033"/>
      <c r="F123" s="3382"/>
      <c r="G123" s="3382"/>
      <c r="H123" s="3382"/>
      <c r="I123" s="3382"/>
      <c r="J123" s="3382"/>
      <c r="K123" s="3382"/>
      <c r="L123" s="3382"/>
      <c r="M123" s="3383"/>
      <c r="S123" s="730"/>
    </row>
    <row r="124" spans="1:19" ht="13.35" customHeight="1">
      <c r="A124" s="2038"/>
      <c r="B124" s="2028"/>
      <c r="C124" s="2028"/>
      <c r="D124" s="2028"/>
      <c r="E124" s="2028"/>
      <c r="F124" s="2057"/>
      <c r="G124" s="2057"/>
      <c r="H124" s="2057"/>
      <c r="I124" s="2058"/>
      <c r="J124" s="2057"/>
      <c r="K124" s="2057"/>
      <c r="L124" s="2057"/>
      <c r="M124" s="2057"/>
      <c r="S124" s="730"/>
    </row>
    <row r="125" spans="1:19" ht="13.35" customHeight="1">
      <c r="A125" s="2040"/>
      <c r="B125" s="2029"/>
      <c r="C125" s="2029"/>
      <c r="D125" s="2029"/>
      <c r="E125" s="2029"/>
      <c r="F125" s="777"/>
      <c r="G125" s="777"/>
      <c r="H125" s="777"/>
      <c r="I125" s="2059"/>
      <c r="J125" s="777"/>
      <c r="K125" s="777"/>
      <c r="L125" s="777"/>
      <c r="M125" s="777"/>
      <c r="S125" s="730"/>
    </row>
    <row r="126" spans="1:19" ht="13.35" customHeight="1">
      <c r="A126" s="2041">
        <v>60</v>
      </c>
      <c r="B126" s="812" t="str">
        <f>IF('Part VI-Revenues &amp; Expenses'!$K$58=0,"",'Part VI-Revenues &amp; Expenses'!$K$58)</f>
        <v/>
      </c>
      <c r="C126" s="748" t="s">
        <v>551</v>
      </c>
      <c r="D126" s="538"/>
      <c r="E126" s="538"/>
      <c r="F126" s="3380"/>
      <c r="G126" s="3381"/>
      <c r="H126" s="538"/>
      <c r="I126" s="737"/>
      <c r="J126" s="538"/>
      <c r="K126" s="538"/>
      <c r="L126" s="538"/>
      <c r="M126" s="538"/>
      <c r="S126" s="730"/>
    </row>
    <row r="127" spans="1:19" ht="13.35" customHeight="1">
      <c r="A127" s="2039"/>
      <c r="B127" s="538"/>
      <c r="C127" s="538" t="s">
        <v>551</v>
      </c>
      <c r="D127" s="2032"/>
      <c r="E127" s="2033"/>
      <c r="F127" s="3382"/>
      <c r="G127" s="3382"/>
      <c r="H127" s="3382"/>
      <c r="I127" s="3382"/>
      <c r="J127" s="3382"/>
      <c r="K127" s="3382"/>
      <c r="L127" s="3382"/>
      <c r="M127" s="3383"/>
      <c r="S127" s="730"/>
    </row>
    <row r="128" spans="1:19" ht="13.35" customHeight="1">
      <c r="A128" s="2039"/>
      <c r="B128" s="538"/>
      <c r="C128" s="538" t="s">
        <v>551</v>
      </c>
      <c r="D128" s="2032"/>
      <c r="E128" s="2033"/>
      <c r="F128" s="3382"/>
      <c r="G128" s="3382"/>
      <c r="H128" s="3382"/>
      <c r="I128" s="3382"/>
      <c r="J128" s="3382"/>
      <c r="K128" s="3382"/>
      <c r="L128" s="3382"/>
      <c r="M128" s="3383"/>
      <c r="S128" s="730"/>
    </row>
    <row r="129" spans="1:19" ht="13.35" customHeight="1">
      <c r="A129" s="2039"/>
      <c r="B129" s="538"/>
      <c r="C129" s="538" t="s">
        <v>551</v>
      </c>
      <c r="D129" s="2032"/>
      <c r="E129" s="2033"/>
      <c r="F129" s="3382"/>
      <c r="G129" s="3382"/>
      <c r="H129" s="3382"/>
      <c r="I129" s="3382"/>
      <c r="J129" s="3382"/>
      <c r="K129" s="3382"/>
      <c r="L129" s="3382"/>
      <c r="M129" s="3383"/>
      <c r="S129" s="730"/>
    </row>
    <row r="130" spans="1:19" ht="13.35" customHeight="1">
      <c r="A130" s="2035">
        <f>A126</f>
        <v>60</v>
      </c>
      <c r="B130" s="812">
        <f>IF('Part VI-Revenues &amp; Expenses'!$L$58=0,"",'Part VI-Revenues &amp; Expenses'!$L$58)</f>
        <v>11</v>
      </c>
      <c r="C130" s="2031">
        <v>1</v>
      </c>
      <c r="D130" s="538"/>
      <c r="E130" s="538"/>
      <c r="F130" s="3380"/>
      <c r="G130" s="3381"/>
      <c r="H130" s="2031"/>
      <c r="I130" s="2031"/>
      <c r="J130" s="2031"/>
      <c r="K130" s="2031"/>
      <c r="L130" s="2031"/>
      <c r="M130" s="2031"/>
      <c r="S130" s="730"/>
    </row>
    <row r="131" spans="1:19" ht="13.35" customHeight="1">
      <c r="A131" s="2035"/>
      <c r="B131" s="538"/>
      <c r="C131" s="2034">
        <v>1</v>
      </c>
      <c r="D131" s="2032"/>
      <c r="E131" s="2033"/>
      <c r="F131" s="3382"/>
      <c r="G131" s="3382"/>
      <c r="H131" s="3382"/>
      <c r="I131" s="3382"/>
      <c r="J131" s="3382"/>
      <c r="K131" s="3382"/>
      <c r="L131" s="3382"/>
      <c r="M131" s="3383"/>
      <c r="S131" s="730"/>
    </row>
    <row r="132" spans="1:19" ht="13.35" customHeight="1">
      <c r="A132" s="2035"/>
      <c r="B132" s="538"/>
      <c r="C132" s="2034">
        <v>1</v>
      </c>
      <c r="D132" s="2032"/>
      <c r="E132" s="2033"/>
      <c r="F132" s="3382"/>
      <c r="G132" s="3382"/>
      <c r="H132" s="3382"/>
      <c r="I132" s="3382"/>
      <c r="J132" s="3382"/>
      <c r="K132" s="3382"/>
      <c r="L132" s="3382"/>
      <c r="M132" s="3383"/>
      <c r="S132" s="730"/>
    </row>
    <row r="133" spans="1:19" ht="13.35" customHeight="1">
      <c r="A133" s="2035"/>
      <c r="B133" s="538"/>
      <c r="C133" s="2034">
        <v>1</v>
      </c>
      <c r="D133" s="2032"/>
      <c r="E133" s="2033"/>
      <c r="F133" s="3382"/>
      <c r="G133" s="3382"/>
      <c r="H133" s="3382"/>
      <c r="I133" s="3382"/>
      <c r="J133" s="3382"/>
      <c r="K133" s="3382"/>
      <c r="L133" s="3382"/>
      <c r="M133" s="3383"/>
      <c r="S133" s="730"/>
    </row>
    <row r="134" spans="1:19" ht="13.35" customHeight="1">
      <c r="A134" s="2035">
        <f>A126</f>
        <v>60</v>
      </c>
      <c r="B134" s="812">
        <f>IF('Part VI-Revenues &amp; Expenses'!$M$58=0,"",'Part VI-Revenues &amp; Expenses'!$M$58)</f>
        <v>27</v>
      </c>
      <c r="C134" s="2031">
        <v>2</v>
      </c>
      <c r="D134" s="538"/>
      <c r="E134" s="538"/>
      <c r="F134" s="3380"/>
      <c r="G134" s="3381"/>
      <c r="H134" s="2031"/>
      <c r="I134" s="2031"/>
      <c r="J134" s="2031"/>
      <c r="K134" s="2031"/>
      <c r="L134" s="2031"/>
      <c r="M134" s="2031"/>
      <c r="S134" s="730"/>
    </row>
    <row r="135" spans="1:19" ht="13.35" customHeight="1">
      <c r="A135" s="2035"/>
      <c r="B135" s="538"/>
      <c r="C135" s="2034">
        <v>2</v>
      </c>
      <c r="D135" s="2032"/>
      <c r="E135" s="2033"/>
      <c r="F135" s="3382"/>
      <c r="G135" s="3382"/>
      <c r="H135" s="3382"/>
      <c r="I135" s="3382"/>
      <c r="J135" s="3382"/>
      <c r="K135" s="3382"/>
      <c r="L135" s="3382"/>
      <c r="M135" s="3383"/>
      <c r="S135" s="730"/>
    </row>
    <row r="136" spans="1:19" ht="13.35" customHeight="1">
      <c r="A136" s="2035"/>
      <c r="B136" s="538"/>
      <c r="C136" s="2034">
        <v>2</v>
      </c>
      <c r="D136" s="2032"/>
      <c r="E136" s="2033"/>
      <c r="F136" s="3382"/>
      <c r="G136" s="3382"/>
      <c r="H136" s="3382"/>
      <c r="I136" s="3382"/>
      <c r="J136" s="3382"/>
      <c r="K136" s="3382"/>
      <c r="L136" s="3382"/>
      <c r="M136" s="3383"/>
      <c r="S136" s="730"/>
    </row>
    <row r="137" spans="1:19" ht="13.35" customHeight="1">
      <c r="A137" s="2035"/>
      <c r="B137" s="538"/>
      <c r="C137" s="2034">
        <v>2</v>
      </c>
      <c r="D137" s="2032"/>
      <c r="E137" s="2033"/>
      <c r="F137" s="3382"/>
      <c r="G137" s="3382"/>
      <c r="H137" s="3382"/>
      <c r="I137" s="3382"/>
      <c r="J137" s="3382"/>
      <c r="K137" s="3382"/>
      <c r="L137" s="3382"/>
      <c r="M137" s="3383"/>
      <c r="S137" s="730"/>
    </row>
    <row r="138" spans="1:19" ht="13.35" customHeight="1">
      <c r="A138" s="2035"/>
      <c r="B138" s="538"/>
      <c r="C138" s="2034">
        <v>2</v>
      </c>
      <c r="D138" s="2032"/>
      <c r="E138" s="2033"/>
      <c r="F138" s="3382"/>
      <c r="G138" s="3382"/>
      <c r="H138" s="3382"/>
      <c r="I138" s="3382"/>
      <c r="J138" s="3382"/>
      <c r="K138" s="3382"/>
      <c r="L138" s="3382"/>
      <c r="M138" s="3383"/>
      <c r="S138" s="730"/>
    </row>
    <row r="139" spans="1:19" ht="13.35" customHeight="1">
      <c r="A139" s="2035">
        <f>A126</f>
        <v>60</v>
      </c>
      <c r="B139" s="812" t="str">
        <f>IF('Part VI-Revenues &amp; Expenses'!$N$58=0,"",'Part VI-Revenues &amp; Expenses'!$N$58)</f>
        <v/>
      </c>
      <c r="C139" s="2031">
        <v>3</v>
      </c>
      <c r="D139" s="538"/>
      <c r="E139" s="538"/>
      <c r="F139" s="3380"/>
      <c r="G139" s="3381"/>
      <c r="H139" s="2031"/>
      <c r="I139" s="2031"/>
      <c r="J139" s="2031"/>
      <c r="K139" s="2031"/>
      <c r="L139" s="2031"/>
      <c r="M139" s="2031"/>
      <c r="S139" s="730"/>
    </row>
    <row r="140" spans="1:19" ht="13.35" customHeight="1">
      <c r="A140" s="2035"/>
      <c r="B140" s="538"/>
      <c r="C140" s="2034">
        <v>3</v>
      </c>
      <c r="D140" s="2032"/>
      <c r="E140" s="2033"/>
      <c r="F140" s="3382"/>
      <c r="G140" s="3382"/>
      <c r="H140" s="3382"/>
      <c r="I140" s="3382"/>
      <c r="J140" s="3382"/>
      <c r="K140" s="3382"/>
      <c r="L140" s="3382"/>
      <c r="M140" s="3383"/>
      <c r="S140" s="730"/>
    </row>
    <row r="141" spans="1:19" ht="13.35" customHeight="1">
      <c r="A141" s="2035"/>
      <c r="B141" s="538"/>
      <c r="C141" s="2034">
        <v>3</v>
      </c>
      <c r="D141" s="2032"/>
      <c r="E141" s="2033"/>
      <c r="F141" s="3382"/>
      <c r="G141" s="3382"/>
      <c r="H141" s="3382"/>
      <c r="I141" s="3382"/>
      <c r="J141" s="3382"/>
      <c r="K141" s="3382"/>
      <c r="L141" s="3382"/>
      <c r="M141" s="3383"/>
      <c r="S141" s="730"/>
    </row>
    <row r="142" spans="1:19" ht="13.35" customHeight="1">
      <c r="A142" s="2035"/>
      <c r="B142" s="538"/>
      <c r="C142" s="2034">
        <v>3</v>
      </c>
      <c r="D142" s="2032"/>
      <c r="E142" s="2033"/>
      <c r="F142" s="3382"/>
      <c r="G142" s="3382"/>
      <c r="H142" s="3382"/>
      <c r="I142" s="3382"/>
      <c r="J142" s="3382"/>
      <c r="K142" s="3382"/>
      <c r="L142" s="3382"/>
      <c r="M142" s="3383"/>
      <c r="S142" s="730"/>
    </row>
    <row r="143" spans="1:19" ht="13.35" customHeight="1">
      <c r="A143" s="2035"/>
      <c r="B143" s="538"/>
      <c r="C143" s="2034">
        <v>3</v>
      </c>
      <c r="D143" s="2032"/>
      <c r="E143" s="2033"/>
      <c r="F143" s="3382"/>
      <c r="G143" s="3382"/>
      <c r="H143" s="3382"/>
      <c r="I143" s="3382"/>
      <c r="J143" s="3382"/>
      <c r="K143" s="3382"/>
      <c r="L143" s="3382"/>
      <c r="M143" s="3383"/>
      <c r="S143" s="730"/>
    </row>
    <row r="144" spans="1:19" ht="13.35" customHeight="1">
      <c r="A144" s="2035">
        <f>A126</f>
        <v>60</v>
      </c>
      <c r="B144" s="812" t="str">
        <f>IF('Part VI-Revenues &amp; Expenses'!$O$58=0,"",'Part VI-Revenues &amp; Expenses'!$O$58)</f>
        <v/>
      </c>
      <c r="C144" s="2031">
        <v>4</v>
      </c>
      <c r="D144" s="538"/>
      <c r="E144" s="538"/>
      <c r="F144" s="3380"/>
      <c r="G144" s="3381"/>
      <c r="H144" s="2031"/>
      <c r="I144" s="2031"/>
      <c r="J144" s="2031"/>
      <c r="K144" s="2031"/>
      <c r="L144" s="2031"/>
      <c r="M144" s="2031"/>
      <c r="S144" s="730"/>
    </row>
    <row r="145" spans="1:19" ht="13.35" customHeight="1">
      <c r="A145" s="2039"/>
      <c r="B145" s="538"/>
      <c r="C145" s="2034">
        <v>4</v>
      </c>
      <c r="D145" s="2032"/>
      <c r="E145" s="2033"/>
      <c r="F145" s="3382"/>
      <c r="G145" s="3382"/>
      <c r="H145" s="3382"/>
      <c r="I145" s="3382"/>
      <c r="J145" s="3382"/>
      <c r="K145" s="3382"/>
      <c r="L145" s="3382"/>
      <c r="M145" s="3383"/>
      <c r="S145" s="730"/>
    </row>
    <row r="146" spans="1:19" ht="13.35" customHeight="1">
      <c r="A146" s="2036"/>
      <c r="C146" s="2034">
        <v>4</v>
      </c>
      <c r="D146" s="2032"/>
      <c r="E146" s="2033"/>
      <c r="F146" s="3382"/>
      <c r="G146" s="3382"/>
      <c r="H146" s="3382"/>
      <c r="I146" s="3382"/>
      <c r="J146" s="3382"/>
      <c r="K146" s="3382"/>
      <c r="L146" s="3382"/>
      <c r="M146" s="3383"/>
      <c r="S146" s="730"/>
    </row>
    <row r="147" spans="1:19" ht="13.35" customHeight="1">
      <c r="A147" s="2036"/>
      <c r="C147" s="2034">
        <v>4</v>
      </c>
      <c r="D147" s="2032"/>
      <c r="E147" s="2033"/>
      <c r="F147" s="3382"/>
      <c r="G147" s="3382"/>
      <c r="H147" s="3382"/>
      <c r="I147" s="3382"/>
      <c r="J147" s="3382"/>
      <c r="K147" s="3382"/>
      <c r="L147" s="3382"/>
      <c r="M147" s="3383"/>
      <c r="S147" s="730"/>
    </row>
    <row r="148" spans="1:19" ht="13.35" customHeight="1">
      <c r="A148" s="2038"/>
      <c r="B148" s="2028"/>
      <c r="C148" s="2028"/>
      <c r="D148" s="2028"/>
      <c r="E148" s="2028"/>
      <c r="F148" s="2057"/>
      <c r="G148" s="2057"/>
      <c r="H148" s="2057"/>
      <c r="I148" s="2058"/>
      <c r="J148" s="2057"/>
      <c r="K148" s="2057"/>
      <c r="L148" s="2057"/>
      <c r="M148" s="2057"/>
      <c r="S148" s="730"/>
    </row>
    <row r="149" spans="1:19" ht="13.35" customHeight="1">
      <c r="A149" s="2036"/>
      <c r="F149" s="1804"/>
      <c r="G149" s="1804"/>
      <c r="H149" s="1804"/>
      <c r="I149" s="2031"/>
      <c r="J149" s="1804"/>
      <c r="K149" s="1804"/>
      <c r="L149" s="1804"/>
      <c r="M149" s="1804"/>
      <c r="S149" s="730"/>
    </row>
    <row r="150" spans="1:19" ht="13.35" customHeight="1">
      <c r="A150" s="2041">
        <v>70</v>
      </c>
      <c r="B150" s="812" t="str">
        <f>IF('Part VI-Revenues &amp; Expenses'!$K$57=0,"",'Part VI-Revenues &amp; Expenses'!$K$57)</f>
        <v/>
      </c>
      <c r="C150" s="748" t="s">
        <v>551</v>
      </c>
      <c r="D150" s="538"/>
      <c r="E150" s="538"/>
      <c r="F150" s="3380"/>
      <c r="G150" s="3381"/>
      <c r="H150" s="538"/>
      <c r="I150" s="737"/>
      <c r="J150" s="538"/>
      <c r="K150" s="538"/>
      <c r="L150" s="538"/>
      <c r="M150" s="538"/>
      <c r="S150" s="730"/>
    </row>
    <row r="151" spans="1:19" ht="13.35" customHeight="1">
      <c r="A151" s="2039"/>
      <c r="B151" s="538"/>
      <c r="C151" s="538" t="s">
        <v>551</v>
      </c>
      <c r="D151" s="2032"/>
      <c r="E151" s="2033"/>
      <c r="F151" s="3382"/>
      <c r="G151" s="3382"/>
      <c r="H151" s="3382"/>
      <c r="I151" s="3382"/>
      <c r="J151" s="3382"/>
      <c r="K151" s="3382"/>
      <c r="L151" s="3382"/>
      <c r="M151" s="3383"/>
      <c r="S151" s="730"/>
    </row>
    <row r="152" spans="1:19" ht="13.35" customHeight="1">
      <c r="A152" s="2039"/>
      <c r="B152" s="538"/>
      <c r="C152" s="538" t="s">
        <v>551</v>
      </c>
      <c r="D152" s="2032"/>
      <c r="E152" s="2033"/>
      <c r="F152" s="3382"/>
      <c r="G152" s="3382"/>
      <c r="H152" s="3382"/>
      <c r="I152" s="3382"/>
      <c r="J152" s="3382"/>
      <c r="K152" s="3382"/>
      <c r="L152" s="3382"/>
      <c r="M152" s="3383"/>
      <c r="S152" s="730"/>
    </row>
    <row r="153" spans="1:19" ht="13.35" customHeight="1">
      <c r="A153" s="2039"/>
      <c r="B153" s="538"/>
      <c r="C153" s="538" t="s">
        <v>551</v>
      </c>
      <c r="D153" s="2032"/>
      <c r="E153" s="2033"/>
      <c r="F153" s="3382"/>
      <c r="G153" s="3382"/>
      <c r="H153" s="3382"/>
      <c r="I153" s="3382"/>
      <c r="J153" s="3382"/>
      <c r="K153" s="3382"/>
      <c r="L153" s="3382"/>
      <c r="M153" s="3383"/>
      <c r="S153" s="730"/>
    </row>
    <row r="154" spans="1:19" ht="13.35" customHeight="1">
      <c r="A154" s="2035">
        <f>A150</f>
        <v>70</v>
      </c>
      <c r="B154" s="812" t="str">
        <f>IF('Part VI-Revenues &amp; Expenses'!$L$57=0,"",'Part VI-Revenues &amp; Expenses'!$L$57)</f>
        <v/>
      </c>
      <c r="C154" s="2031">
        <v>1</v>
      </c>
      <c r="D154" s="538"/>
      <c r="E154" s="538"/>
      <c r="F154" s="3380"/>
      <c r="G154" s="3381"/>
      <c r="H154" s="2031"/>
      <c r="I154" s="2031"/>
      <c r="J154" s="2031"/>
      <c r="K154" s="2031"/>
      <c r="L154" s="2031"/>
      <c r="M154" s="2031"/>
      <c r="S154" s="730"/>
    </row>
    <row r="155" spans="1:19" ht="13.35" customHeight="1">
      <c r="A155" s="2035"/>
      <c r="B155" s="538"/>
      <c r="C155" s="2034">
        <v>1</v>
      </c>
      <c r="D155" s="2032"/>
      <c r="E155" s="2033"/>
      <c r="F155" s="3382"/>
      <c r="G155" s="3382"/>
      <c r="H155" s="3382"/>
      <c r="I155" s="3382"/>
      <c r="J155" s="3382"/>
      <c r="K155" s="3382"/>
      <c r="L155" s="3382"/>
      <c r="M155" s="3383"/>
      <c r="S155" s="730"/>
    </row>
    <row r="156" spans="1:19" ht="13.35" customHeight="1">
      <c r="A156" s="2035"/>
      <c r="B156" s="538"/>
      <c r="C156" s="2034">
        <v>1</v>
      </c>
      <c r="D156" s="2032"/>
      <c r="E156" s="2033"/>
      <c r="F156" s="3382"/>
      <c r="G156" s="3382"/>
      <c r="H156" s="3382"/>
      <c r="I156" s="3382"/>
      <c r="J156" s="3382"/>
      <c r="K156" s="3382"/>
      <c r="L156" s="3382"/>
      <c r="M156" s="3383"/>
      <c r="S156" s="730"/>
    </row>
    <row r="157" spans="1:19" ht="13.35" customHeight="1">
      <c r="A157" s="2035"/>
      <c r="B157" s="538"/>
      <c r="C157" s="2034">
        <v>1</v>
      </c>
      <c r="D157" s="2032"/>
      <c r="E157" s="2033"/>
      <c r="F157" s="3382"/>
      <c r="G157" s="3382"/>
      <c r="H157" s="3382"/>
      <c r="I157" s="3382"/>
      <c r="J157" s="3382"/>
      <c r="K157" s="3382"/>
      <c r="L157" s="3382"/>
      <c r="M157" s="3383"/>
      <c r="S157" s="730"/>
    </row>
    <row r="158" spans="1:19" ht="13.35" customHeight="1">
      <c r="A158" s="2035">
        <f>A150</f>
        <v>70</v>
      </c>
      <c r="B158" s="812" t="str">
        <f>IF('Part VI-Revenues &amp; Expenses'!$M$57=0,"",'Part VI-Revenues &amp; Expenses'!$M$57)</f>
        <v/>
      </c>
      <c r="C158" s="2031">
        <v>2</v>
      </c>
      <c r="D158" s="538"/>
      <c r="E158" s="538"/>
      <c r="F158" s="3380"/>
      <c r="G158" s="3381"/>
      <c r="H158" s="2031"/>
      <c r="I158" s="2031"/>
      <c r="J158" s="2031"/>
      <c r="K158" s="2031"/>
      <c r="L158" s="2031"/>
      <c r="M158" s="2031"/>
      <c r="S158" s="730"/>
    </row>
    <row r="159" spans="1:19" ht="13.35" customHeight="1">
      <c r="A159" s="2035"/>
      <c r="B159" s="538"/>
      <c r="C159" s="2034">
        <v>2</v>
      </c>
      <c r="D159" s="2032"/>
      <c r="E159" s="2033"/>
      <c r="F159" s="3382"/>
      <c r="G159" s="3382"/>
      <c r="H159" s="3382"/>
      <c r="I159" s="3382"/>
      <c r="J159" s="3382"/>
      <c r="K159" s="3382"/>
      <c r="L159" s="3382"/>
      <c r="M159" s="3383"/>
      <c r="S159" s="730"/>
    </row>
    <row r="160" spans="1:19" ht="13.35" customHeight="1">
      <c r="A160" s="2035"/>
      <c r="B160" s="538"/>
      <c r="C160" s="2034">
        <v>2</v>
      </c>
      <c r="D160" s="2032"/>
      <c r="E160" s="2033"/>
      <c r="F160" s="3382"/>
      <c r="G160" s="3382"/>
      <c r="H160" s="3382"/>
      <c r="I160" s="3382"/>
      <c r="J160" s="3382"/>
      <c r="K160" s="3382"/>
      <c r="L160" s="3382"/>
      <c r="M160" s="3383"/>
      <c r="S160" s="730"/>
    </row>
    <row r="161" spans="1:19" ht="13.35" customHeight="1">
      <c r="A161" s="2035"/>
      <c r="B161" s="538"/>
      <c r="C161" s="2034">
        <v>2</v>
      </c>
      <c r="D161" s="2032"/>
      <c r="E161" s="2033"/>
      <c r="F161" s="3382"/>
      <c r="G161" s="3382"/>
      <c r="H161" s="3382"/>
      <c r="I161" s="3382"/>
      <c r="J161" s="3382"/>
      <c r="K161" s="3382"/>
      <c r="L161" s="3382"/>
      <c r="M161" s="3383"/>
      <c r="S161" s="730"/>
    </row>
    <row r="162" spans="1:19" ht="13.35" customHeight="1">
      <c r="A162" s="2035"/>
      <c r="B162" s="538"/>
      <c r="C162" s="2034">
        <v>2</v>
      </c>
      <c r="D162" s="2032"/>
      <c r="E162" s="2033"/>
      <c r="F162" s="3382"/>
      <c r="G162" s="3382"/>
      <c r="H162" s="3382"/>
      <c r="I162" s="3382"/>
      <c r="J162" s="3382"/>
      <c r="K162" s="3382"/>
      <c r="L162" s="3382"/>
      <c r="M162" s="3383"/>
      <c r="S162" s="730"/>
    </row>
    <row r="163" spans="1:19" ht="13.35" customHeight="1">
      <c r="A163" s="2035">
        <f>A150</f>
        <v>70</v>
      </c>
      <c r="B163" s="812" t="str">
        <f>IF('Part VI-Revenues &amp; Expenses'!$N$57=0,"",'Part VI-Revenues &amp; Expenses'!$N$57)</f>
        <v/>
      </c>
      <c r="C163" s="2031">
        <v>3</v>
      </c>
      <c r="D163" s="538"/>
      <c r="E163" s="538"/>
      <c r="F163" s="3380"/>
      <c r="G163" s="3381"/>
      <c r="H163" s="2031"/>
      <c r="I163" s="2031"/>
      <c r="J163" s="2031"/>
      <c r="K163" s="2031"/>
      <c r="L163" s="2031"/>
      <c r="M163" s="2031"/>
      <c r="S163" s="730"/>
    </row>
    <row r="164" spans="1:19" ht="13.35" customHeight="1">
      <c r="A164" s="2035"/>
      <c r="B164" s="538"/>
      <c r="C164" s="2034">
        <v>3</v>
      </c>
      <c r="D164" s="2032"/>
      <c r="E164" s="2033"/>
      <c r="F164" s="3382"/>
      <c r="G164" s="3382"/>
      <c r="H164" s="3382"/>
      <c r="I164" s="3382"/>
      <c r="J164" s="3382"/>
      <c r="K164" s="3382"/>
      <c r="L164" s="3382"/>
      <c r="M164" s="3383"/>
      <c r="S164" s="730"/>
    </row>
    <row r="165" spans="1:19" ht="13.35" customHeight="1">
      <c r="A165" s="2035"/>
      <c r="B165" s="538"/>
      <c r="C165" s="2034">
        <v>3</v>
      </c>
      <c r="D165" s="2032"/>
      <c r="E165" s="2033"/>
      <c r="F165" s="3382"/>
      <c r="G165" s="3382"/>
      <c r="H165" s="3382"/>
      <c r="I165" s="3382"/>
      <c r="J165" s="3382"/>
      <c r="K165" s="3382"/>
      <c r="L165" s="3382"/>
      <c r="M165" s="3383"/>
      <c r="S165" s="730"/>
    </row>
    <row r="166" spans="1:19" ht="13.35" customHeight="1">
      <c r="A166" s="2035"/>
      <c r="B166" s="538"/>
      <c r="C166" s="2034">
        <v>3</v>
      </c>
      <c r="D166" s="2032"/>
      <c r="E166" s="2033"/>
      <c r="F166" s="3382"/>
      <c r="G166" s="3382"/>
      <c r="H166" s="3382"/>
      <c r="I166" s="3382"/>
      <c r="J166" s="3382"/>
      <c r="K166" s="3382"/>
      <c r="L166" s="3382"/>
      <c r="M166" s="3383"/>
      <c r="S166" s="730"/>
    </row>
    <row r="167" spans="1:19" ht="13.35" customHeight="1">
      <c r="A167" s="2035"/>
      <c r="B167" s="538"/>
      <c r="C167" s="2034">
        <v>3</v>
      </c>
      <c r="D167" s="2032"/>
      <c r="E167" s="2033"/>
      <c r="F167" s="3382"/>
      <c r="G167" s="3382"/>
      <c r="H167" s="3382"/>
      <c r="I167" s="3382"/>
      <c r="J167" s="3382"/>
      <c r="K167" s="3382"/>
      <c r="L167" s="3382"/>
      <c r="M167" s="3383"/>
      <c r="S167" s="730"/>
    </row>
    <row r="168" spans="1:19" ht="13.35" customHeight="1">
      <c r="A168" s="2035">
        <f>A150</f>
        <v>70</v>
      </c>
      <c r="B168" s="812" t="str">
        <f>IF('Part VI-Revenues &amp; Expenses'!$O$57=0,"",'Part VI-Revenues &amp; Expenses'!$O$57)</f>
        <v/>
      </c>
      <c r="C168" s="2031">
        <v>4</v>
      </c>
      <c r="D168" s="538"/>
      <c r="E168" s="538"/>
      <c r="F168" s="3380"/>
      <c r="G168" s="3381"/>
      <c r="H168" s="2031"/>
      <c r="I168" s="2031"/>
      <c r="J168" s="2031"/>
      <c r="K168" s="2031"/>
      <c r="L168" s="2031"/>
      <c r="M168" s="2031"/>
      <c r="S168" s="730"/>
    </row>
    <row r="169" spans="1:19" ht="13.35" customHeight="1">
      <c r="A169" s="2039"/>
      <c r="B169" s="538"/>
      <c r="C169" s="2034">
        <v>4</v>
      </c>
      <c r="D169" s="2032"/>
      <c r="E169" s="2033"/>
      <c r="F169" s="3382"/>
      <c r="G169" s="3382"/>
      <c r="H169" s="3382"/>
      <c r="I169" s="3382"/>
      <c r="J169" s="3382"/>
      <c r="K169" s="3382"/>
      <c r="L169" s="3382"/>
      <c r="M169" s="3383"/>
      <c r="S169" s="730"/>
    </row>
    <row r="170" spans="1:19" ht="13.35" customHeight="1">
      <c r="A170" s="2036"/>
      <c r="C170" s="2034">
        <v>4</v>
      </c>
      <c r="D170" s="2032"/>
      <c r="E170" s="2033"/>
      <c r="F170" s="3382"/>
      <c r="G170" s="3382"/>
      <c r="H170" s="3382"/>
      <c r="I170" s="3382"/>
      <c r="J170" s="3382"/>
      <c r="K170" s="3382"/>
      <c r="L170" s="3382"/>
      <c r="M170" s="3383"/>
      <c r="S170" s="730"/>
    </row>
    <row r="171" spans="1:19" ht="13.35" customHeight="1">
      <c r="A171" s="2036"/>
      <c r="C171" s="2034">
        <v>4</v>
      </c>
      <c r="D171" s="2032"/>
      <c r="E171" s="2033"/>
      <c r="F171" s="3382"/>
      <c r="G171" s="3382"/>
      <c r="H171" s="3382"/>
      <c r="I171" s="3382"/>
      <c r="J171" s="3382"/>
      <c r="K171" s="3382"/>
      <c r="L171" s="3382"/>
      <c r="M171" s="3383"/>
      <c r="S171" s="730"/>
    </row>
    <row r="172" spans="1:19" ht="13.35" customHeight="1">
      <c r="A172" s="2038"/>
      <c r="B172" s="2028"/>
      <c r="C172" s="2028"/>
      <c r="D172" s="2028"/>
      <c r="E172" s="2028"/>
      <c r="F172" s="2057"/>
      <c r="G172" s="2057"/>
      <c r="H172" s="2057"/>
      <c r="I172" s="2058"/>
      <c r="J172" s="2057"/>
      <c r="K172" s="2057"/>
      <c r="L172" s="2057"/>
      <c r="M172" s="2057"/>
      <c r="S172" s="730"/>
    </row>
    <row r="173" spans="1:19" ht="13.35" customHeight="1">
      <c r="A173" s="2036"/>
      <c r="F173" s="1804"/>
      <c r="G173" s="1804"/>
      <c r="H173" s="1804"/>
      <c r="I173" s="2031"/>
      <c r="J173" s="1804"/>
      <c r="K173" s="1804"/>
      <c r="L173" s="1804"/>
      <c r="M173" s="1804"/>
      <c r="S173" s="730"/>
    </row>
    <row r="174" spans="1:19" ht="13.35" customHeight="1">
      <c r="A174" s="2041">
        <v>80</v>
      </c>
      <c r="B174" s="812" t="str">
        <f>IF('Part VI-Revenues &amp; Expenses'!$K$56=0,"",'Part VI-Revenues &amp; Expenses'!$K$56)</f>
        <v/>
      </c>
      <c r="C174" s="748" t="s">
        <v>551</v>
      </c>
      <c r="D174" s="538"/>
      <c r="E174" s="538"/>
      <c r="F174" s="3380"/>
      <c r="G174" s="3381"/>
      <c r="H174" s="538"/>
      <c r="I174" s="737"/>
      <c r="J174" s="538"/>
      <c r="K174" s="538"/>
      <c r="L174" s="538"/>
      <c r="M174" s="538"/>
      <c r="S174" s="730"/>
    </row>
    <row r="175" spans="1:19" ht="13.35" customHeight="1">
      <c r="A175" s="2039"/>
      <c r="B175" s="538"/>
      <c r="C175" s="538" t="s">
        <v>551</v>
      </c>
      <c r="D175" s="2032"/>
      <c r="E175" s="2033"/>
      <c r="F175" s="3382"/>
      <c r="G175" s="3382"/>
      <c r="H175" s="3382"/>
      <c r="I175" s="3382"/>
      <c r="J175" s="3382"/>
      <c r="K175" s="3382"/>
      <c r="L175" s="3382"/>
      <c r="M175" s="3383"/>
      <c r="S175" s="730"/>
    </row>
    <row r="176" spans="1:19" ht="13.35" customHeight="1">
      <c r="A176" s="2039"/>
      <c r="B176" s="538"/>
      <c r="C176" s="538" t="s">
        <v>551</v>
      </c>
      <c r="D176" s="2032"/>
      <c r="E176" s="2033"/>
      <c r="F176" s="3382"/>
      <c r="G176" s="3382"/>
      <c r="H176" s="3382"/>
      <c r="I176" s="3382"/>
      <c r="J176" s="3382"/>
      <c r="K176" s="3382"/>
      <c r="L176" s="3382"/>
      <c r="M176" s="3383"/>
      <c r="S176" s="730"/>
    </row>
    <row r="177" spans="1:19" ht="13.35" customHeight="1">
      <c r="A177" s="2039"/>
      <c r="B177" s="538"/>
      <c r="C177" s="538" t="s">
        <v>551</v>
      </c>
      <c r="D177" s="2032"/>
      <c r="E177" s="2033"/>
      <c r="F177" s="3382"/>
      <c r="G177" s="3382"/>
      <c r="H177" s="3382"/>
      <c r="I177" s="3382"/>
      <c r="J177" s="3382"/>
      <c r="K177" s="3382"/>
      <c r="L177" s="3382"/>
      <c r="M177" s="3383"/>
      <c r="S177" s="730"/>
    </row>
    <row r="178" spans="1:19" ht="13.35" customHeight="1">
      <c r="A178" s="2035">
        <f>A174</f>
        <v>80</v>
      </c>
      <c r="B178" s="812" t="str">
        <f>IF('Part VI-Revenues &amp; Expenses'!$L$56=0,"",'Part VI-Revenues &amp; Expenses'!$L$56)</f>
        <v/>
      </c>
      <c r="C178" s="2031">
        <v>1</v>
      </c>
      <c r="D178" s="538"/>
      <c r="E178" s="538"/>
      <c r="F178" s="3380"/>
      <c r="G178" s="3381"/>
      <c r="H178" s="2031"/>
      <c r="I178" s="2031"/>
      <c r="J178" s="2031"/>
      <c r="K178" s="2031"/>
      <c r="L178" s="2031"/>
      <c r="M178" s="2031"/>
      <c r="S178" s="730"/>
    </row>
    <row r="179" spans="1:19" ht="13.35" customHeight="1">
      <c r="A179" s="2035"/>
      <c r="B179" s="538"/>
      <c r="C179" s="2034">
        <v>1</v>
      </c>
      <c r="D179" s="2032"/>
      <c r="E179" s="2033"/>
      <c r="F179" s="3382"/>
      <c r="G179" s="3382"/>
      <c r="H179" s="3382"/>
      <c r="I179" s="3382"/>
      <c r="J179" s="3382"/>
      <c r="K179" s="3382"/>
      <c r="L179" s="3382"/>
      <c r="M179" s="3383"/>
      <c r="S179" s="730"/>
    </row>
    <row r="180" spans="1:19" ht="13.35" customHeight="1">
      <c r="A180" s="2035"/>
      <c r="B180" s="538"/>
      <c r="C180" s="2034">
        <v>1</v>
      </c>
      <c r="D180" s="2032"/>
      <c r="E180" s="2033"/>
      <c r="F180" s="3382"/>
      <c r="G180" s="3382"/>
      <c r="H180" s="3382"/>
      <c r="I180" s="3382"/>
      <c r="J180" s="3382"/>
      <c r="K180" s="3382"/>
      <c r="L180" s="3382"/>
      <c r="M180" s="3383"/>
      <c r="S180" s="730"/>
    </row>
    <row r="181" spans="1:19" ht="13.35" customHeight="1">
      <c r="A181" s="2035"/>
      <c r="B181" s="538"/>
      <c r="C181" s="2034">
        <v>1</v>
      </c>
      <c r="D181" s="2032"/>
      <c r="E181" s="2033"/>
      <c r="F181" s="3382"/>
      <c r="G181" s="3382"/>
      <c r="H181" s="3382"/>
      <c r="I181" s="3382"/>
      <c r="J181" s="3382"/>
      <c r="K181" s="3382"/>
      <c r="L181" s="3382"/>
      <c r="M181" s="3383"/>
      <c r="S181" s="730"/>
    </row>
    <row r="182" spans="1:19" ht="13.35" customHeight="1">
      <c r="A182" s="2035">
        <f>A174</f>
        <v>80</v>
      </c>
      <c r="B182" s="812" t="str">
        <f>IF('Part VI-Revenues &amp; Expenses'!$M$56=0,"",'Part VI-Revenues &amp; Expenses'!$M$56)</f>
        <v/>
      </c>
      <c r="C182" s="2031">
        <v>2</v>
      </c>
      <c r="D182" s="538"/>
      <c r="E182" s="538"/>
      <c r="F182" s="3380"/>
      <c r="G182" s="3381"/>
      <c r="H182" s="2031"/>
      <c r="I182" s="2031"/>
      <c r="J182" s="2031"/>
      <c r="K182" s="2031"/>
      <c r="L182" s="2031"/>
      <c r="M182" s="2031"/>
      <c r="S182" s="730"/>
    </row>
    <row r="183" spans="1:19" ht="13.35" customHeight="1">
      <c r="A183" s="2035"/>
      <c r="B183" s="538"/>
      <c r="C183" s="2034">
        <v>2</v>
      </c>
      <c r="D183" s="2032"/>
      <c r="E183" s="2033"/>
      <c r="F183" s="3382"/>
      <c r="G183" s="3382"/>
      <c r="H183" s="3382"/>
      <c r="I183" s="3382"/>
      <c r="J183" s="3382"/>
      <c r="K183" s="3382"/>
      <c r="L183" s="3382"/>
      <c r="M183" s="3383"/>
      <c r="S183" s="730"/>
    </row>
    <row r="184" spans="1:19" ht="13.35" customHeight="1">
      <c r="A184" s="2035"/>
      <c r="B184" s="538"/>
      <c r="C184" s="2034">
        <v>2</v>
      </c>
      <c r="D184" s="2032"/>
      <c r="E184" s="2033"/>
      <c r="F184" s="3382"/>
      <c r="G184" s="3382"/>
      <c r="H184" s="3382"/>
      <c r="I184" s="3382"/>
      <c r="J184" s="3382"/>
      <c r="K184" s="3382"/>
      <c r="L184" s="3382"/>
      <c r="M184" s="3383"/>
      <c r="S184" s="730"/>
    </row>
    <row r="185" spans="1:19" ht="13.35" customHeight="1">
      <c r="A185" s="2035"/>
      <c r="B185" s="538"/>
      <c r="C185" s="2034">
        <v>2</v>
      </c>
      <c r="D185" s="2032"/>
      <c r="E185" s="2033"/>
      <c r="F185" s="3382"/>
      <c r="G185" s="3382"/>
      <c r="H185" s="3382"/>
      <c r="I185" s="3382"/>
      <c r="J185" s="3382"/>
      <c r="K185" s="3382"/>
      <c r="L185" s="3382"/>
      <c r="M185" s="3383"/>
      <c r="S185" s="730"/>
    </row>
    <row r="186" spans="1:19" ht="13.35" customHeight="1">
      <c r="A186" s="2035"/>
      <c r="B186" s="538"/>
      <c r="C186" s="2034">
        <v>2</v>
      </c>
      <c r="D186" s="2032"/>
      <c r="E186" s="2033"/>
      <c r="F186" s="3382"/>
      <c r="G186" s="3382"/>
      <c r="H186" s="3382"/>
      <c r="I186" s="3382"/>
      <c r="J186" s="3382"/>
      <c r="K186" s="3382"/>
      <c r="L186" s="3382"/>
      <c r="M186" s="3383"/>
      <c r="S186" s="730"/>
    </row>
    <row r="187" spans="1:19" ht="13.35" customHeight="1">
      <c r="A187" s="2035">
        <f>A174</f>
        <v>80</v>
      </c>
      <c r="B187" s="812" t="str">
        <f>IF('Part VI-Revenues &amp; Expenses'!$N$56=0,"",'Part VI-Revenues &amp; Expenses'!$N$56)</f>
        <v/>
      </c>
      <c r="C187" s="2031">
        <v>3</v>
      </c>
      <c r="D187" s="538"/>
      <c r="E187" s="538"/>
      <c r="F187" s="3380"/>
      <c r="G187" s="3381"/>
      <c r="H187" s="2031"/>
      <c r="I187" s="2031"/>
      <c r="J187" s="2031"/>
      <c r="K187" s="2031"/>
      <c r="L187" s="2031"/>
      <c r="M187" s="2031"/>
      <c r="S187" s="730"/>
    </row>
    <row r="188" spans="1:19" ht="13.35" customHeight="1">
      <c r="A188" s="2035"/>
      <c r="B188" s="538"/>
      <c r="C188" s="2034">
        <v>3</v>
      </c>
      <c r="D188" s="2032"/>
      <c r="E188" s="2033"/>
      <c r="F188" s="3382"/>
      <c r="G188" s="3382"/>
      <c r="H188" s="3382"/>
      <c r="I188" s="3382"/>
      <c r="J188" s="3382"/>
      <c r="K188" s="3382"/>
      <c r="L188" s="3382"/>
      <c r="M188" s="3383"/>
      <c r="S188" s="730"/>
    </row>
    <row r="189" spans="1:19" ht="13.35" customHeight="1">
      <c r="A189" s="2035"/>
      <c r="B189" s="538"/>
      <c r="C189" s="2034">
        <v>3</v>
      </c>
      <c r="D189" s="2032"/>
      <c r="E189" s="2033"/>
      <c r="F189" s="3382"/>
      <c r="G189" s="3382"/>
      <c r="H189" s="3382"/>
      <c r="I189" s="3382"/>
      <c r="J189" s="3382"/>
      <c r="K189" s="3382"/>
      <c r="L189" s="3382"/>
      <c r="M189" s="3383"/>
      <c r="S189" s="730"/>
    </row>
    <row r="190" spans="1:19" ht="13.35" customHeight="1">
      <c r="A190" s="2035"/>
      <c r="B190" s="538"/>
      <c r="C190" s="2034">
        <v>3</v>
      </c>
      <c r="D190" s="2032"/>
      <c r="E190" s="2033"/>
      <c r="F190" s="3382"/>
      <c r="G190" s="3382"/>
      <c r="H190" s="3382"/>
      <c r="I190" s="3382"/>
      <c r="J190" s="3382"/>
      <c r="K190" s="3382"/>
      <c r="L190" s="3382"/>
      <c r="M190" s="3383"/>
      <c r="S190" s="730"/>
    </row>
    <row r="191" spans="1:19" ht="13.35" customHeight="1">
      <c r="A191" s="2035"/>
      <c r="B191" s="538"/>
      <c r="C191" s="2034">
        <v>3</v>
      </c>
      <c r="D191" s="2032"/>
      <c r="E191" s="2033"/>
      <c r="F191" s="3382"/>
      <c r="G191" s="3382"/>
      <c r="H191" s="3382"/>
      <c r="I191" s="3382"/>
      <c r="J191" s="3382"/>
      <c r="K191" s="3382"/>
      <c r="L191" s="3382"/>
      <c r="M191" s="3383"/>
      <c r="S191" s="730"/>
    </row>
    <row r="192" spans="1:19" ht="13.35" customHeight="1">
      <c r="A192" s="2035">
        <f>A174</f>
        <v>80</v>
      </c>
      <c r="B192" s="812" t="str">
        <f>IF('Part VI-Revenues &amp; Expenses'!$O$56=0,"",'Part VI-Revenues &amp; Expenses'!$O$56)</f>
        <v/>
      </c>
      <c r="C192" s="2031">
        <v>4</v>
      </c>
      <c r="D192" s="538"/>
      <c r="E192" s="538"/>
      <c r="F192" s="3380"/>
      <c r="G192" s="3381"/>
      <c r="H192" s="2031"/>
      <c r="I192" s="2031"/>
      <c r="J192" s="2031"/>
      <c r="K192" s="2031"/>
      <c r="L192" s="2031"/>
      <c r="M192" s="2031"/>
      <c r="S192" s="730"/>
    </row>
    <row r="193" spans="1:19" ht="13.35" customHeight="1">
      <c r="A193" s="2039"/>
      <c r="B193" s="538"/>
      <c r="C193" s="2034">
        <v>4</v>
      </c>
      <c r="D193" s="2032"/>
      <c r="E193" s="2033"/>
      <c r="F193" s="3382"/>
      <c r="G193" s="3382"/>
      <c r="H193" s="3382"/>
      <c r="I193" s="3382"/>
      <c r="J193" s="3382"/>
      <c r="K193" s="3382"/>
      <c r="L193" s="3382"/>
      <c r="M193" s="3383"/>
      <c r="S193" s="730"/>
    </row>
    <row r="194" spans="1:19" ht="13.35" customHeight="1">
      <c r="A194" s="2036"/>
      <c r="C194" s="2034">
        <v>4</v>
      </c>
      <c r="D194" s="2032"/>
      <c r="E194" s="2033"/>
      <c r="F194" s="3382"/>
      <c r="G194" s="3382"/>
      <c r="H194" s="3382"/>
      <c r="I194" s="3382"/>
      <c r="J194" s="3382"/>
      <c r="K194" s="3382"/>
      <c r="L194" s="3382"/>
      <c r="M194" s="3383"/>
      <c r="S194" s="730"/>
    </row>
    <row r="195" spans="1:19" ht="13.35" customHeight="1">
      <c r="A195" s="2036"/>
      <c r="C195" s="2034">
        <v>4</v>
      </c>
      <c r="D195" s="2032"/>
      <c r="E195" s="2033"/>
      <c r="F195" s="3382"/>
      <c r="G195" s="3382"/>
      <c r="H195" s="3382"/>
      <c r="I195" s="3382"/>
      <c r="J195" s="3382"/>
      <c r="K195" s="3382"/>
      <c r="L195" s="3382"/>
      <c r="M195" s="3383"/>
      <c r="S195" s="730"/>
    </row>
    <row r="196" spans="1:19" ht="13.35" customHeight="1">
      <c r="C196" s="2036"/>
      <c r="F196" s="1804"/>
      <c r="G196" s="1804"/>
      <c r="H196" s="1804"/>
      <c r="I196" s="1804"/>
      <c r="J196" s="1804"/>
      <c r="K196" s="2031"/>
      <c r="L196" s="1804"/>
      <c r="M196" s="1804"/>
      <c r="S196" s="730"/>
    </row>
    <row r="197" spans="1:19" ht="13.35" customHeight="1">
      <c r="C197" s="2036"/>
      <c r="F197" s="1804"/>
      <c r="G197" s="1804"/>
      <c r="H197" s="1804"/>
      <c r="I197" s="1804"/>
      <c r="J197" s="1804"/>
      <c r="K197" s="2031"/>
      <c r="L197" s="1804"/>
      <c r="M197" s="1804"/>
      <c r="S197" s="730"/>
    </row>
    <row r="198" spans="1:19" ht="13.35" customHeight="1">
      <c r="C198" s="2036"/>
      <c r="F198" s="1804"/>
      <c r="G198" s="1804"/>
      <c r="H198" s="1804"/>
      <c r="I198" s="1804"/>
      <c r="J198" s="1804"/>
      <c r="K198" s="2031"/>
      <c r="L198" s="1804"/>
      <c r="M198" s="1804"/>
      <c r="S198" s="730"/>
    </row>
    <row r="199" spans="1:19" ht="13.35" customHeight="1">
      <c r="C199" s="2036"/>
      <c r="F199" s="1804"/>
      <c r="G199" s="1804"/>
      <c r="H199" s="1804"/>
      <c r="I199" s="1804"/>
      <c r="J199" s="1804"/>
      <c r="K199" s="2031"/>
      <c r="L199" s="1804"/>
      <c r="M199" s="1804"/>
      <c r="S199" s="730"/>
    </row>
    <row r="200" spans="1:19" ht="13.35" customHeight="1">
      <c r="C200" s="2036"/>
      <c r="F200" s="1804"/>
      <c r="G200" s="1804"/>
      <c r="H200" s="1804"/>
      <c r="I200" s="1804"/>
      <c r="J200" s="1804"/>
      <c r="K200" s="2031"/>
      <c r="L200" s="1804"/>
      <c r="M200" s="1804"/>
      <c r="S200" s="730"/>
    </row>
    <row r="201" spans="1:19" ht="13.35" customHeight="1">
      <c r="C201" s="2036"/>
      <c r="F201" s="1804"/>
      <c r="G201" s="1804"/>
      <c r="H201" s="1804"/>
      <c r="I201" s="1804"/>
      <c r="J201" s="1804"/>
      <c r="K201" s="2031"/>
      <c r="L201" s="1804"/>
      <c r="M201" s="1804"/>
      <c r="S201" s="730"/>
    </row>
    <row r="202" spans="1:19" ht="13.35" customHeight="1">
      <c r="C202" s="2036"/>
      <c r="F202" s="1804"/>
      <c r="G202" s="1804"/>
      <c r="H202" s="1804"/>
      <c r="I202" s="1804"/>
      <c r="J202" s="1804"/>
      <c r="K202" s="2031"/>
      <c r="L202" s="1804"/>
      <c r="M202" s="1804"/>
      <c r="S202" s="730"/>
    </row>
    <row r="203" spans="1:19" ht="13.35" customHeight="1">
      <c r="C203" s="2036"/>
      <c r="F203" s="1804"/>
      <c r="G203" s="1804"/>
      <c r="H203" s="1804"/>
      <c r="I203" s="1804"/>
      <c r="J203" s="1804"/>
      <c r="K203" s="2031"/>
      <c r="L203" s="1804"/>
      <c r="M203" s="1804"/>
      <c r="S203" s="730"/>
    </row>
    <row r="204" spans="1:19" ht="13.35" customHeight="1">
      <c r="C204" s="2036"/>
      <c r="F204" s="1804"/>
      <c r="G204" s="1804"/>
      <c r="H204" s="1804"/>
      <c r="I204" s="1804"/>
      <c r="J204" s="1804"/>
      <c r="K204" s="2031"/>
      <c r="L204" s="1804"/>
      <c r="M204" s="1804"/>
      <c r="S204" s="730"/>
    </row>
    <row r="205" spans="1:19" ht="13.35" customHeight="1">
      <c r="C205" s="2036"/>
      <c r="F205" s="1804"/>
      <c r="G205" s="1804"/>
      <c r="H205" s="1804"/>
      <c r="I205" s="1804"/>
      <c r="J205" s="1804"/>
      <c r="K205" s="2031"/>
      <c r="L205" s="1804"/>
      <c r="M205" s="1804"/>
      <c r="S205" s="730"/>
    </row>
    <row r="206" spans="1:19" ht="13.35" customHeight="1">
      <c r="C206" s="2036"/>
      <c r="F206" s="1804"/>
      <c r="G206" s="1804"/>
      <c r="H206" s="1804"/>
      <c r="I206" s="1804"/>
      <c r="J206" s="1804"/>
      <c r="K206" s="2031"/>
      <c r="L206" s="1804"/>
      <c r="M206" s="1804"/>
      <c r="S206" s="730"/>
    </row>
    <row r="207" spans="1:19" ht="13.35" customHeight="1">
      <c r="C207" s="2036"/>
      <c r="F207" s="1804"/>
      <c r="G207" s="1804"/>
      <c r="H207" s="1804"/>
      <c r="I207" s="1804"/>
      <c r="J207" s="1804"/>
      <c r="K207" s="2031"/>
      <c r="L207" s="1804"/>
      <c r="M207" s="1804"/>
      <c r="S207" s="730"/>
    </row>
    <row r="208" spans="1:19" ht="13.35" customHeight="1">
      <c r="C208" s="2036"/>
      <c r="F208" s="1804"/>
      <c r="G208" s="1804"/>
      <c r="H208" s="1804"/>
      <c r="I208" s="1804"/>
      <c r="J208" s="1804"/>
      <c r="K208" s="2031"/>
      <c r="L208" s="1804"/>
      <c r="M208" s="1804"/>
      <c r="S208" s="730"/>
    </row>
    <row r="209" spans="3:19" ht="13.35" customHeight="1">
      <c r="C209" s="2036"/>
      <c r="F209" s="1804"/>
      <c r="G209" s="1804"/>
      <c r="H209" s="1804"/>
      <c r="I209" s="1804"/>
      <c r="J209" s="1804"/>
      <c r="K209" s="2031"/>
      <c r="L209" s="1804"/>
      <c r="M209" s="1804"/>
      <c r="S209" s="730"/>
    </row>
    <row r="210" spans="3:19" ht="13.35" customHeight="1">
      <c r="C210" s="2036"/>
      <c r="F210" s="1804"/>
      <c r="G210" s="1804"/>
      <c r="H210" s="1804"/>
      <c r="I210" s="1804"/>
      <c r="J210" s="1804"/>
      <c r="K210" s="2031"/>
      <c r="L210" s="1804"/>
      <c r="M210" s="1804"/>
      <c r="S210" s="730"/>
    </row>
    <row r="211" spans="3:19" ht="13.35" customHeight="1">
      <c r="C211" s="2036"/>
      <c r="F211" s="1804"/>
      <c r="G211" s="1804"/>
      <c r="H211" s="1804"/>
      <c r="I211" s="1804"/>
      <c r="J211" s="1804"/>
      <c r="K211" s="2031"/>
      <c r="L211" s="1804"/>
      <c r="M211" s="1804"/>
      <c r="S211" s="730"/>
    </row>
    <row r="212" spans="3:19" ht="13.35" customHeight="1">
      <c r="C212" s="2036"/>
      <c r="F212" s="1804"/>
      <c r="G212" s="1804"/>
      <c r="H212" s="1804"/>
      <c r="I212" s="1804"/>
      <c r="J212" s="1804"/>
      <c r="K212" s="2031"/>
      <c r="L212" s="1804"/>
      <c r="M212" s="1804"/>
      <c r="S212" s="730"/>
    </row>
    <row r="213" spans="3:19" ht="13.35" customHeight="1">
      <c r="C213" s="2036"/>
      <c r="F213" s="1804"/>
      <c r="G213" s="1804"/>
      <c r="H213" s="1804"/>
      <c r="I213" s="1804"/>
      <c r="J213" s="1804"/>
      <c r="K213" s="2031"/>
      <c r="L213" s="1804"/>
      <c r="M213" s="1804"/>
      <c r="S213" s="730"/>
    </row>
    <row r="214" spans="3:19" ht="13.35" customHeight="1">
      <c r="C214" s="2036"/>
      <c r="F214" s="1804"/>
      <c r="G214" s="1804"/>
      <c r="H214" s="1804"/>
      <c r="I214" s="1804"/>
      <c r="J214" s="1804"/>
      <c r="K214" s="2031"/>
      <c r="L214" s="1804"/>
      <c r="M214" s="1804"/>
      <c r="S214" s="730"/>
    </row>
    <row r="215" spans="3:19" ht="13.35" customHeight="1">
      <c r="C215" s="2036"/>
      <c r="F215" s="1804"/>
      <c r="G215" s="1804"/>
      <c r="H215" s="1804"/>
      <c r="I215" s="1804"/>
      <c r="J215" s="1804"/>
      <c r="K215" s="2031"/>
      <c r="L215" s="1804"/>
      <c r="M215" s="1804"/>
      <c r="S215" s="730"/>
    </row>
    <row r="216" spans="3:19" ht="13.35" customHeight="1">
      <c r="C216" s="2036"/>
      <c r="F216" s="1804"/>
      <c r="G216" s="1804"/>
      <c r="H216" s="1804"/>
      <c r="I216" s="1804"/>
      <c r="J216" s="1804"/>
      <c r="K216" s="2031"/>
      <c r="L216" s="1804"/>
      <c r="M216" s="1804"/>
      <c r="S216" s="730"/>
    </row>
    <row r="217" spans="3:19" ht="13.35" customHeight="1">
      <c r="C217" s="2036"/>
      <c r="F217" s="1804"/>
      <c r="G217" s="1804"/>
      <c r="H217" s="1804"/>
      <c r="I217" s="1804"/>
      <c r="J217" s="1804"/>
      <c r="K217" s="2031"/>
      <c r="L217" s="1804"/>
      <c r="M217" s="1804"/>
      <c r="S217" s="730"/>
    </row>
    <row r="218" spans="3:19" ht="13.35" customHeight="1">
      <c r="C218" s="2036"/>
      <c r="F218" s="1804"/>
      <c r="G218" s="1804"/>
      <c r="H218" s="1804"/>
      <c r="I218" s="1804"/>
      <c r="J218" s="1804"/>
      <c r="K218" s="2031"/>
      <c r="L218" s="1804"/>
      <c r="M218" s="1804"/>
      <c r="S218" s="730"/>
    </row>
    <row r="219" spans="3:19" ht="13.35" customHeight="1">
      <c r="C219" s="2036"/>
      <c r="F219" s="1804"/>
      <c r="G219" s="1804"/>
      <c r="H219" s="1804"/>
      <c r="I219" s="1804"/>
      <c r="J219" s="1804"/>
      <c r="K219" s="2031"/>
      <c r="L219" s="1804"/>
      <c r="M219" s="1804"/>
      <c r="S219" s="730"/>
    </row>
    <row r="220" spans="3:19" ht="13.35" customHeight="1">
      <c r="C220" s="2036"/>
      <c r="F220" s="1804"/>
      <c r="G220" s="1804"/>
      <c r="H220" s="1804"/>
      <c r="I220" s="1804"/>
      <c r="J220" s="1804"/>
      <c r="K220" s="2031"/>
      <c r="L220" s="1804"/>
      <c r="M220" s="1804"/>
      <c r="S220" s="730"/>
    </row>
    <row r="221" spans="3:19" ht="13.35" customHeight="1">
      <c r="C221" s="2036"/>
      <c r="F221" s="1804"/>
      <c r="G221" s="1804"/>
      <c r="H221" s="1804"/>
      <c r="I221" s="1804"/>
      <c r="J221" s="1804"/>
      <c r="K221" s="2031"/>
      <c r="L221" s="1804"/>
      <c r="M221" s="1804"/>
      <c r="S221" s="730"/>
    </row>
    <row r="222" spans="3:19" ht="13.35" customHeight="1">
      <c r="C222" s="2036"/>
      <c r="F222" s="1804"/>
      <c r="G222" s="1804"/>
      <c r="H222" s="1804"/>
      <c r="I222" s="1804"/>
      <c r="J222" s="1804"/>
      <c r="K222" s="2031"/>
      <c r="L222" s="1804"/>
      <c r="M222" s="1804"/>
      <c r="S222" s="730"/>
    </row>
    <row r="223" spans="3:19" ht="13.35" customHeight="1">
      <c r="C223" s="2036"/>
      <c r="F223" s="1804"/>
      <c r="G223" s="1804"/>
      <c r="H223" s="1804"/>
      <c r="I223" s="1804"/>
      <c r="J223" s="1804"/>
      <c r="K223" s="2031"/>
      <c r="L223" s="1804"/>
      <c r="M223" s="1804"/>
      <c r="S223" s="730"/>
    </row>
    <row r="224" spans="3:19" ht="13.35" customHeight="1">
      <c r="C224" s="2036"/>
      <c r="F224" s="1804"/>
      <c r="G224" s="1804"/>
      <c r="H224" s="1804"/>
      <c r="I224" s="1804"/>
      <c r="J224" s="1804"/>
      <c r="K224" s="2031"/>
      <c r="L224" s="1804"/>
      <c r="M224" s="1804"/>
      <c r="S224" s="730"/>
    </row>
    <row r="225" spans="3:19" ht="13.35" customHeight="1">
      <c r="C225" s="2036"/>
      <c r="F225" s="1804"/>
      <c r="G225" s="1804"/>
      <c r="H225" s="1804"/>
      <c r="I225" s="1804"/>
      <c r="J225" s="1804"/>
      <c r="K225" s="2031"/>
      <c r="L225" s="1804"/>
      <c r="M225" s="1804"/>
      <c r="S225" s="730"/>
    </row>
    <row r="226" spans="3:19" ht="13.35" customHeight="1">
      <c r="C226" s="2036"/>
      <c r="F226" s="1804"/>
      <c r="G226" s="1804"/>
      <c r="H226" s="1804"/>
      <c r="I226" s="1804"/>
      <c r="J226" s="1804"/>
      <c r="K226" s="2031"/>
      <c r="L226" s="1804"/>
      <c r="M226" s="1804"/>
      <c r="S226" s="730"/>
    </row>
    <row r="227" spans="3:19" ht="13.35" customHeight="1">
      <c r="C227" s="2036"/>
      <c r="F227" s="1804"/>
      <c r="G227" s="1804"/>
      <c r="H227" s="1804"/>
      <c r="I227" s="1804"/>
      <c r="J227" s="1804"/>
      <c r="K227" s="2031"/>
      <c r="L227" s="1804"/>
      <c r="M227" s="1804"/>
      <c r="S227" s="730"/>
    </row>
    <row r="228" spans="3:19" ht="13.35" customHeight="1">
      <c r="C228" s="2036"/>
      <c r="F228" s="1804"/>
      <c r="G228" s="1804"/>
      <c r="H228" s="1804"/>
      <c r="I228" s="1804"/>
      <c r="J228" s="1804"/>
      <c r="K228" s="2031"/>
      <c r="L228" s="1804"/>
      <c r="M228" s="1804"/>
      <c r="S228" s="730"/>
    </row>
    <row r="229" spans="3:19" ht="13.35" customHeight="1">
      <c r="C229" s="2036"/>
      <c r="F229" s="1804"/>
      <c r="G229" s="1804"/>
      <c r="H229" s="1804"/>
      <c r="I229" s="1804"/>
      <c r="J229" s="1804"/>
      <c r="K229" s="2031"/>
      <c r="L229" s="1804"/>
      <c r="M229" s="1804"/>
      <c r="S229" s="730"/>
    </row>
    <row r="230" spans="3:19" ht="13.35" customHeight="1">
      <c r="C230" s="2036"/>
      <c r="F230" s="1804"/>
      <c r="G230" s="1804"/>
      <c r="H230" s="1804"/>
      <c r="I230" s="1804"/>
      <c r="J230" s="1804"/>
      <c r="K230" s="2031"/>
      <c r="L230" s="1804"/>
      <c r="M230" s="1804"/>
      <c r="S230" s="730"/>
    </row>
    <row r="231" spans="3:19" ht="13.35" customHeight="1">
      <c r="C231" s="2036"/>
      <c r="F231" s="1804"/>
      <c r="G231" s="1804"/>
      <c r="H231" s="1804"/>
      <c r="I231" s="1804"/>
      <c r="J231" s="1804"/>
      <c r="K231" s="2031"/>
      <c r="L231" s="1804"/>
      <c r="M231" s="1804"/>
      <c r="S231" s="730"/>
    </row>
    <row r="232" spans="3:19" ht="13.35" customHeight="1">
      <c r="C232" s="2036"/>
      <c r="F232" s="1804"/>
      <c r="G232" s="1804"/>
      <c r="H232" s="1804"/>
      <c r="I232" s="1804"/>
      <c r="J232" s="1804"/>
      <c r="K232" s="2031"/>
      <c r="L232" s="1804"/>
      <c r="M232" s="1804"/>
      <c r="S232" s="730"/>
    </row>
    <row r="233" spans="3:19" ht="13.35" customHeight="1">
      <c r="C233" s="2036"/>
      <c r="F233" s="1804"/>
      <c r="G233" s="1804"/>
      <c r="H233" s="1804"/>
      <c r="I233" s="1804"/>
      <c r="J233" s="1804"/>
      <c r="K233" s="2031"/>
      <c r="L233" s="1804"/>
      <c r="M233" s="1804"/>
      <c r="S233" s="730"/>
    </row>
    <row r="234" spans="3:19" ht="13.35" customHeight="1">
      <c r="C234" s="2036"/>
      <c r="F234" s="1804"/>
      <c r="G234" s="1804"/>
      <c r="H234" s="1804"/>
      <c r="I234" s="1804"/>
      <c r="J234" s="1804"/>
      <c r="K234" s="2031"/>
      <c r="L234" s="1804"/>
      <c r="M234" s="1804"/>
      <c r="S234" s="730"/>
    </row>
    <row r="235" spans="3:19" ht="13.35" customHeight="1">
      <c r="C235" s="2036"/>
      <c r="F235" s="1804"/>
      <c r="G235" s="1804"/>
      <c r="H235" s="1804"/>
      <c r="I235" s="1804"/>
      <c r="J235" s="1804"/>
      <c r="K235" s="2031"/>
      <c r="L235" s="1804"/>
      <c r="M235" s="1804"/>
      <c r="S235" s="730"/>
    </row>
    <row r="236" spans="3:19" ht="13.35" customHeight="1">
      <c r="C236" s="2036"/>
      <c r="F236" s="1804"/>
      <c r="G236" s="1804"/>
      <c r="H236" s="1804"/>
      <c r="I236" s="1804"/>
      <c r="J236" s="1804"/>
      <c r="K236" s="2031"/>
      <c r="L236" s="1804"/>
      <c r="M236" s="1804"/>
      <c r="S236" s="730"/>
    </row>
    <row r="237" spans="3:19" ht="13.35" customHeight="1">
      <c r="C237" s="2036"/>
      <c r="F237" s="1804"/>
      <c r="G237" s="1804"/>
      <c r="H237" s="1804"/>
      <c r="I237" s="1804"/>
      <c r="J237" s="1804"/>
      <c r="K237" s="2031"/>
      <c r="L237" s="1804"/>
      <c r="M237" s="1804"/>
      <c r="S237" s="730"/>
    </row>
    <row r="238" spans="3:19" ht="13.35" customHeight="1">
      <c r="C238" s="2036"/>
      <c r="F238" s="1804"/>
      <c r="G238" s="1804"/>
      <c r="H238" s="1804"/>
      <c r="I238" s="1804"/>
      <c r="J238" s="1804"/>
      <c r="K238" s="2031"/>
      <c r="L238" s="1804"/>
      <c r="M238" s="1804"/>
      <c r="S238" s="730"/>
    </row>
    <row r="239" spans="3:19" ht="13.35" customHeight="1">
      <c r="C239" s="2036"/>
      <c r="F239" s="1804"/>
      <c r="G239" s="1804"/>
      <c r="H239" s="1804"/>
      <c r="I239" s="1804"/>
      <c r="J239" s="1804"/>
      <c r="K239" s="2031"/>
      <c r="L239" s="1804"/>
      <c r="M239" s="1804"/>
      <c r="S239" s="730"/>
    </row>
    <row r="240" spans="3:19" ht="13.35" customHeight="1">
      <c r="C240" s="2036"/>
      <c r="F240" s="1804"/>
      <c r="G240" s="1804"/>
      <c r="H240" s="1804"/>
      <c r="I240" s="1804"/>
      <c r="J240" s="1804"/>
      <c r="K240" s="2031"/>
      <c r="L240" s="1804"/>
      <c r="M240" s="1804"/>
      <c r="S240" s="730"/>
    </row>
    <row r="241" spans="3:19" ht="13.35" customHeight="1">
      <c r="C241" s="2036"/>
      <c r="F241" s="1804"/>
      <c r="G241" s="1804"/>
      <c r="H241" s="1804"/>
      <c r="I241" s="1804"/>
      <c r="J241" s="1804"/>
      <c r="K241" s="2031"/>
      <c r="L241" s="1804"/>
      <c r="M241" s="1804"/>
      <c r="S241" s="730"/>
    </row>
    <row r="242" spans="3:19" ht="13.35" customHeight="1">
      <c r="C242" s="2036"/>
      <c r="F242" s="1804"/>
      <c r="G242" s="1804"/>
      <c r="H242" s="1804"/>
      <c r="I242" s="1804"/>
      <c r="J242" s="1804"/>
      <c r="K242" s="2031"/>
      <c r="L242" s="1804"/>
      <c r="M242" s="1804"/>
      <c r="S242" s="730"/>
    </row>
    <row r="243" spans="3:19" ht="13.35" customHeight="1">
      <c r="C243" s="2036"/>
      <c r="F243" s="1804"/>
      <c r="G243" s="1804"/>
      <c r="H243" s="1804"/>
      <c r="I243" s="1804"/>
      <c r="J243" s="1804"/>
      <c r="K243" s="2031"/>
      <c r="L243" s="1804"/>
      <c r="M243" s="1804"/>
      <c r="S243" s="730"/>
    </row>
    <row r="244" spans="3:19" ht="13.35" customHeight="1">
      <c r="C244" s="2036"/>
      <c r="F244" s="1804"/>
      <c r="G244" s="1804"/>
      <c r="H244" s="1804"/>
      <c r="I244" s="1804"/>
      <c r="J244" s="1804"/>
      <c r="K244" s="2031"/>
      <c r="L244" s="1804"/>
      <c r="M244" s="1804"/>
      <c r="S244" s="730"/>
    </row>
    <row r="245" spans="3:19" ht="13.35" customHeight="1">
      <c r="C245" s="2036"/>
      <c r="F245" s="1804"/>
      <c r="G245" s="1804"/>
      <c r="H245" s="1804"/>
      <c r="I245" s="1804"/>
      <c r="J245" s="1804"/>
      <c r="K245" s="2031"/>
      <c r="L245" s="1804"/>
      <c r="M245" s="1804"/>
      <c r="S245" s="730"/>
    </row>
    <row r="246" spans="3:19" ht="13.35" customHeight="1">
      <c r="C246" s="2036"/>
      <c r="F246" s="1804"/>
      <c r="G246" s="1804"/>
      <c r="H246" s="1804"/>
      <c r="I246" s="1804"/>
      <c r="J246" s="1804"/>
      <c r="K246" s="2031"/>
      <c r="L246" s="1804"/>
      <c r="M246" s="1804"/>
      <c r="S246" s="730"/>
    </row>
    <row r="247" spans="3:19" ht="13.35" customHeight="1">
      <c r="C247" s="2036"/>
      <c r="F247" s="1804"/>
      <c r="G247" s="1804"/>
      <c r="H247" s="1804"/>
      <c r="I247" s="1804"/>
      <c r="J247" s="1804"/>
      <c r="K247" s="2031"/>
      <c r="L247" s="1804"/>
      <c r="M247" s="1804"/>
      <c r="S247" s="730"/>
    </row>
    <row r="248" spans="3:19" ht="13.35" customHeight="1">
      <c r="C248" s="2036"/>
      <c r="F248" s="1804"/>
      <c r="G248" s="1804"/>
      <c r="H248" s="1804"/>
      <c r="I248" s="1804"/>
      <c r="J248" s="1804"/>
      <c r="K248" s="2031"/>
      <c r="L248" s="1804"/>
      <c r="M248" s="1804"/>
      <c r="S248" s="730"/>
    </row>
    <row r="249" spans="3:19" ht="13.35" customHeight="1">
      <c r="C249" s="2036"/>
      <c r="F249" s="1804"/>
      <c r="G249" s="1804"/>
      <c r="H249" s="1804"/>
      <c r="I249" s="1804"/>
      <c r="J249" s="1804"/>
      <c r="K249" s="2031"/>
      <c r="L249" s="1804"/>
      <c r="M249" s="1804"/>
      <c r="S249" s="730"/>
    </row>
    <row r="250" spans="3:19" ht="13.35" customHeight="1">
      <c r="C250" s="2036"/>
      <c r="F250" s="1804"/>
      <c r="G250" s="1804"/>
      <c r="H250" s="1804"/>
      <c r="I250" s="1804"/>
      <c r="J250" s="1804"/>
      <c r="K250" s="2031"/>
      <c r="L250" s="1804"/>
      <c r="M250" s="1804"/>
      <c r="S250" s="730"/>
    </row>
    <row r="251" spans="3:19" ht="13.35" customHeight="1">
      <c r="C251" s="2036"/>
      <c r="F251" s="1804"/>
      <c r="G251" s="1804"/>
      <c r="H251" s="1804"/>
      <c r="I251" s="1804"/>
      <c r="J251" s="1804"/>
      <c r="K251" s="2031"/>
      <c r="L251" s="1804"/>
      <c r="M251" s="1804"/>
      <c r="S251" s="730"/>
    </row>
    <row r="252" spans="3:19" ht="13.35" customHeight="1">
      <c r="C252" s="2036"/>
      <c r="F252" s="1804"/>
      <c r="G252" s="1804"/>
      <c r="H252" s="1804"/>
      <c r="I252" s="1804"/>
      <c r="J252" s="1804"/>
      <c r="K252" s="2031"/>
      <c r="L252" s="1804"/>
      <c r="M252" s="1804"/>
      <c r="S252" s="730"/>
    </row>
    <row r="253" spans="3:19" ht="13.35" customHeight="1">
      <c r="C253" s="2036"/>
      <c r="F253" s="1804"/>
      <c r="G253" s="1804"/>
      <c r="H253" s="1804"/>
      <c r="I253" s="1804"/>
      <c r="J253" s="1804"/>
      <c r="K253" s="2031"/>
      <c r="L253" s="1804"/>
      <c r="M253" s="1804"/>
      <c r="S253" s="730"/>
    </row>
    <row r="254" spans="3:19" ht="13.35" customHeight="1">
      <c r="C254" s="2036"/>
      <c r="F254" s="1804"/>
      <c r="G254" s="1804"/>
      <c r="H254" s="1804"/>
      <c r="I254" s="1804"/>
      <c r="J254" s="1804"/>
      <c r="K254" s="2031"/>
      <c r="L254" s="1804"/>
      <c r="M254" s="1804"/>
      <c r="S254" s="730"/>
    </row>
    <row r="255" spans="3:19" ht="13.35" customHeight="1">
      <c r="C255" s="2036"/>
      <c r="F255" s="1804"/>
      <c r="G255" s="1804"/>
      <c r="H255" s="1804"/>
      <c r="I255" s="1804"/>
      <c r="J255" s="1804"/>
      <c r="K255" s="2031"/>
      <c r="L255" s="1804"/>
      <c r="M255" s="1804"/>
      <c r="S255" s="730"/>
    </row>
    <row r="256" spans="3:19" ht="13.35" customHeight="1">
      <c r="C256" s="2036"/>
      <c r="F256" s="1804"/>
      <c r="G256" s="1804"/>
      <c r="H256" s="1804"/>
      <c r="I256" s="1804"/>
      <c r="J256" s="1804"/>
      <c r="K256" s="2031"/>
      <c r="L256" s="1804"/>
      <c r="M256" s="1804"/>
      <c r="S256" s="730"/>
    </row>
    <row r="257" spans="3:19" ht="13.35" customHeight="1">
      <c r="C257" s="2036"/>
      <c r="F257" s="1804"/>
      <c r="G257" s="1804"/>
      <c r="H257" s="1804"/>
      <c r="I257" s="1804"/>
      <c r="J257" s="1804"/>
      <c r="K257" s="2031"/>
      <c r="L257" s="1804"/>
      <c r="M257" s="1804"/>
      <c r="S257" s="730"/>
    </row>
    <row r="258" spans="3:19" ht="13.35" customHeight="1">
      <c r="C258" s="2036" t="s">
        <v>238</v>
      </c>
      <c r="F258" s="1804"/>
      <c r="G258" s="1804"/>
      <c r="H258" s="1804"/>
      <c r="I258" s="1804"/>
      <c r="J258" s="1804"/>
      <c r="K258" s="2031"/>
      <c r="L258" s="1804"/>
      <c r="M258" s="1804"/>
      <c r="S258" s="730"/>
    </row>
    <row r="259" spans="3:19" ht="13.35" customHeight="1">
      <c r="C259" s="2036"/>
      <c r="F259" s="1804"/>
      <c r="G259" s="1804"/>
      <c r="H259" s="1804"/>
      <c r="I259" s="1804"/>
      <c r="J259" s="1804"/>
      <c r="K259" s="2031"/>
      <c r="L259" s="1804"/>
      <c r="M259" s="1804"/>
      <c r="S259" s="730"/>
    </row>
    <row r="260" spans="3:19" ht="13.35" customHeight="1">
      <c r="C260" s="2036"/>
      <c r="F260" s="1804"/>
      <c r="G260" s="1804"/>
      <c r="H260" s="1804"/>
      <c r="I260" s="1804"/>
      <c r="J260" s="1804"/>
      <c r="K260" s="2031"/>
      <c r="L260" s="1804"/>
      <c r="M260" s="1804"/>
      <c r="S260" s="730"/>
    </row>
    <row r="261" spans="3:19" ht="13.35" customHeight="1">
      <c r="C261" s="2036"/>
      <c r="F261" s="1804"/>
      <c r="G261" s="1804"/>
      <c r="H261" s="1804"/>
      <c r="I261" s="1804"/>
      <c r="J261" s="1804"/>
      <c r="K261" s="2031"/>
      <c r="L261" s="1804"/>
      <c r="M261" s="1804"/>
      <c r="S261" s="730"/>
    </row>
    <row r="262" spans="3:19" ht="13.35" customHeight="1">
      <c r="C262" s="2036"/>
      <c r="F262" s="1804"/>
      <c r="G262" s="1804"/>
      <c r="H262" s="1804"/>
      <c r="I262" s="1804"/>
      <c r="J262" s="1804"/>
      <c r="K262" s="2031"/>
      <c r="L262" s="1804"/>
      <c r="M262" s="1804"/>
      <c r="S262" s="730"/>
    </row>
    <row r="263" spans="3:19" ht="13.35" customHeight="1">
      <c r="C263" s="2036"/>
      <c r="F263" s="1804"/>
      <c r="G263" s="1804"/>
      <c r="H263" s="1804"/>
      <c r="I263" s="1804"/>
      <c r="J263" s="1804"/>
      <c r="K263" s="2031"/>
      <c r="L263" s="1804"/>
      <c r="M263" s="1804"/>
      <c r="S263" s="730"/>
    </row>
    <row r="264" spans="3:19" ht="13.35" customHeight="1">
      <c r="C264" s="2036"/>
      <c r="F264" s="1804"/>
      <c r="G264" s="1804"/>
      <c r="H264" s="1804"/>
      <c r="I264" s="1804"/>
      <c r="J264" s="1804"/>
      <c r="K264" s="2031"/>
      <c r="L264" s="1804"/>
      <c r="M264" s="1804"/>
      <c r="S264" s="730"/>
    </row>
    <row r="265" spans="3:19" ht="13.35" customHeight="1">
      <c r="C265" s="2036"/>
      <c r="F265" s="1804"/>
      <c r="G265" s="1804"/>
      <c r="H265" s="1804"/>
      <c r="I265" s="1804"/>
      <c r="J265" s="1804"/>
      <c r="K265" s="2031"/>
      <c r="L265" s="1804"/>
      <c r="M265" s="1804"/>
      <c r="S265" s="730"/>
    </row>
    <row r="266" spans="3:19" ht="13.35" customHeight="1">
      <c r="C266" s="2036"/>
      <c r="F266" s="1804"/>
      <c r="G266" s="1804"/>
      <c r="H266" s="1804"/>
      <c r="I266" s="1804"/>
      <c r="J266" s="1804"/>
      <c r="K266" s="2031"/>
      <c r="L266" s="1804"/>
      <c r="M266" s="1804"/>
      <c r="S266" s="730"/>
    </row>
    <row r="267" spans="3:19" ht="13.35" customHeight="1">
      <c r="C267" s="2036"/>
      <c r="F267" s="1804"/>
      <c r="G267" s="1804"/>
      <c r="H267" s="1804"/>
      <c r="I267" s="1804"/>
      <c r="J267" s="1804"/>
      <c r="K267" s="2031"/>
      <c r="L267" s="1804"/>
      <c r="M267" s="1804"/>
      <c r="S267" s="730"/>
    </row>
    <row r="268" spans="3:19" ht="13.35" customHeight="1">
      <c r="C268" s="2036"/>
      <c r="F268" s="1804"/>
      <c r="G268" s="1804"/>
      <c r="H268" s="1804"/>
      <c r="I268" s="1804"/>
      <c r="J268" s="1804"/>
      <c r="K268" s="2031"/>
      <c r="L268" s="1804"/>
      <c r="M268" s="1804"/>
      <c r="S268" s="730"/>
    </row>
    <row r="269" spans="3:19" ht="13.35" customHeight="1">
      <c r="C269" s="2036"/>
      <c r="F269" s="1804"/>
      <c r="G269" s="1804"/>
      <c r="H269" s="1804"/>
      <c r="I269" s="1804"/>
      <c r="J269" s="1804"/>
      <c r="K269" s="2031"/>
      <c r="L269" s="1804"/>
      <c r="M269" s="1804"/>
      <c r="S269" s="730"/>
    </row>
    <row r="270" spans="3:19" ht="13.35" customHeight="1">
      <c r="C270" s="2036"/>
      <c r="F270" s="1804"/>
      <c r="G270" s="1804"/>
      <c r="H270" s="1804"/>
      <c r="I270" s="1804"/>
      <c r="J270" s="1804"/>
      <c r="K270" s="2031"/>
      <c r="L270" s="1804"/>
      <c r="M270" s="1804"/>
      <c r="S270" s="730"/>
    </row>
    <row r="271" spans="3:19" ht="13.35" customHeight="1">
      <c r="C271" s="2036"/>
      <c r="F271" s="1804"/>
      <c r="G271" s="1804"/>
      <c r="H271" s="1804"/>
      <c r="I271" s="1804"/>
      <c r="J271" s="1804"/>
      <c r="K271" s="2031"/>
      <c r="L271" s="1804"/>
      <c r="M271" s="1804"/>
      <c r="S271" s="730"/>
    </row>
    <row r="272" spans="3:19" ht="13.35" customHeight="1">
      <c r="C272" s="2036"/>
      <c r="F272" s="1804"/>
      <c r="G272" s="1804"/>
      <c r="H272" s="1804"/>
      <c r="I272" s="1804"/>
      <c r="J272" s="1804"/>
      <c r="K272" s="2031"/>
      <c r="L272" s="1804"/>
      <c r="M272" s="1804"/>
      <c r="S272" s="730"/>
    </row>
    <row r="273" spans="3:19" ht="13.35" customHeight="1">
      <c r="C273" s="2036"/>
      <c r="F273" s="1804"/>
      <c r="G273" s="1804"/>
      <c r="H273" s="1804"/>
      <c r="I273" s="1804"/>
      <c r="J273" s="1804"/>
      <c r="K273" s="2031"/>
      <c r="L273" s="1804"/>
      <c r="M273" s="1804"/>
      <c r="S273" s="730"/>
    </row>
    <row r="274" spans="3:19" ht="13.35" customHeight="1">
      <c r="C274" s="2036"/>
      <c r="F274" s="1804"/>
      <c r="G274" s="1804"/>
      <c r="H274" s="1804"/>
      <c r="I274" s="1804"/>
      <c r="J274" s="1804"/>
      <c r="K274" s="2031"/>
      <c r="L274" s="1804"/>
      <c r="M274" s="1804"/>
      <c r="S274" s="730"/>
    </row>
    <row r="275" spans="3:19" ht="13.35" customHeight="1">
      <c r="C275" s="2036"/>
      <c r="F275" s="1804"/>
      <c r="G275" s="1804"/>
      <c r="H275" s="1804"/>
      <c r="I275" s="1804"/>
      <c r="J275" s="1804"/>
      <c r="K275" s="2031"/>
      <c r="L275" s="1804"/>
      <c r="M275" s="1804"/>
      <c r="S275" s="730"/>
    </row>
    <row r="276" spans="3:19" ht="13.35" customHeight="1">
      <c r="C276" s="2036"/>
      <c r="F276" s="1804"/>
      <c r="G276" s="1804"/>
      <c r="H276" s="1804"/>
      <c r="I276" s="1804"/>
      <c r="J276" s="1804"/>
      <c r="K276" s="2031"/>
      <c r="L276" s="1804"/>
      <c r="M276" s="1804"/>
      <c r="S276" s="730"/>
    </row>
    <row r="277" spans="3:19" ht="13.35" customHeight="1">
      <c r="C277" s="2036"/>
      <c r="F277" s="1804"/>
      <c r="G277" s="1804"/>
      <c r="H277" s="1804"/>
      <c r="I277" s="1804"/>
      <c r="J277" s="1804"/>
      <c r="K277" s="2031"/>
      <c r="L277" s="1804"/>
      <c r="M277" s="1804"/>
      <c r="S277" s="730"/>
    </row>
    <row r="278" spans="3:19" ht="13.35" customHeight="1">
      <c r="C278" s="2036"/>
      <c r="F278" s="1804"/>
      <c r="G278" s="1804"/>
      <c r="H278" s="1804"/>
      <c r="I278" s="1804"/>
      <c r="J278" s="1804"/>
      <c r="K278" s="2031"/>
      <c r="L278" s="1804"/>
      <c r="M278" s="1804"/>
      <c r="S278" s="730"/>
    </row>
    <row r="279" spans="3:19" ht="13.35" customHeight="1">
      <c r="C279" s="2036"/>
      <c r="F279" s="1804"/>
      <c r="G279" s="1804"/>
      <c r="H279" s="1804"/>
      <c r="I279" s="1804"/>
      <c r="J279" s="1804"/>
      <c r="K279" s="2031"/>
      <c r="L279" s="1804"/>
      <c r="M279" s="1804"/>
      <c r="S279" s="730"/>
    </row>
    <row r="280" spans="3:19" ht="13.35" customHeight="1">
      <c r="C280" s="2036"/>
      <c r="F280" s="1804"/>
      <c r="G280" s="1804"/>
      <c r="H280" s="1804"/>
      <c r="I280" s="1804"/>
      <c r="J280" s="1804"/>
      <c r="K280" s="2031"/>
      <c r="L280" s="1804"/>
      <c r="M280" s="1804"/>
      <c r="S280" s="730"/>
    </row>
    <row r="281" spans="3:19" ht="13.35" customHeight="1">
      <c r="C281" s="2036"/>
      <c r="F281" s="1804"/>
      <c r="G281" s="1804"/>
      <c r="H281" s="1804"/>
      <c r="I281" s="1804"/>
      <c r="J281" s="1804"/>
      <c r="K281" s="2031"/>
      <c r="L281" s="1804"/>
      <c r="M281" s="1804"/>
      <c r="S281" s="730"/>
    </row>
    <row r="282" spans="3:19" ht="13.35" customHeight="1">
      <c r="C282" s="2036"/>
      <c r="F282" s="1804"/>
      <c r="G282" s="1804"/>
      <c r="H282" s="1804"/>
      <c r="I282" s="1804"/>
      <c r="J282" s="1804"/>
      <c r="K282" s="2031"/>
      <c r="L282" s="1804"/>
      <c r="M282" s="1804"/>
      <c r="S282" s="730"/>
    </row>
    <row r="283" spans="3:19" ht="13.35" customHeight="1">
      <c r="C283" s="2036"/>
      <c r="F283" s="1804"/>
      <c r="G283" s="1804"/>
      <c r="H283" s="1804"/>
      <c r="I283" s="1804"/>
      <c r="J283" s="1804"/>
      <c r="K283" s="2031"/>
      <c r="L283" s="1804"/>
      <c r="M283" s="1804"/>
      <c r="S283" s="730"/>
    </row>
    <row r="284" spans="3:19" ht="13.35" customHeight="1">
      <c r="C284" s="2036"/>
      <c r="F284" s="1804"/>
      <c r="G284" s="1804"/>
      <c r="H284" s="1804"/>
      <c r="I284" s="1804"/>
      <c r="J284" s="1804"/>
      <c r="K284" s="2031"/>
      <c r="L284" s="1804"/>
      <c r="M284" s="1804"/>
      <c r="S284" s="730"/>
    </row>
    <row r="285" spans="3:19" ht="13.35" customHeight="1">
      <c r="C285" s="2036"/>
      <c r="F285" s="1804"/>
      <c r="G285" s="1804"/>
      <c r="H285" s="1804"/>
      <c r="I285" s="1804"/>
      <c r="J285" s="1804"/>
      <c r="K285" s="2031"/>
      <c r="L285" s="1804"/>
      <c r="M285" s="1804"/>
      <c r="S285" s="730"/>
    </row>
    <row r="286" spans="3:19" ht="13.35" customHeight="1">
      <c r="C286" s="2036"/>
      <c r="F286" s="1804"/>
      <c r="G286" s="1804"/>
      <c r="H286" s="1804"/>
      <c r="I286" s="1804"/>
      <c r="J286" s="1804"/>
      <c r="K286" s="2031"/>
      <c r="L286" s="1804"/>
      <c r="M286" s="1804"/>
      <c r="S286" s="730"/>
    </row>
    <row r="287" spans="3:19" ht="13.35" customHeight="1">
      <c r="C287" s="2036"/>
      <c r="F287" s="1804"/>
      <c r="G287" s="1804"/>
      <c r="H287" s="1804"/>
      <c r="I287" s="1804"/>
      <c r="J287" s="1804"/>
      <c r="K287" s="2031"/>
      <c r="L287" s="1804"/>
      <c r="M287" s="1804"/>
      <c r="S287" s="730"/>
    </row>
    <row r="288" spans="3:19" ht="13.35" customHeight="1">
      <c r="C288" s="2036"/>
      <c r="F288" s="1804"/>
      <c r="G288" s="1804"/>
      <c r="H288" s="1804"/>
      <c r="I288" s="1804"/>
      <c r="J288" s="1804"/>
      <c r="K288" s="2031"/>
      <c r="L288" s="1804"/>
      <c r="M288" s="1804"/>
      <c r="S288" s="730"/>
    </row>
    <row r="289" spans="3:19" ht="13.35" customHeight="1">
      <c r="C289" s="2036"/>
      <c r="F289" s="1804"/>
      <c r="G289" s="1804"/>
      <c r="H289" s="1804"/>
      <c r="I289" s="1804"/>
      <c r="J289" s="1804"/>
      <c r="K289" s="2031"/>
      <c r="L289" s="1804"/>
      <c r="M289" s="1804"/>
      <c r="S289" s="730"/>
    </row>
    <row r="290" spans="3:19" ht="13.35" customHeight="1">
      <c r="C290" s="2036"/>
      <c r="F290" s="1804"/>
      <c r="G290" s="1804"/>
      <c r="H290" s="1804"/>
      <c r="I290" s="1804"/>
      <c r="J290" s="1804"/>
      <c r="K290" s="2031"/>
      <c r="L290" s="1804"/>
      <c r="M290" s="1804"/>
      <c r="S290" s="730"/>
    </row>
    <row r="291" spans="3:19" ht="13.35" customHeight="1">
      <c r="C291" s="2036"/>
      <c r="F291" s="1804"/>
      <c r="G291" s="1804"/>
      <c r="H291" s="1804"/>
      <c r="I291" s="1804"/>
      <c r="J291" s="1804"/>
      <c r="K291" s="2031"/>
      <c r="L291" s="1804"/>
      <c r="M291" s="1804"/>
      <c r="S291" s="730"/>
    </row>
    <row r="292" spans="3:19" ht="13.35" customHeight="1">
      <c r="C292" s="2036"/>
      <c r="F292" s="1804"/>
      <c r="G292" s="1804"/>
      <c r="H292" s="1804"/>
      <c r="I292" s="1804"/>
      <c r="J292" s="1804"/>
      <c r="K292" s="2031"/>
      <c r="L292" s="1804"/>
      <c r="M292" s="1804"/>
      <c r="S292" s="730"/>
    </row>
    <row r="293" spans="3:19" ht="13.35" customHeight="1">
      <c r="C293" s="2036"/>
      <c r="F293" s="1804"/>
      <c r="G293" s="1804"/>
      <c r="H293" s="1804"/>
      <c r="I293" s="1804"/>
      <c r="J293" s="1804"/>
      <c r="K293" s="2031"/>
      <c r="L293" s="1804"/>
      <c r="M293" s="1804"/>
      <c r="S293" s="730"/>
    </row>
    <row r="294" spans="3:19" ht="13.35" customHeight="1">
      <c r="C294" s="2036"/>
      <c r="F294" s="1804"/>
      <c r="G294" s="1804"/>
      <c r="H294" s="1804"/>
      <c r="I294" s="1804"/>
      <c r="J294" s="1804"/>
      <c r="K294" s="2031"/>
      <c r="L294" s="1804"/>
      <c r="M294" s="1804"/>
      <c r="S294" s="730"/>
    </row>
    <row r="295" spans="3:19" ht="13.35" customHeight="1">
      <c r="C295" s="2036"/>
      <c r="F295" s="1804"/>
      <c r="G295" s="1804"/>
      <c r="H295" s="1804"/>
      <c r="I295" s="1804"/>
      <c r="J295" s="1804"/>
      <c r="K295" s="2031"/>
      <c r="L295" s="1804"/>
      <c r="M295" s="1804"/>
      <c r="S295" s="730"/>
    </row>
    <row r="296" spans="3:19" ht="13.35" customHeight="1">
      <c r="C296" s="2036"/>
      <c r="F296" s="1804"/>
      <c r="G296" s="1804"/>
      <c r="H296" s="1804"/>
      <c r="I296" s="1804"/>
      <c r="J296" s="1804"/>
      <c r="K296" s="2031"/>
      <c r="L296" s="1804"/>
      <c r="M296" s="1804"/>
      <c r="S296" s="730"/>
    </row>
    <row r="297" spans="3:19" ht="13.35" customHeight="1">
      <c r="C297" s="2036"/>
      <c r="F297" s="1804"/>
      <c r="G297" s="1804"/>
      <c r="H297" s="1804"/>
      <c r="I297" s="1804"/>
      <c r="J297" s="1804"/>
      <c r="K297" s="2031"/>
      <c r="L297" s="1804"/>
      <c r="M297" s="1804"/>
      <c r="S297" s="730"/>
    </row>
    <row r="298" spans="3:19" ht="13.35" customHeight="1">
      <c r="C298" s="2036"/>
      <c r="F298" s="1804"/>
      <c r="G298" s="1804"/>
      <c r="H298" s="1804"/>
      <c r="I298" s="1804"/>
      <c r="J298" s="1804"/>
      <c r="K298" s="2031"/>
      <c r="L298" s="1804"/>
      <c r="M298" s="1804"/>
      <c r="S298" s="730"/>
    </row>
    <row r="299" spans="3:19" ht="13.35" customHeight="1">
      <c r="C299" s="2036"/>
      <c r="F299" s="1804"/>
      <c r="G299" s="1804"/>
      <c r="H299" s="1804"/>
      <c r="I299" s="1804"/>
      <c r="J299" s="1804"/>
      <c r="K299" s="2031"/>
      <c r="L299" s="1804"/>
      <c r="M299" s="1804"/>
      <c r="S299" s="730"/>
    </row>
    <row r="300" spans="3:19" ht="13.35" customHeight="1">
      <c r="C300" s="2036"/>
      <c r="F300" s="1804"/>
      <c r="G300" s="1804"/>
      <c r="H300" s="1804"/>
      <c r="I300" s="1804"/>
      <c r="J300" s="1804"/>
      <c r="K300" s="2031"/>
      <c r="L300" s="1804"/>
      <c r="M300" s="1804"/>
      <c r="S300" s="730"/>
    </row>
    <row r="301" spans="3:19" ht="13.35" customHeight="1">
      <c r="C301" s="2036"/>
      <c r="F301" s="1804"/>
      <c r="G301" s="1804"/>
      <c r="H301" s="1804"/>
      <c r="I301" s="1804"/>
      <c r="J301" s="1804"/>
      <c r="K301" s="2031"/>
      <c r="L301" s="1804"/>
      <c r="M301" s="1804"/>
      <c r="S301" s="730"/>
    </row>
    <row r="302" spans="3:19" ht="13.35" customHeight="1">
      <c r="C302" s="2036"/>
      <c r="F302" s="1804"/>
      <c r="G302" s="1804"/>
      <c r="H302" s="1804"/>
      <c r="I302" s="1804"/>
      <c r="J302" s="1804"/>
      <c r="K302" s="2031"/>
      <c r="L302" s="1804"/>
      <c r="M302" s="1804"/>
      <c r="S302" s="730"/>
    </row>
    <row r="303" spans="3:19" ht="13.35" customHeight="1">
      <c r="C303" s="2036"/>
      <c r="F303" s="1804"/>
      <c r="G303" s="1804"/>
      <c r="H303" s="1804"/>
      <c r="I303" s="1804"/>
      <c r="J303" s="1804"/>
      <c r="K303" s="2031"/>
      <c r="L303" s="1804"/>
      <c r="M303" s="1804"/>
      <c r="S303" s="730"/>
    </row>
    <row r="304" spans="3:19" ht="13.35" customHeight="1">
      <c r="C304" s="2036"/>
      <c r="F304" s="1804"/>
      <c r="G304" s="1804"/>
      <c r="H304" s="1804"/>
      <c r="I304" s="1804"/>
      <c r="J304" s="1804"/>
      <c r="K304" s="2031"/>
      <c r="L304" s="1804"/>
      <c r="M304" s="1804"/>
      <c r="S304" s="730"/>
    </row>
    <row r="305" spans="3:19" ht="13.35" customHeight="1">
      <c r="C305" s="2036"/>
      <c r="F305" s="1804"/>
      <c r="G305" s="1804"/>
      <c r="H305" s="1804"/>
      <c r="I305" s="1804"/>
      <c r="J305" s="1804"/>
      <c r="K305" s="2031"/>
      <c r="L305" s="1804"/>
      <c r="M305" s="1804"/>
      <c r="S305" s="730"/>
    </row>
    <row r="306" spans="3:19" ht="13.35" customHeight="1">
      <c r="C306" s="2036"/>
      <c r="F306" s="1804"/>
      <c r="G306" s="1804"/>
      <c r="H306" s="1804"/>
      <c r="I306" s="1804"/>
      <c r="J306" s="1804"/>
      <c r="K306" s="2031"/>
      <c r="L306" s="1804"/>
      <c r="M306" s="1804"/>
      <c r="S306" s="730"/>
    </row>
    <row r="307" spans="3:19" ht="13.35" customHeight="1">
      <c r="C307" s="2036"/>
      <c r="F307" s="1804"/>
      <c r="G307" s="1804"/>
      <c r="H307" s="1804"/>
      <c r="I307" s="1804"/>
      <c r="J307" s="1804"/>
      <c r="K307" s="2031"/>
      <c r="L307" s="1804"/>
      <c r="M307" s="1804"/>
      <c r="S307" s="730"/>
    </row>
    <row r="308" spans="3:19" ht="13.35" customHeight="1">
      <c r="C308" s="2036"/>
      <c r="F308" s="1804"/>
      <c r="G308" s="1804"/>
      <c r="H308" s="1804"/>
      <c r="I308" s="1804"/>
      <c r="J308" s="1804"/>
      <c r="K308" s="2031"/>
      <c r="L308" s="1804"/>
      <c r="M308" s="1804"/>
      <c r="S308" s="730"/>
    </row>
    <row r="309" spans="3:19" ht="13.35" customHeight="1">
      <c r="C309" s="2036"/>
      <c r="F309" s="1804"/>
      <c r="G309" s="1804"/>
      <c r="H309" s="1804"/>
      <c r="I309" s="1804"/>
      <c r="J309" s="1804"/>
      <c r="K309" s="2031"/>
      <c r="L309" s="1804"/>
      <c r="M309" s="1804"/>
      <c r="S309" s="730"/>
    </row>
    <row r="310" spans="3:19" ht="13.35" customHeight="1">
      <c r="C310" s="2036"/>
      <c r="F310" s="1804"/>
      <c r="G310" s="1804"/>
      <c r="H310" s="1804"/>
      <c r="I310" s="1804"/>
      <c r="J310" s="1804"/>
      <c r="K310" s="2031"/>
      <c r="L310" s="1804"/>
      <c r="M310" s="1804"/>
      <c r="S310" s="730"/>
    </row>
    <row r="311" spans="3:19" ht="13.35" customHeight="1">
      <c r="C311" s="2036"/>
      <c r="F311" s="1804"/>
      <c r="G311" s="1804"/>
      <c r="H311" s="1804"/>
      <c r="I311" s="1804"/>
      <c r="J311" s="1804"/>
      <c r="K311" s="2031"/>
      <c r="L311" s="1804"/>
      <c r="M311" s="1804"/>
      <c r="S311" s="730"/>
    </row>
    <row r="312" spans="3:19" ht="13.35" customHeight="1">
      <c r="C312" s="2036"/>
      <c r="F312" s="1804"/>
      <c r="G312" s="1804"/>
      <c r="H312" s="1804"/>
      <c r="I312" s="1804"/>
      <c r="J312" s="1804"/>
      <c r="K312" s="2031"/>
      <c r="L312" s="1804"/>
      <c r="M312" s="1804"/>
      <c r="S312" s="730"/>
    </row>
    <row r="313" spans="3:19" ht="13.35" customHeight="1">
      <c r="C313" s="2036"/>
      <c r="F313" s="1804"/>
      <c r="G313" s="1804"/>
      <c r="H313" s="1804"/>
      <c r="I313" s="1804"/>
      <c r="J313" s="1804"/>
      <c r="K313" s="2031"/>
      <c r="L313" s="1804"/>
      <c r="M313" s="1804"/>
      <c r="S313" s="730"/>
    </row>
    <row r="314" spans="3:19" ht="13.35" customHeight="1">
      <c r="C314" s="2036"/>
      <c r="F314" s="1804"/>
      <c r="G314" s="1804"/>
      <c r="H314" s="1804"/>
      <c r="I314" s="1804"/>
      <c r="J314" s="1804"/>
      <c r="K314" s="2031"/>
      <c r="L314" s="1804"/>
      <c r="M314" s="1804"/>
      <c r="S314" s="730"/>
    </row>
    <row r="315" spans="3:19" ht="13.35" customHeight="1">
      <c r="C315" s="2036"/>
      <c r="F315" s="1804"/>
      <c r="G315" s="1804"/>
      <c r="H315" s="1804"/>
      <c r="I315" s="1804"/>
      <c r="J315" s="1804"/>
      <c r="K315" s="2031"/>
      <c r="L315" s="1804"/>
      <c r="M315" s="1804"/>
      <c r="S315" s="730"/>
    </row>
    <row r="316" spans="3:19" ht="13.35" customHeight="1">
      <c r="C316" s="2036"/>
      <c r="F316" s="1804"/>
      <c r="G316" s="1804"/>
      <c r="H316" s="1804"/>
      <c r="I316" s="1804"/>
      <c r="J316" s="1804"/>
      <c r="K316" s="2031"/>
      <c r="L316" s="1804"/>
      <c r="M316" s="1804"/>
      <c r="S316" s="730"/>
    </row>
    <row r="317" spans="3:19" ht="13.35" customHeight="1">
      <c r="C317" s="2036"/>
      <c r="F317" s="1804"/>
      <c r="G317" s="1804"/>
      <c r="H317" s="1804"/>
      <c r="I317" s="1804"/>
      <c r="J317" s="1804"/>
      <c r="K317" s="2031"/>
      <c r="L317" s="1804"/>
      <c r="M317" s="1804"/>
      <c r="S317" s="730"/>
    </row>
    <row r="318" spans="3:19" ht="13.35" customHeight="1">
      <c r="C318" s="2036"/>
      <c r="F318" s="1804"/>
      <c r="G318" s="1804"/>
      <c r="H318" s="1804"/>
      <c r="I318" s="1804"/>
      <c r="J318" s="1804"/>
      <c r="K318" s="2031"/>
      <c r="L318" s="1804"/>
      <c r="M318" s="1804"/>
      <c r="S318" s="730"/>
    </row>
    <row r="319" spans="3:19" ht="13.35" customHeight="1">
      <c r="C319" s="2036"/>
      <c r="F319" s="1804"/>
      <c r="G319" s="1804"/>
      <c r="H319" s="1804"/>
      <c r="I319" s="1804"/>
      <c r="J319" s="1804"/>
      <c r="K319" s="2031"/>
      <c r="L319" s="1804"/>
      <c r="M319" s="1804"/>
      <c r="S319" s="730"/>
    </row>
    <row r="320" spans="3:19" ht="13.35" customHeight="1">
      <c r="C320" s="2036"/>
      <c r="F320" s="1804"/>
      <c r="G320" s="1804"/>
      <c r="H320" s="1804"/>
      <c r="I320" s="1804"/>
      <c r="J320" s="1804"/>
      <c r="K320" s="2031"/>
      <c r="L320" s="1804"/>
      <c r="M320" s="1804"/>
      <c r="S320" s="730"/>
    </row>
    <row r="321" spans="3:19" ht="13.35" customHeight="1">
      <c r="C321" s="2036"/>
      <c r="F321" s="1804"/>
      <c r="G321" s="1804"/>
      <c r="H321" s="1804"/>
      <c r="I321" s="1804"/>
      <c r="J321" s="1804"/>
      <c r="K321" s="2031"/>
      <c r="L321" s="1804"/>
      <c r="M321" s="1804"/>
      <c r="S321" s="730"/>
    </row>
    <row r="322" spans="3:19" ht="13.35" customHeight="1">
      <c r="C322" s="2036"/>
      <c r="F322" s="1804"/>
      <c r="G322" s="1804"/>
      <c r="H322" s="1804"/>
      <c r="I322" s="1804"/>
      <c r="J322" s="1804"/>
      <c r="K322" s="2031"/>
      <c r="L322" s="1804"/>
      <c r="M322" s="1804"/>
      <c r="S322" s="730"/>
    </row>
    <row r="323" spans="3:19" ht="13.35" customHeight="1">
      <c r="C323" s="2036"/>
      <c r="F323" s="1804"/>
      <c r="G323" s="1804"/>
      <c r="H323" s="1804"/>
      <c r="I323" s="1804"/>
      <c r="J323" s="1804"/>
      <c r="K323" s="2031"/>
      <c r="L323" s="1804"/>
      <c r="M323" s="1804"/>
      <c r="S323" s="730"/>
    </row>
    <row r="324" spans="3:19" ht="13.35" customHeight="1">
      <c r="C324" s="2036"/>
      <c r="F324" s="1804"/>
      <c r="G324" s="1804"/>
      <c r="H324" s="1804"/>
      <c r="I324" s="1804"/>
      <c r="J324" s="1804"/>
      <c r="K324" s="2031"/>
      <c r="L324" s="1804"/>
      <c r="M324" s="1804"/>
      <c r="S324" s="730"/>
    </row>
    <row r="325" spans="3:19" ht="13.35" customHeight="1">
      <c r="C325" s="2036"/>
      <c r="F325" s="1804"/>
      <c r="G325" s="1804"/>
      <c r="H325" s="1804"/>
      <c r="I325" s="1804"/>
      <c r="J325" s="1804"/>
      <c r="K325" s="2031"/>
      <c r="L325" s="1804"/>
      <c r="M325" s="1804"/>
      <c r="S325" s="730"/>
    </row>
    <row r="326" spans="3:19" ht="13.35" customHeight="1">
      <c r="C326" s="2036"/>
      <c r="F326" s="1804"/>
      <c r="G326" s="1804"/>
      <c r="H326" s="1804"/>
      <c r="I326" s="1804"/>
      <c r="J326" s="1804"/>
      <c r="K326" s="2031"/>
      <c r="L326" s="1804"/>
      <c r="M326" s="1804"/>
      <c r="S326" s="730"/>
    </row>
    <row r="327" spans="3:19" ht="13.35" customHeight="1">
      <c r="C327" s="2036"/>
      <c r="F327" s="1804"/>
      <c r="G327" s="1804"/>
      <c r="H327" s="1804"/>
      <c r="I327" s="1804"/>
      <c r="J327" s="1804"/>
      <c r="K327" s="2031"/>
      <c r="L327" s="1804"/>
      <c r="M327" s="1804"/>
      <c r="S327" s="730"/>
    </row>
    <row r="328" spans="3:19" ht="13.35" customHeight="1">
      <c r="C328" s="2036"/>
      <c r="F328" s="1804"/>
      <c r="G328" s="1804"/>
      <c r="H328" s="1804"/>
      <c r="I328" s="1804"/>
      <c r="J328" s="1804"/>
      <c r="K328" s="2031"/>
      <c r="L328" s="1804"/>
      <c r="M328" s="1804"/>
      <c r="S328" s="730"/>
    </row>
    <row r="329" spans="3:19" ht="13.35" customHeight="1">
      <c r="C329" s="2036"/>
      <c r="F329" s="1804"/>
      <c r="G329" s="1804"/>
      <c r="H329" s="1804"/>
      <c r="I329" s="1804"/>
      <c r="J329" s="1804"/>
      <c r="K329" s="2031"/>
      <c r="L329" s="1804"/>
      <c r="M329" s="1804"/>
      <c r="S329" s="730"/>
    </row>
    <row r="330" spans="3:19" ht="13.35" customHeight="1">
      <c r="C330" s="2036"/>
      <c r="F330" s="1804"/>
      <c r="G330" s="1804"/>
      <c r="H330" s="1804"/>
      <c r="I330" s="1804"/>
      <c r="J330" s="1804"/>
      <c r="K330" s="2031"/>
      <c r="L330" s="1804"/>
      <c r="M330" s="1804"/>
      <c r="S330" s="730"/>
    </row>
    <row r="331" spans="3:19" ht="13.35" customHeight="1">
      <c r="C331" s="2036"/>
      <c r="F331" s="1804"/>
      <c r="G331" s="1804"/>
      <c r="H331" s="1804"/>
      <c r="I331" s="1804"/>
      <c r="J331" s="1804"/>
      <c r="K331" s="2031"/>
      <c r="L331" s="1804"/>
      <c r="M331" s="1804"/>
      <c r="S331" s="730"/>
    </row>
    <row r="332" spans="3:19" ht="13.35" customHeight="1">
      <c r="C332" s="2036"/>
      <c r="F332" s="1804"/>
      <c r="G332" s="1804"/>
      <c r="H332" s="1804"/>
      <c r="I332" s="1804"/>
      <c r="J332" s="1804"/>
      <c r="K332" s="2031"/>
      <c r="L332" s="1804"/>
      <c r="M332" s="1804"/>
      <c r="S332" s="730"/>
    </row>
    <row r="333" spans="3:19" ht="13.35" customHeight="1">
      <c r="C333" s="2036"/>
      <c r="F333" s="1804"/>
      <c r="G333" s="1804"/>
      <c r="H333" s="1804"/>
      <c r="I333" s="1804"/>
      <c r="J333" s="1804"/>
      <c r="K333" s="2031"/>
      <c r="L333" s="1804"/>
      <c r="M333" s="1804"/>
      <c r="S333" s="730"/>
    </row>
    <row r="334" spans="3:19" ht="13.35" customHeight="1">
      <c r="C334" s="2036"/>
      <c r="F334" s="1804"/>
      <c r="G334" s="1804"/>
      <c r="H334" s="1804"/>
      <c r="I334" s="1804"/>
      <c r="J334" s="1804"/>
      <c r="K334" s="2031"/>
      <c r="L334" s="1804"/>
      <c r="M334" s="1804"/>
      <c r="S334" s="730"/>
    </row>
    <row r="335" spans="3:19" ht="13.35" customHeight="1">
      <c r="C335" s="2036"/>
      <c r="F335" s="1804"/>
      <c r="G335" s="1804"/>
      <c r="H335" s="1804"/>
      <c r="I335" s="1804"/>
      <c r="J335" s="1804"/>
      <c r="K335" s="2031"/>
      <c r="L335" s="1804"/>
      <c r="M335" s="1804"/>
      <c r="S335" s="730"/>
    </row>
    <row r="336" spans="3:19" ht="13.35" customHeight="1">
      <c r="C336" s="2036"/>
      <c r="F336" s="1804"/>
      <c r="G336" s="1804"/>
      <c r="H336" s="1804"/>
      <c r="I336" s="1804"/>
      <c r="J336" s="1804"/>
      <c r="K336" s="2031"/>
      <c r="L336" s="1804"/>
      <c r="M336" s="1804"/>
      <c r="S336" s="730"/>
    </row>
    <row r="337" spans="3:19" ht="13.35" customHeight="1">
      <c r="C337" s="2036" t="s">
        <v>238</v>
      </c>
      <c r="F337" s="1804"/>
      <c r="G337" s="1804"/>
      <c r="H337" s="1804"/>
      <c r="I337" s="1804"/>
      <c r="J337" s="1804"/>
      <c r="K337" s="2031"/>
      <c r="L337" s="1804"/>
      <c r="M337" s="1804"/>
      <c r="S337" s="730"/>
    </row>
    <row r="338" spans="3:19" ht="13.35" customHeight="1">
      <c r="C338" s="2036"/>
      <c r="F338" s="1804"/>
      <c r="G338" s="1804"/>
      <c r="H338" s="1804"/>
      <c r="I338" s="1804"/>
      <c r="J338" s="1804"/>
      <c r="K338" s="2031"/>
      <c r="L338" s="1804"/>
      <c r="M338" s="1804"/>
      <c r="S338" s="730"/>
    </row>
    <row r="339" spans="3:19" ht="13.35" customHeight="1">
      <c r="C339" s="2036"/>
      <c r="F339" s="1804"/>
      <c r="G339" s="1804"/>
      <c r="H339" s="1804"/>
      <c r="I339" s="1804"/>
      <c r="J339" s="1804"/>
      <c r="K339" s="2031"/>
      <c r="L339" s="1804"/>
      <c r="M339" s="1804"/>
      <c r="S339" s="730"/>
    </row>
    <row r="340" spans="3:19" ht="13.35" customHeight="1">
      <c r="C340" s="2036"/>
      <c r="F340" s="1804"/>
      <c r="G340" s="1804"/>
      <c r="H340" s="1804"/>
      <c r="I340" s="1804"/>
      <c r="J340" s="1804"/>
      <c r="K340" s="2031"/>
      <c r="L340" s="1804"/>
      <c r="M340" s="1804"/>
      <c r="S340" s="730"/>
    </row>
    <row r="341" spans="3:19" ht="13.35" customHeight="1">
      <c r="C341" s="2036"/>
      <c r="F341" s="1804"/>
      <c r="G341" s="1804"/>
      <c r="H341" s="1804"/>
      <c r="I341" s="1804"/>
      <c r="J341" s="1804"/>
      <c r="K341" s="2031"/>
      <c r="L341" s="1804"/>
      <c r="M341" s="1804"/>
      <c r="S341" s="730"/>
    </row>
    <row r="342" spans="3:19" ht="13.35" customHeight="1">
      <c r="C342" s="2036"/>
      <c r="F342" s="1804"/>
      <c r="G342" s="1804"/>
      <c r="H342" s="1804"/>
      <c r="I342" s="1804"/>
      <c r="J342" s="1804"/>
      <c r="K342" s="2031"/>
      <c r="L342" s="1804"/>
      <c r="M342" s="1804"/>
      <c r="S342" s="730"/>
    </row>
    <row r="343" spans="3:19" ht="13.35" customHeight="1">
      <c r="C343" s="2036"/>
      <c r="F343" s="667"/>
      <c r="G343" s="667"/>
      <c r="H343" s="667"/>
      <c r="I343" s="667"/>
      <c r="J343" s="667"/>
      <c r="K343" s="2031"/>
      <c r="L343" s="667"/>
      <c r="M343" s="667"/>
      <c r="S343" s="730"/>
    </row>
    <row r="344" spans="3:19" ht="13.35" customHeight="1">
      <c r="C344" s="2036"/>
      <c r="F344" s="667"/>
      <c r="G344" s="667"/>
      <c r="H344" s="667"/>
      <c r="I344" s="667"/>
      <c r="J344" s="667"/>
      <c r="K344" s="2031"/>
      <c r="L344" s="667"/>
      <c r="M344" s="667"/>
      <c r="S344" s="730"/>
    </row>
    <row r="345" spans="3:19" ht="13.35" customHeight="1">
      <c r="C345" s="2036"/>
      <c r="F345" s="667"/>
      <c r="G345" s="667"/>
      <c r="H345" s="667"/>
      <c r="I345" s="667"/>
      <c r="J345" s="667"/>
      <c r="K345" s="2031"/>
      <c r="L345" s="667"/>
      <c r="M345" s="667"/>
      <c r="S345" s="730"/>
    </row>
    <row r="346" spans="3:19" ht="13.35" customHeight="1">
      <c r="C346" s="2036"/>
      <c r="F346" s="667"/>
      <c r="G346" s="667"/>
      <c r="H346" s="667"/>
      <c r="I346" s="667"/>
      <c r="J346" s="667"/>
      <c r="K346" s="2031"/>
      <c r="L346" s="667"/>
      <c r="M346" s="667"/>
      <c r="S346" s="730"/>
    </row>
    <row r="347" spans="3:19" ht="13.35" customHeight="1">
      <c r="C347" s="2036"/>
      <c r="F347" s="667"/>
      <c r="G347" s="667"/>
      <c r="H347" s="667"/>
      <c r="I347" s="667"/>
      <c r="J347" s="667"/>
      <c r="K347" s="2031"/>
      <c r="L347" s="667"/>
      <c r="M347" s="667"/>
      <c r="S347" s="730"/>
    </row>
    <row r="348" spans="3:19" ht="13.35" customHeight="1">
      <c r="C348" s="2036"/>
      <c r="F348" s="667"/>
      <c r="G348" s="667"/>
      <c r="H348" s="667"/>
      <c r="I348" s="667"/>
      <c r="J348" s="667"/>
      <c r="K348" s="2031"/>
      <c r="L348" s="667"/>
      <c r="M348" s="667"/>
      <c r="S348" s="730"/>
    </row>
    <row r="349" spans="3:19" ht="13.35" customHeight="1">
      <c r="C349" s="2036"/>
      <c r="F349" s="667"/>
      <c r="G349" s="667"/>
      <c r="H349" s="667"/>
      <c r="I349" s="667"/>
      <c r="J349" s="667"/>
      <c r="K349" s="2031"/>
      <c r="L349" s="667"/>
      <c r="M349" s="667"/>
      <c r="S349" s="730"/>
    </row>
    <row r="350" spans="3:19" ht="13.35" customHeight="1">
      <c r="C350" s="2036"/>
      <c r="F350" s="667"/>
      <c r="G350" s="667"/>
      <c r="H350" s="667"/>
      <c r="I350" s="667"/>
      <c r="J350" s="667"/>
      <c r="K350" s="2031"/>
      <c r="L350" s="667"/>
      <c r="M350" s="667"/>
      <c r="S350" s="730"/>
    </row>
    <row r="351" spans="3:19" ht="13.35" customHeight="1">
      <c r="C351" s="2036"/>
      <c r="F351" s="667"/>
      <c r="G351" s="667"/>
      <c r="H351" s="667"/>
      <c r="I351" s="667"/>
      <c r="J351" s="667"/>
      <c r="K351" s="2031"/>
      <c r="L351" s="667"/>
      <c r="M351" s="667"/>
      <c r="S351" s="730"/>
    </row>
    <row r="352" spans="3:19" ht="13.35" customHeight="1">
      <c r="C352" s="2036"/>
      <c r="F352" s="667"/>
      <c r="G352" s="667"/>
      <c r="H352" s="667"/>
      <c r="I352" s="667"/>
      <c r="J352" s="667"/>
      <c r="K352" s="2031"/>
      <c r="L352" s="667"/>
      <c r="M352" s="667"/>
      <c r="S352" s="730"/>
    </row>
    <row r="353" spans="3:19" ht="13.35" customHeight="1">
      <c r="C353" s="2036"/>
      <c r="F353" s="667"/>
      <c r="G353" s="667"/>
      <c r="H353" s="667"/>
      <c r="I353" s="667"/>
      <c r="J353" s="667"/>
      <c r="K353" s="2031"/>
      <c r="L353" s="667"/>
      <c r="M353" s="667"/>
      <c r="S353" s="730"/>
    </row>
    <row r="354" spans="3:19" ht="13.35" customHeight="1">
      <c r="C354" s="2036"/>
      <c r="F354" s="667"/>
      <c r="G354" s="667"/>
      <c r="H354" s="667"/>
      <c r="I354" s="667"/>
      <c r="J354" s="667"/>
      <c r="K354" s="2031"/>
      <c r="L354" s="667"/>
      <c r="M354" s="667"/>
      <c r="S354" s="730"/>
    </row>
    <row r="355" spans="3:19" ht="13.35" customHeight="1">
      <c r="C355" s="2036"/>
      <c r="F355" s="667"/>
      <c r="G355" s="667"/>
      <c r="H355" s="667"/>
      <c r="I355" s="667"/>
      <c r="J355" s="667"/>
      <c r="K355" s="2031"/>
      <c r="L355" s="667"/>
      <c r="M355" s="667"/>
      <c r="S355" s="730"/>
    </row>
    <row r="356" spans="3:19" ht="13.35" customHeight="1">
      <c r="C356" s="2036"/>
      <c r="F356" s="667"/>
      <c r="G356" s="667"/>
      <c r="H356" s="667"/>
      <c r="I356" s="667"/>
      <c r="J356" s="667"/>
      <c r="K356" s="2031"/>
      <c r="L356" s="667"/>
      <c r="M356" s="667"/>
      <c r="S356" s="730"/>
    </row>
    <row r="357" spans="3:19" ht="13.35" customHeight="1">
      <c r="C357" s="2036"/>
      <c r="F357" s="667"/>
      <c r="G357" s="667"/>
      <c r="H357" s="667"/>
      <c r="I357" s="667"/>
      <c r="J357" s="667"/>
      <c r="K357" s="2031"/>
      <c r="L357" s="667"/>
      <c r="M357" s="667"/>
      <c r="S357" s="730"/>
    </row>
    <row r="358" spans="3:19" ht="13.35" customHeight="1">
      <c r="C358" s="2036"/>
      <c r="F358" s="667"/>
      <c r="G358" s="667"/>
      <c r="H358" s="667"/>
      <c r="I358" s="667"/>
      <c r="J358" s="667"/>
      <c r="K358" s="2031"/>
      <c r="L358" s="667"/>
      <c r="M358" s="667"/>
      <c r="S358" s="730"/>
    </row>
    <row r="359" spans="3:19" ht="13.35" customHeight="1">
      <c r="C359" s="2036"/>
      <c r="F359" s="667"/>
      <c r="G359" s="667"/>
      <c r="H359" s="667"/>
      <c r="I359" s="667"/>
      <c r="J359" s="667"/>
      <c r="K359" s="2031"/>
      <c r="L359" s="667"/>
      <c r="M359" s="667"/>
      <c r="S359" s="730"/>
    </row>
    <row r="360" spans="3:19" ht="13.35" customHeight="1">
      <c r="C360" s="2036"/>
      <c r="F360" s="667"/>
      <c r="G360" s="667"/>
      <c r="H360" s="667"/>
      <c r="I360" s="667"/>
      <c r="J360" s="667"/>
      <c r="K360" s="2031"/>
      <c r="L360" s="667"/>
      <c r="M360" s="667"/>
      <c r="S360" s="730"/>
    </row>
    <row r="361" spans="3:19" ht="13.35" customHeight="1">
      <c r="C361" s="2036"/>
      <c r="F361" s="667"/>
      <c r="G361" s="667"/>
      <c r="H361" s="667"/>
      <c r="I361" s="667"/>
      <c r="J361" s="667"/>
      <c r="K361" s="2031"/>
      <c r="L361" s="667"/>
      <c r="M361" s="667"/>
      <c r="S361" s="730"/>
    </row>
    <row r="362" spans="3:19" ht="13.35" customHeight="1">
      <c r="C362" s="2036"/>
      <c r="F362" s="667"/>
      <c r="G362" s="667"/>
      <c r="H362" s="667"/>
      <c r="I362" s="667"/>
      <c r="J362" s="667"/>
      <c r="K362" s="2031"/>
      <c r="L362" s="667"/>
      <c r="M362" s="667"/>
      <c r="S362" s="730"/>
    </row>
    <row r="363" spans="3:19" ht="13.35" customHeight="1">
      <c r="C363" s="2036"/>
      <c r="F363" s="667"/>
      <c r="G363" s="667"/>
      <c r="H363" s="667"/>
      <c r="I363" s="667"/>
      <c r="J363" s="667"/>
      <c r="K363" s="2031"/>
      <c r="L363" s="667"/>
      <c r="M363" s="667"/>
      <c r="S363" s="730"/>
    </row>
    <row r="364" spans="3:19" ht="13.35" customHeight="1">
      <c r="C364" s="2036"/>
      <c r="F364" s="667"/>
      <c r="G364" s="667"/>
      <c r="H364" s="667"/>
      <c r="I364" s="667"/>
      <c r="J364" s="667"/>
      <c r="K364" s="2031"/>
      <c r="L364" s="667"/>
      <c r="M364" s="667"/>
      <c r="S364" s="730"/>
    </row>
    <row r="365" spans="3:19" ht="13.35" customHeight="1">
      <c r="C365" s="2036"/>
      <c r="F365" s="667"/>
      <c r="G365" s="667"/>
      <c r="H365" s="667"/>
      <c r="I365" s="667"/>
      <c r="J365" s="667"/>
      <c r="K365" s="2031"/>
      <c r="L365" s="667"/>
      <c r="M365" s="667"/>
      <c r="S365" s="730"/>
    </row>
    <row r="366" spans="3:19" ht="13.35" customHeight="1">
      <c r="C366" s="2036"/>
      <c r="F366" s="667"/>
      <c r="G366" s="667"/>
      <c r="H366" s="667"/>
      <c r="I366" s="667"/>
      <c r="J366" s="667"/>
      <c r="K366" s="2031"/>
      <c r="L366" s="667"/>
      <c r="M366" s="667"/>
      <c r="S366" s="730"/>
    </row>
    <row r="367" spans="3:19" ht="13.35" customHeight="1">
      <c r="C367" s="2036"/>
      <c r="F367" s="667"/>
      <c r="G367" s="667"/>
      <c r="H367" s="667"/>
      <c r="I367" s="667"/>
      <c r="J367" s="667"/>
      <c r="K367" s="2031"/>
      <c r="L367" s="667"/>
      <c r="M367" s="667"/>
      <c r="S367" s="730"/>
    </row>
    <row r="368" spans="3:19" ht="13.35" customHeight="1">
      <c r="C368" s="2036"/>
      <c r="F368" s="667"/>
      <c r="G368" s="667"/>
      <c r="H368" s="667"/>
      <c r="I368" s="667"/>
      <c r="J368" s="667"/>
      <c r="K368" s="2031"/>
      <c r="L368" s="667"/>
      <c r="M368" s="667"/>
      <c r="S368" s="730"/>
    </row>
    <row r="369" spans="3:19" ht="13.35" customHeight="1">
      <c r="C369" s="2036"/>
      <c r="F369" s="667"/>
      <c r="G369" s="667"/>
      <c r="H369" s="667"/>
      <c r="I369" s="667"/>
      <c r="J369" s="667"/>
      <c r="K369" s="2031"/>
      <c r="L369" s="667"/>
      <c r="M369" s="667"/>
      <c r="S369" s="730"/>
    </row>
    <row r="370" spans="3:19" ht="13.35" customHeight="1">
      <c r="C370" s="2036"/>
      <c r="F370" s="667"/>
      <c r="G370" s="667"/>
      <c r="H370" s="667"/>
      <c r="I370" s="667"/>
      <c r="J370" s="667"/>
      <c r="K370" s="2031"/>
      <c r="L370" s="667"/>
      <c r="M370" s="667"/>
      <c r="S370" s="730"/>
    </row>
    <row r="371" spans="3:19" ht="13.35" customHeight="1">
      <c r="C371" s="2036"/>
      <c r="F371" s="667"/>
      <c r="G371" s="667"/>
      <c r="H371" s="667"/>
      <c r="I371" s="667"/>
      <c r="J371" s="667"/>
      <c r="K371" s="2031"/>
      <c r="L371" s="667"/>
      <c r="M371" s="667"/>
      <c r="S371" s="730"/>
    </row>
    <row r="372" spans="3:19" ht="13.35" customHeight="1">
      <c r="C372" s="2036"/>
      <c r="F372" s="667"/>
      <c r="G372" s="667"/>
      <c r="H372" s="667"/>
      <c r="I372" s="667"/>
      <c r="J372" s="667"/>
      <c r="K372" s="2031"/>
      <c r="L372" s="667"/>
      <c r="M372" s="667"/>
      <c r="S372" s="730"/>
    </row>
    <row r="373" spans="3:19" ht="13.35" customHeight="1">
      <c r="C373" s="2036"/>
      <c r="F373" s="667"/>
      <c r="G373" s="667"/>
      <c r="H373" s="667"/>
      <c r="I373" s="667"/>
      <c r="J373" s="667"/>
      <c r="K373" s="2031"/>
      <c r="L373" s="667"/>
      <c r="M373" s="667"/>
      <c r="S373" s="730"/>
    </row>
    <row r="374" spans="3:19" ht="13.35" customHeight="1">
      <c r="C374" s="2036"/>
      <c r="F374" s="667"/>
      <c r="G374" s="667"/>
      <c r="H374" s="667"/>
      <c r="I374" s="667"/>
      <c r="J374" s="667"/>
      <c r="K374" s="2031"/>
      <c r="L374" s="667"/>
      <c r="M374" s="667"/>
      <c r="S374" s="730"/>
    </row>
    <row r="375" spans="3:19" ht="13.35" customHeight="1">
      <c r="C375" s="2036"/>
      <c r="F375" s="667"/>
      <c r="G375" s="667"/>
      <c r="H375" s="667"/>
      <c r="I375" s="667"/>
      <c r="J375" s="667"/>
      <c r="K375" s="2031"/>
      <c r="L375" s="667"/>
      <c r="M375" s="667"/>
      <c r="S375" s="730"/>
    </row>
    <row r="376" spans="3:19" ht="13.35" customHeight="1">
      <c r="C376" s="2036"/>
      <c r="F376" s="667"/>
      <c r="G376" s="667"/>
      <c r="H376" s="667"/>
      <c r="I376" s="667"/>
      <c r="J376" s="667"/>
      <c r="K376" s="2031"/>
      <c r="L376" s="667"/>
      <c r="M376" s="667"/>
      <c r="S376" s="730"/>
    </row>
    <row r="377" spans="3:19" ht="13.35" customHeight="1">
      <c r="C377" s="2036"/>
      <c r="F377" s="667"/>
      <c r="G377" s="667"/>
      <c r="H377" s="667"/>
      <c r="I377" s="667"/>
      <c r="J377" s="667"/>
      <c r="K377" s="2031"/>
      <c r="L377" s="667"/>
      <c r="M377" s="667"/>
      <c r="S377" s="730"/>
    </row>
    <row r="378" spans="3:19" ht="13.35" customHeight="1">
      <c r="C378" s="2036"/>
      <c r="F378" s="667"/>
      <c r="G378" s="667"/>
      <c r="H378" s="667"/>
      <c r="I378" s="667"/>
      <c r="J378" s="667"/>
      <c r="K378" s="2031"/>
      <c r="L378" s="667"/>
      <c r="M378" s="667"/>
      <c r="S378" s="730"/>
    </row>
    <row r="379" spans="3:19" ht="13.35" customHeight="1">
      <c r="C379" s="2036"/>
      <c r="F379" s="667"/>
      <c r="G379" s="667"/>
      <c r="H379" s="667"/>
      <c r="I379" s="667"/>
      <c r="J379" s="667"/>
      <c r="K379" s="2031"/>
      <c r="L379" s="667"/>
      <c r="M379" s="667"/>
      <c r="S379" s="730"/>
    </row>
    <row r="380" spans="3:19" ht="13.35" customHeight="1">
      <c r="C380" s="2036"/>
      <c r="F380" s="667"/>
      <c r="G380" s="667"/>
      <c r="H380" s="667"/>
      <c r="I380" s="667"/>
      <c r="J380" s="667"/>
      <c r="K380" s="2031"/>
      <c r="L380" s="667"/>
      <c r="M380" s="667"/>
      <c r="S380" s="730"/>
    </row>
    <row r="381" spans="3:19" ht="13.35" customHeight="1">
      <c r="C381" s="2036"/>
      <c r="F381" s="667"/>
      <c r="G381" s="667"/>
      <c r="H381" s="667"/>
      <c r="I381" s="667"/>
      <c r="J381" s="667"/>
      <c r="K381" s="2031"/>
      <c r="L381" s="667"/>
      <c r="M381" s="667"/>
      <c r="S381" s="730"/>
    </row>
    <row r="382" spans="3:19" ht="13.35" customHeight="1">
      <c r="C382" s="2036"/>
      <c r="F382" s="667"/>
      <c r="G382" s="667"/>
      <c r="H382" s="667"/>
      <c r="I382" s="667"/>
      <c r="J382" s="667"/>
      <c r="K382" s="2031"/>
      <c r="L382" s="667"/>
      <c r="M382" s="667"/>
      <c r="S382" s="730"/>
    </row>
    <row r="383" spans="3:19" ht="13.35" customHeight="1">
      <c r="C383" s="2036"/>
      <c r="F383" s="667"/>
      <c r="G383" s="667"/>
      <c r="H383" s="667"/>
      <c r="I383" s="667"/>
      <c r="J383" s="667"/>
      <c r="K383" s="2031"/>
      <c r="L383" s="667"/>
      <c r="M383" s="667"/>
      <c r="S383" s="730"/>
    </row>
    <row r="384" spans="3:19" ht="13.35" customHeight="1">
      <c r="C384" s="2036"/>
      <c r="F384" s="667"/>
      <c r="G384" s="667"/>
      <c r="H384" s="667"/>
      <c r="I384" s="667"/>
      <c r="J384" s="667"/>
      <c r="K384" s="2031"/>
      <c r="L384" s="667"/>
      <c r="M384" s="667"/>
      <c r="S384" s="730"/>
    </row>
    <row r="385" spans="3:19" ht="13.35" customHeight="1">
      <c r="C385" s="2036"/>
      <c r="F385" s="667"/>
      <c r="G385" s="667"/>
      <c r="H385" s="667"/>
      <c r="I385" s="667"/>
      <c r="J385" s="667"/>
      <c r="K385" s="2031"/>
      <c r="L385" s="667"/>
      <c r="M385" s="667"/>
      <c r="S385" s="730"/>
    </row>
    <row r="386" spans="3:19" ht="13.35" customHeight="1">
      <c r="C386" s="2036"/>
      <c r="F386" s="667"/>
      <c r="G386" s="667"/>
      <c r="H386" s="667"/>
      <c r="I386" s="667"/>
      <c r="J386" s="667"/>
      <c r="K386" s="2031"/>
      <c r="L386" s="667"/>
      <c r="M386" s="667"/>
      <c r="S386" s="730"/>
    </row>
    <row r="387" spans="3:19" ht="13.35" customHeight="1">
      <c r="C387" s="2036"/>
      <c r="F387" s="667"/>
      <c r="G387" s="667"/>
      <c r="H387" s="667"/>
      <c r="I387" s="667"/>
      <c r="J387" s="667"/>
      <c r="K387" s="2031"/>
      <c r="L387" s="667"/>
      <c r="M387" s="667"/>
      <c r="S387" s="730"/>
    </row>
    <row r="388" spans="3:19" ht="13.35" customHeight="1">
      <c r="C388" s="2036"/>
      <c r="F388" s="667"/>
      <c r="G388" s="667"/>
      <c r="H388" s="667"/>
      <c r="I388" s="667"/>
      <c r="J388" s="667"/>
      <c r="K388" s="2031"/>
      <c r="L388" s="667"/>
      <c r="M388" s="667"/>
      <c r="S388" s="730"/>
    </row>
    <row r="389" spans="3:19" ht="13.35" customHeight="1">
      <c r="C389" s="2036"/>
      <c r="F389" s="667"/>
      <c r="G389" s="667"/>
      <c r="H389" s="667"/>
      <c r="I389" s="667"/>
      <c r="J389" s="667"/>
      <c r="K389" s="2031"/>
      <c r="L389" s="667"/>
      <c r="M389" s="667"/>
      <c r="S389" s="730"/>
    </row>
    <row r="390" spans="3:19" ht="13.35" customHeight="1">
      <c r="C390" s="2036"/>
      <c r="F390" s="667"/>
      <c r="G390" s="667"/>
      <c r="H390" s="667"/>
      <c r="I390" s="667"/>
      <c r="J390" s="667"/>
      <c r="K390" s="2031"/>
      <c r="L390" s="667"/>
      <c r="M390" s="667"/>
      <c r="S390" s="730"/>
    </row>
    <row r="391" spans="3:19" ht="13.35" customHeight="1">
      <c r="C391" s="2036"/>
      <c r="F391" s="667"/>
      <c r="G391" s="667"/>
      <c r="H391" s="667"/>
      <c r="I391" s="667"/>
      <c r="J391" s="667"/>
      <c r="K391" s="2031"/>
      <c r="L391" s="667"/>
      <c r="M391" s="667"/>
      <c r="S391" s="730"/>
    </row>
    <row r="392" spans="3:19" ht="13.35" customHeight="1">
      <c r="C392" s="2036"/>
      <c r="F392" s="667"/>
      <c r="G392" s="667"/>
      <c r="H392" s="667"/>
      <c r="I392" s="667"/>
      <c r="J392" s="667"/>
      <c r="K392" s="2031"/>
      <c r="L392" s="667"/>
      <c r="M392" s="667"/>
      <c r="S392" s="730"/>
    </row>
    <row r="393" spans="3:19" ht="13.35" customHeight="1">
      <c r="C393" s="2036"/>
      <c r="F393" s="667"/>
      <c r="G393" s="667"/>
      <c r="H393" s="667"/>
      <c r="I393" s="667"/>
      <c r="J393" s="667"/>
      <c r="K393" s="2031"/>
      <c r="L393" s="667"/>
      <c r="M393" s="667"/>
      <c r="S393" s="730"/>
    </row>
    <row r="394" spans="3:19" ht="13.35" customHeight="1">
      <c r="C394" s="2036"/>
      <c r="F394" s="667"/>
      <c r="G394" s="667"/>
      <c r="H394" s="667"/>
      <c r="I394" s="667"/>
      <c r="J394" s="667"/>
      <c r="K394" s="2031"/>
      <c r="L394" s="667"/>
      <c r="M394" s="667"/>
      <c r="S394" s="730"/>
    </row>
    <row r="395" spans="3:19" ht="13.35" customHeight="1">
      <c r="C395" s="2036"/>
      <c r="F395" s="667"/>
      <c r="G395" s="667"/>
      <c r="H395" s="667"/>
      <c r="I395" s="667"/>
      <c r="J395" s="667"/>
      <c r="K395" s="2031"/>
      <c r="L395" s="667"/>
      <c r="M395" s="667"/>
      <c r="S395" s="730"/>
    </row>
    <row r="396" spans="3:19" ht="13.35" customHeight="1">
      <c r="C396" s="2036"/>
      <c r="K396" s="737"/>
      <c r="S396" s="730"/>
    </row>
    <row r="397" spans="3:19" ht="13.35" customHeight="1">
      <c r="C397" s="2036"/>
      <c r="K397" s="737"/>
      <c r="S397" s="730"/>
    </row>
    <row r="398" spans="3:19" ht="13.35" customHeight="1">
      <c r="C398" s="2036"/>
      <c r="K398" s="737"/>
      <c r="S398" s="730"/>
    </row>
    <row r="399" spans="3:19" ht="13.35" customHeight="1">
      <c r="C399" s="2036"/>
      <c r="K399" s="737"/>
      <c r="S399" s="730"/>
    </row>
    <row r="400" spans="3:19" ht="13.35" customHeight="1">
      <c r="C400" s="2036"/>
      <c r="K400" s="737"/>
      <c r="S400" s="730"/>
    </row>
    <row r="401" spans="3:19" ht="13.35" customHeight="1">
      <c r="C401" s="2036"/>
      <c r="K401" s="737"/>
      <c r="S401" s="730"/>
    </row>
    <row r="402" spans="3:19" ht="13.35" customHeight="1">
      <c r="C402" s="2036"/>
      <c r="K402" s="737"/>
      <c r="S402" s="730"/>
    </row>
    <row r="403" spans="3:19" ht="13.35" customHeight="1">
      <c r="C403" s="2036"/>
      <c r="K403" s="737"/>
      <c r="S403" s="730"/>
    </row>
    <row r="404" spans="3:19" ht="13.35" customHeight="1">
      <c r="C404" s="2036"/>
      <c r="K404" s="737"/>
      <c r="S404" s="730"/>
    </row>
    <row r="405" spans="3:19" ht="13.35" customHeight="1">
      <c r="C405" s="2036"/>
      <c r="K405" s="737"/>
      <c r="S405" s="730"/>
    </row>
    <row r="406" spans="3:19" ht="13.35" customHeight="1">
      <c r="C406" s="2036"/>
      <c r="K406" s="737"/>
      <c r="S406" s="730"/>
    </row>
    <row r="407" spans="3:19" ht="13.35" customHeight="1">
      <c r="C407" s="2036"/>
      <c r="K407" s="737"/>
      <c r="S407" s="730"/>
    </row>
    <row r="408" spans="3:19" ht="13.35" customHeight="1">
      <c r="C408" s="2036"/>
      <c r="K408" s="737"/>
      <c r="S408" s="730"/>
    </row>
    <row r="409" spans="3:19" ht="13.35" customHeight="1">
      <c r="C409" s="2036"/>
      <c r="K409" s="737"/>
      <c r="S409" s="730"/>
    </row>
    <row r="410" spans="3:19" ht="13.35" customHeight="1">
      <c r="C410" s="2036"/>
      <c r="K410" s="737"/>
      <c r="S410" s="730"/>
    </row>
    <row r="411" spans="3:19" ht="13.35" customHeight="1">
      <c r="C411" s="2036"/>
      <c r="K411" s="737"/>
      <c r="S411" s="730"/>
    </row>
    <row r="412" spans="3:19" ht="13.35" customHeight="1">
      <c r="C412" s="2036"/>
      <c r="K412" s="737"/>
      <c r="S412" s="730"/>
    </row>
    <row r="413" spans="3:19" ht="13.35" customHeight="1">
      <c r="C413" s="2036"/>
      <c r="K413" s="737"/>
      <c r="S413" s="730"/>
    </row>
    <row r="414" spans="3:19" ht="13.35" customHeight="1">
      <c r="C414" s="2036"/>
      <c r="K414" s="737"/>
      <c r="S414" s="730"/>
    </row>
    <row r="415" spans="3:19" ht="13.35" customHeight="1">
      <c r="C415" s="2036"/>
      <c r="K415" s="737"/>
      <c r="S415" s="730"/>
    </row>
    <row r="416" spans="3:19" ht="13.35" customHeight="1">
      <c r="C416" s="2036"/>
      <c r="K416" s="737"/>
      <c r="S416" s="730"/>
    </row>
    <row r="417" spans="3:19" ht="13.35" customHeight="1">
      <c r="C417" s="2036" t="s">
        <v>238</v>
      </c>
      <c r="K417" s="737"/>
      <c r="S417" s="730"/>
    </row>
    <row r="418" spans="3:19" ht="13.35" customHeight="1">
      <c r="C418" s="2036"/>
      <c r="K418" s="737"/>
      <c r="S418" s="730"/>
    </row>
    <row r="419" spans="3:19" ht="13.35" customHeight="1">
      <c r="C419" s="2036"/>
      <c r="K419" s="737"/>
      <c r="S419" s="730"/>
    </row>
    <row r="420" spans="3:19" ht="13.35" customHeight="1">
      <c r="C420" s="2036"/>
      <c r="K420" s="737"/>
      <c r="S420" s="730"/>
    </row>
    <row r="421" spans="3:19" ht="13.35" customHeight="1">
      <c r="C421" s="2036"/>
      <c r="K421" s="737"/>
      <c r="S421" s="730"/>
    </row>
    <row r="422" spans="3:19" ht="13.35" customHeight="1">
      <c r="C422" s="2036"/>
      <c r="K422" s="737"/>
      <c r="S422" s="730"/>
    </row>
    <row r="423" spans="3:19" ht="13.35" customHeight="1">
      <c r="C423" s="2036"/>
      <c r="K423" s="737"/>
      <c r="S423" s="730"/>
    </row>
    <row r="424" spans="3:19" ht="13.35" customHeight="1">
      <c r="C424" s="2036"/>
      <c r="K424" s="737"/>
      <c r="S424" s="730"/>
    </row>
    <row r="425" spans="3:19" ht="13.35" customHeight="1">
      <c r="C425" s="2036"/>
      <c r="K425" s="737"/>
      <c r="S425" s="730"/>
    </row>
    <row r="426" spans="3:19" ht="13.35" customHeight="1">
      <c r="C426" s="2036"/>
      <c r="K426" s="737"/>
      <c r="S426" s="730"/>
    </row>
    <row r="427" spans="3:19" ht="13.35" customHeight="1">
      <c r="C427" s="2036"/>
      <c r="K427" s="737"/>
      <c r="S427" s="730"/>
    </row>
    <row r="428" spans="3:19" ht="13.35" customHeight="1">
      <c r="C428" s="2036"/>
      <c r="K428" s="737"/>
      <c r="S428" s="730"/>
    </row>
    <row r="429" spans="3:19" ht="13.35" customHeight="1">
      <c r="C429" s="2036"/>
      <c r="K429" s="737"/>
      <c r="S429" s="730"/>
    </row>
    <row r="430" spans="3:19" ht="13.35" customHeight="1">
      <c r="C430" s="2036"/>
      <c r="K430" s="737"/>
      <c r="S430" s="730"/>
    </row>
    <row r="431" spans="3:19" ht="13.35" customHeight="1">
      <c r="C431" s="2036"/>
      <c r="K431" s="737"/>
      <c r="S431" s="730"/>
    </row>
    <row r="432" spans="3:19" ht="13.35" customHeight="1">
      <c r="C432" s="2036"/>
      <c r="K432" s="737"/>
      <c r="S432" s="730"/>
    </row>
    <row r="433" spans="3:19" ht="13.35" customHeight="1">
      <c r="C433" s="2036"/>
      <c r="K433" s="737"/>
      <c r="S433" s="730"/>
    </row>
    <row r="434" spans="3:19" ht="13.35" customHeight="1">
      <c r="C434" s="2036"/>
      <c r="K434" s="737"/>
      <c r="S434" s="730"/>
    </row>
    <row r="435" spans="3:19" ht="13.35" customHeight="1">
      <c r="C435" s="2036"/>
      <c r="K435" s="737"/>
      <c r="S435" s="730"/>
    </row>
    <row r="436" spans="3:19" ht="13.35" customHeight="1">
      <c r="C436" s="2036"/>
      <c r="K436" s="737"/>
      <c r="S436" s="730"/>
    </row>
    <row r="437" spans="3:19" ht="13.35" customHeight="1">
      <c r="C437" s="2036"/>
      <c r="K437" s="737"/>
      <c r="S437" s="730"/>
    </row>
    <row r="438" spans="3:19" ht="13.35" customHeight="1">
      <c r="C438" s="2036"/>
      <c r="K438" s="737"/>
      <c r="S438" s="730"/>
    </row>
    <row r="439" spans="3:19" ht="13.35" customHeight="1">
      <c r="C439" s="2036"/>
      <c r="K439" s="737"/>
      <c r="S439" s="730"/>
    </row>
    <row r="440" spans="3:19" ht="13.35" customHeight="1">
      <c r="C440" s="2036"/>
      <c r="K440" s="737"/>
      <c r="S440" s="730"/>
    </row>
    <row r="441" spans="3:19" ht="13.35" customHeight="1">
      <c r="C441" s="2036"/>
      <c r="K441" s="737"/>
      <c r="S441" s="730"/>
    </row>
    <row r="442" spans="3:19" ht="13.35" customHeight="1">
      <c r="C442" s="2036"/>
      <c r="K442" s="737"/>
      <c r="S442" s="730"/>
    </row>
    <row r="443" spans="3:19" ht="13.35" customHeight="1">
      <c r="C443" s="2036"/>
      <c r="K443" s="737"/>
      <c r="S443" s="730"/>
    </row>
    <row r="444" spans="3:19" ht="13.35" customHeight="1">
      <c r="C444" s="2036"/>
      <c r="K444" s="737"/>
      <c r="S444" s="730"/>
    </row>
    <row r="445" spans="3:19" ht="13.35" customHeight="1">
      <c r="C445" s="2036"/>
      <c r="K445" s="737"/>
      <c r="S445" s="730"/>
    </row>
    <row r="446" spans="3:19" ht="13.35" customHeight="1">
      <c r="C446" s="2036"/>
      <c r="K446" s="737"/>
      <c r="S446" s="730"/>
    </row>
    <row r="447" spans="3:19" ht="13.35" customHeight="1">
      <c r="C447" s="2036"/>
      <c r="K447" s="737"/>
      <c r="S447" s="730"/>
    </row>
    <row r="448" spans="3:19" ht="13.35" customHeight="1">
      <c r="C448" s="2036"/>
      <c r="K448" s="737"/>
      <c r="S448" s="730"/>
    </row>
    <row r="449" spans="3:19" ht="13.35" customHeight="1">
      <c r="C449" s="2036"/>
      <c r="K449" s="737"/>
      <c r="S449" s="730"/>
    </row>
    <row r="450" spans="3:19" ht="13.35" customHeight="1">
      <c r="C450" s="2036"/>
      <c r="K450" s="737"/>
      <c r="S450" s="730"/>
    </row>
    <row r="451" spans="3:19" ht="13.35" customHeight="1">
      <c r="C451" s="2036"/>
      <c r="K451" s="737"/>
      <c r="S451" s="730"/>
    </row>
    <row r="452" spans="3:19" ht="13.35" customHeight="1">
      <c r="C452" s="2036"/>
      <c r="K452" s="737"/>
      <c r="S452" s="730"/>
    </row>
    <row r="453" spans="3:19" ht="13.35" customHeight="1">
      <c r="C453" s="2036"/>
      <c r="K453" s="737"/>
      <c r="S453" s="730"/>
    </row>
    <row r="454" spans="3:19" ht="13.35" customHeight="1">
      <c r="C454" s="2036"/>
      <c r="K454" s="737"/>
      <c r="S454" s="730"/>
    </row>
    <row r="455" spans="3:19" ht="13.35" customHeight="1">
      <c r="C455" s="2036"/>
      <c r="K455" s="737"/>
      <c r="S455" s="730"/>
    </row>
    <row r="456" spans="3:19" ht="13.35" customHeight="1">
      <c r="C456" s="2036"/>
      <c r="K456" s="737"/>
      <c r="S456" s="730"/>
    </row>
    <row r="457" spans="3:19" ht="13.35" customHeight="1">
      <c r="C457" s="2036"/>
      <c r="K457" s="737"/>
      <c r="S457" s="730"/>
    </row>
    <row r="458" spans="3:19" ht="13.35" customHeight="1">
      <c r="C458" s="2036"/>
      <c r="K458" s="737"/>
      <c r="S458" s="730"/>
    </row>
    <row r="459" spans="3:19" ht="13.35" customHeight="1">
      <c r="C459" s="2036"/>
      <c r="K459" s="737"/>
      <c r="S459" s="730"/>
    </row>
    <row r="460" spans="3:19" ht="13.35" customHeight="1">
      <c r="C460" s="2036"/>
      <c r="K460" s="737"/>
      <c r="S460" s="730"/>
    </row>
    <row r="461" spans="3:19" ht="13.35" customHeight="1">
      <c r="C461" s="2036"/>
      <c r="K461" s="737"/>
      <c r="S461" s="730"/>
    </row>
    <row r="462" spans="3:19" ht="13.35" customHeight="1">
      <c r="C462" s="2036"/>
      <c r="K462" s="737"/>
      <c r="S462" s="730"/>
    </row>
    <row r="463" spans="3:19" ht="13.35" customHeight="1">
      <c r="C463" s="2036"/>
      <c r="K463" s="737"/>
      <c r="S463" s="730"/>
    </row>
    <row r="464" spans="3:19" ht="13.35" customHeight="1">
      <c r="C464" s="2036"/>
      <c r="K464" s="737"/>
      <c r="S464" s="730"/>
    </row>
    <row r="465" spans="3:19" ht="13.35" customHeight="1">
      <c r="C465" s="2036"/>
      <c r="K465" s="737"/>
      <c r="S465" s="730"/>
    </row>
    <row r="466" spans="3:19" ht="13.35" customHeight="1">
      <c r="C466" s="2036"/>
      <c r="K466" s="737"/>
      <c r="S466" s="730"/>
    </row>
    <row r="467" spans="3:19" ht="13.35" customHeight="1">
      <c r="C467" s="2036"/>
      <c r="K467" s="737"/>
      <c r="S467" s="730"/>
    </row>
    <row r="468" spans="3:19" ht="13.35" customHeight="1">
      <c r="C468" s="2036"/>
      <c r="K468" s="737"/>
      <c r="S468" s="730"/>
    </row>
    <row r="469" spans="3:19" ht="13.35" customHeight="1">
      <c r="C469" s="2036"/>
      <c r="K469" s="737"/>
      <c r="S469" s="730"/>
    </row>
    <row r="470" spans="3:19" ht="13.35" customHeight="1">
      <c r="C470" s="2036"/>
      <c r="K470" s="737"/>
      <c r="S470" s="730"/>
    </row>
    <row r="471" spans="3:19" ht="13.35" customHeight="1">
      <c r="C471" s="2036"/>
      <c r="K471" s="737"/>
      <c r="S471" s="730"/>
    </row>
    <row r="472" spans="3:19" ht="13.35" customHeight="1">
      <c r="C472" s="2036"/>
      <c r="K472" s="737"/>
      <c r="S472" s="730"/>
    </row>
    <row r="473" spans="3:19" ht="13.35" customHeight="1">
      <c r="C473" s="2036"/>
      <c r="K473" s="737"/>
      <c r="S473" s="730"/>
    </row>
    <row r="474" spans="3:19" ht="13.35" customHeight="1">
      <c r="C474" s="2036"/>
      <c r="K474" s="737"/>
      <c r="S474" s="730"/>
    </row>
    <row r="475" spans="3:19" ht="13.35" customHeight="1">
      <c r="C475" s="2036"/>
      <c r="K475" s="737"/>
      <c r="S475" s="730"/>
    </row>
    <row r="476" spans="3:19" ht="13.35" customHeight="1">
      <c r="C476" s="2036"/>
      <c r="K476" s="737"/>
      <c r="S476" s="730"/>
    </row>
    <row r="477" spans="3:19" ht="13.35" customHeight="1">
      <c r="C477" s="2036"/>
      <c r="K477" s="737"/>
      <c r="S477" s="730"/>
    </row>
    <row r="478" spans="3:19" ht="13.35" customHeight="1">
      <c r="C478" s="2036"/>
      <c r="K478" s="737"/>
      <c r="S478" s="730"/>
    </row>
    <row r="479" spans="3:19" ht="13.35" customHeight="1">
      <c r="C479" s="2036"/>
      <c r="K479" s="737"/>
      <c r="S479" s="730"/>
    </row>
    <row r="480" spans="3:19" ht="13.35" customHeight="1">
      <c r="C480" s="2036"/>
      <c r="K480" s="737"/>
      <c r="S480" s="730"/>
    </row>
    <row r="481" spans="3:19" ht="13.35" customHeight="1">
      <c r="C481" s="2036"/>
      <c r="K481" s="737"/>
      <c r="S481" s="730"/>
    </row>
    <row r="482" spans="3:19" ht="13.35" customHeight="1">
      <c r="C482" s="2036"/>
      <c r="K482" s="737"/>
      <c r="S482" s="730"/>
    </row>
    <row r="483" spans="3:19" ht="13.35" customHeight="1">
      <c r="C483" s="2036"/>
      <c r="K483" s="737"/>
      <c r="S483" s="730"/>
    </row>
    <row r="484" spans="3:19" ht="13.35" customHeight="1">
      <c r="C484" s="2036"/>
      <c r="K484" s="737"/>
      <c r="S484" s="730"/>
    </row>
    <row r="485" spans="3:19" ht="13.35" customHeight="1">
      <c r="C485" s="2036"/>
      <c r="K485" s="737"/>
      <c r="S485" s="730"/>
    </row>
    <row r="486" spans="3:19" ht="13.35" customHeight="1">
      <c r="C486" s="2036"/>
      <c r="K486" s="737"/>
      <c r="S486" s="730"/>
    </row>
    <row r="487" spans="3:19" ht="13.35" customHeight="1">
      <c r="C487" s="2036"/>
      <c r="K487" s="737"/>
      <c r="S487" s="730"/>
    </row>
    <row r="488" spans="3:19" ht="13.35" customHeight="1">
      <c r="C488" s="2036"/>
      <c r="K488" s="737"/>
      <c r="S488" s="730"/>
    </row>
    <row r="489" spans="3:19" ht="13.35" customHeight="1">
      <c r="C489" s="2036"/>
      <c r="K489" s="737"/>
      <c r="S489" s="730"/>
    </row>
    <row r="490" spans="3:19" ht="13.35" customHeight="1">
      <c r="C490" s="2036"/>
      <c r="K490" s="737"/>
      <c r="S490" s="730"/>
    </row>
    <row r="491" spans="3:19" ht="13.35" customHeight="1">
      <c r="C491" s="2036"/>
      <c r="K491" s="737"/>
      <c r="S491" s="730"/>
    </row>
    <row r="492" spans="3:19" ht="13.35" customHeight="1">
      <c r="C492" s="2036"/>
      <c r="K492" s="737"/>
      <c r="S492" s="730"/>
    </row>
    <row r="493" spans="3:19" ht="13.35" customHeight="1">
      <c r="C493" s="2036"/>
      <c r="K493" s="737"/>
      <c r="S493" s="730"/>
    </row>
    <row r="494" spans="3:19" ht="13.35" customHeight="1">
      <c r="C494" s="2036"/>
      <c r="K494" s="737"/>
      <c r="S494" s="730"/>
    </row>
    <row r="495" spans="3:19" ht="13.35" customHeight="1">
      <c r="C495" s="2036"/>
      <c r="K495" s="737"/>
      <c r="S495" s="730"/>
    </row>
    <row r="496" spans="3:19" ht="13.35" customHeight="1">
      <c r="C496" s="2036" t="s">
        <v>238</v>
      </c>
      <c r="K496" s="737"/>
      <c r="S496" s="730"/>
    </row>
    <row r="497" spans="3:19" ht="13.35" customHeight="1">
      <c r="C497" s="2036"/>
      <c r="K497" s="737"/>
      <c r="S497" s="730"/>
    </row>
    <row r="498" spans="3:19" ht="13.35" customHeight="1">
      <c r="C498" s="2036"/>
      <c r="K498" s="737"/>
      <c r="S498" s="730"/>
    </row>
    <row r="499" spans="3:19" ht="13.35" customHeight="1">
      <c r="C499" s="2036"/>
      <c r="K499" s="737"/>
      <c r="S499" s="730"/>
    </row>
    <row r="500" spans="3:19" ht="13.35" customHeight="1">
      <c r="C500" s="2036"/>
      <c r="K500" s="737"/>
      <c r="S500" s="730"/>
    </row>
    <row r="501" spans="3:19" ht="13.35" customHeight="1">
      <c r="C501" s="2036"/>
      <c r="K501" s="737"/>
      <c r="S501" s="730"/>
    </row>
    <row r="502" spans="3:19" ht="13.35" customHeight="1">
      <c r="C502" s="2036"/>
      <c r="K502" s="737"/>
      <c r="S502" s="730"/>
    </row>
    <row r="503" spans="3:19" ht="13.35" customHeight="1">
      <c r="C503" s="2036"/>
      <c r="K503" s="737"/>
      <c r="S503" s="730"/>
    </row>
    <row r="504" spans="3:19" ht="13.35" customHeight="1">
      <c r="C504" s="2036"/>
      <c r="K504" s="737"/>
      <c r="S504" s="730"/>
    </row>
    <row r="505" spans="3:19" ht="13.35" customHeight="1">
      <c r="C505" s="2036"/>
      <c r="K505" s="737"/>
      <c r="S505" s="730"/>
    </row>
    <row r="506" spans="3:19" ht="13.35" customHeight="1">
      <c r="C506" s="2036"/>
      <c r="K506" s="737"/>
      <c r="S506" s="730"/>
    </row>
    <row r="507" spans="3:19" ht="13.35" customHeight="1">
      <c r="C507" s="2036"/>
      <c r="K507" s="737"/>
      <c r="S507" s="730"/>
    </row>
    <row r="508" spans="3:19" ht="13.35" customHeight="1">
      <c r="C508" s="2036"/>
      <c r="K508" s="737"/>
      <c r="S508" s="730"/>
    </row>
    <row r="509" spans="3:19" ht="13.35" customHeight="1">
      <c r="C509" s="2036"/>
      <c r="K509" s="737"/>
      <c r="S509" s="730"/>
    </row>
    <row r="510" spans="3:19" ht="13.35" customHeight="1">
      <c r="C510" s="2036"/>
      <c r="K510" s="737"/>
      <c r="S510" s="730"/>
    </row>
    <row r="511" spans="3:19" ht="13.35" customHeight="1">
      <c r="C511" s="2036"/>
      <c r="K511" s="737"/>
      <c r="S511" s="730"/>
    </row>
    <row r="512" spans="3:19" ht="13.35" customHeight="1">
      <c r="C512" s="2036"/>
      <c r="K512" s="737"/>
      <c r="S512" s="730"/>
    </row>
    <row r="513" spans="3:19" ht="13.35" customHeight="1">
      <c r="C513" s="2036"/>
      <c r="K513" s="737"/>
      <c r="S513" s="730"/>
    </row>
    <row r="514" spans="3:19" ht="13.35" customHeight="1">
      <c r="C514" s="2036"/>
      <c r="K514" s="737"/>
      <c r="S514" s="730"/>
    </row>
    <row r="515" spans="3:19" ht="13.35" customHeight="1">
      <c r="C515" s="2036"/>
      <c r="K515" s="737"/>
      <c r="S515" s="730"/>
    </row>
    <row r="516" spans="3:19" ht="13.35" customHeight="1">
      <c r="C516" s="2036"/>
      <c r="K516" s="737"/>
      <c r="S516" s="730"/>
    </row>
    <row r="517" spans="3:19" ht="13.35" customHeight="1">
      <c r="C517" s="2036"/>
      <c r="K517" s="737"/>
      <c r="S517" s="730"/>
    </row>
    <row r="518" spans="3:19" ht="13.35" customHeight="1">
      <c r="C518" s="2036"/>
      <c r="K518" s="737"/>
      <c r="S518" s="730"/>
    </row>
    <row r="519" spans="3:19" ht="13.35" customHeight="1">
      <c r="C519" s="2036"/>
      <c r="K519" s="737"/>
      <c r="S519" s="730"/>
    </row>
    <row r="520" spans="3:19" ht="13.35" customHeight="1">
      <c r="C520" s="2036"/>
      <c r="K520" s="737"/>
      <c r="S520" s="730"/>
    </row>
    <row r="521" spans="3:19" ht="13.35" customHeight="1">
      <c r="C521" s="2036"/>
      <c r="K521" s="737"/>
      <c r="S521" s="730"/>
    </row>
    <row r="522" spans="3:19" ht="13.35" customHeight="1">
      <c r="C522" s="2036"/>
      <c r="K522" s="737"/>
      <c r="S522" s="730"/>
    </row>
    <row r="523" spans="3:19" ht="13.35" customHeight="1">
      <c r="C523" s="2036"/>
      <c r="K523" s="737"/>
      <c r="S523" s="730"/>
    </row>
    <row r="524" spans="3:19" ht="13.35" customHeight="1">
      <c r="C524" s="2036"/>
      <c r="K524" s="737"/>
      <c r="S524" s="730"/>
    </row>
    <row r="525" spans="3:19" ht="13.35" customHeight="1">
      <c r="C525" s="2036"/>
      <c r="K525" s="737"/>
      <c r="S525" s="730"/>
    </row>
    <row r="526" spans="3:19" ht="13.35" customHeight="1">
      <c r="C526" s="2036"/>
      <c r="K526" s="737"/>
      <c r="S526" s="730"/>
    </row>
    <row r="527" spans="3:19" ht="13.35" customHeight="1">
      <c r="C527" s="2036"/>
      <c r="K527" s="737"/>
      <c r="S527" s="730"/>
    </row>
    <row r="528" spans="3:19" ht="13.35" customHeight="1">
      <c r="C528" s="2036"/>
      <c r="K528" s="737"/>
      <c r="S528" s="730"/>
    </row>
    <row r="529" spans="3:19" ht="13.35" customHeight="1">
      <c r="C529" s="2036"/>
      <c r="K529" s="737"/>
      <c r="S529" s="730"/>
    </row>
    <row r="530" spans="3:19" ht="13.35" customHeight="1">
      <c r="C530" s="2036"/>
      <c r="K530" s="737"/>
      <c r="S530" s="730"/>
    </row>
    <row r="531" spans="3:19" ht="13.35" customHeight="1">
      <c r="C531" s="2036"/>
      <c r="K531" s="737"/>
      <c r="S531" s="730"/>
    </row>
    <row r="532" spans="3:19" ht="13.35" customHeight="1">
      <c r="C532" s="2036"/>
      <c r="K532" s="737"/>
      <c r="S532" s="730"/>
    </row>
    <row r="533" spans="3:19" ht="13.35" customHeight="1">
      <c r="C533" s="2036"/>
      <c r="K533" s="737"/>
      <c r="S533" s="730"/>
    </row>
    <row r="534" spans="3:19" ht="13.35" customHeight="1">
      <c r="C534" s="2036"/>
      <c r="K534" s="737"/>
      <c r="S534" s="730"/>
    </row>
    <row r="535" spans="3:19" ht="13.35" customHeight="1">
      <c r="C535" s="2036"/>
      <c r="K535" s="737"/>
      <c r="S535" s="730"/>
    </row>
    <row r="536" spans="3:19" ht="13.35" customHeight="1">
      <c r="C536" s="2036"/>
      <c r="K536" s="737"/>
      <c r="S536" s="730"/>
    </row>
    <row r="537" spans="3:19" ht="13.35" customHeight="1">
      <c r="C537" s="2036"/>
      <c r="K537" s="737"/>
      <c r="S537" s="730"/>
    </row>
    <row r="538" spans="3:19" ht="13.35" customHeight="1">
      <c r="C538" s="2036"/>
      <c r="K538" s="737"/>
      <c r="S538" s="730"/>
    </row>
    <row r="539" spans="3:19" ht="13.35" customHeight="1">
      <c r="C539" s="2036"/>
      <c r="K539" s="737"/>
      <c r="S539" s="730"/>
    </row>
    <row r="540" spans="3:19" ht="13.35" customHeight="1">
      <c r="C540" s="2036"/>
      <c r="K540" s="737"/>
      <c r="S540" s="730"/>
    </row>
    <row r="541" spans="3:19" ht="13.35" customHeight="1">
      <c r="C541" s="2036"/>
      <c r="K541" s="737"/>
      <c r="S541" s="730"/>
    </row>
    <row r="542" spans="3:19" ht="13.35" customHeight="1">
      <c r="C542" s="2036"/>
      <c r="K542" s="737"/>
      <c r="S542" s="730"/>
    </row>
    <row r="543" spans="3:19" ht="13.35" customHeight="1">
      <c r="C543" s="2036"/>
      <c r="K543" s="737"/>
      <c r="S543" s="730"/>
    </row>
    <row r="544" spans="3:19" ht="13.35" customHeight="1">
      <c r="C544" s="2036"/>
      <c r="K544" s="737"/>
      <c r="S544" s="730"/>
    </row>
    <row r="545" spans="3:19" ht="13.35" customHeight="1">
      <c r="C545" s="2036"/>
      <c r="K545" s="737"/>
      <c r="S545" s="730"/>
    </row>
    <row r="546" spans="3:19" ht="13.35" customHeight="1">
      <c r="C546" s="2036"/>
      <c r="K546" s="737"/>
      <c r="S546" s="730"/>
    </row>
    <row r="547" spans="3:19" ht="13.35" customHeight="1">
      <c r="C547" s="2036"/>
      <c r="K547" s="737"/>
      <c r="S547" s="730"/>
    </row>
    <row r="548" spans="3:19" ht="13.35" customHeight="1">
      <c r="C548" s="2036"/>
      <c r="K548" s="737"/>
      <c r="S548" s="730"/>
    </row>
    <row r="549" spans="3:19" ht="13.35" customHeight="1">
      <c r="C549" s="2036"/>
      <c r="K549" s="737"/>
      <c r="S549" s="730"/>
    </row>
    <row r="550" spans="3:19" ht="13.35" customHeight="1">
      <c r="C550" s="2036"/>
      <c r="K550" s="737"/>
      <c r="S550" s="730"/>
    </row>
    <row r="551" spans="3:19" ht="13.35" customHeight="1">
      <c r="C551" s="2036"/>
      <c r="K551" s="737"/>
      <c r="S551" s="730"/>
    </row>
    <row r="552" spans="3:19" ht="13.35" customHeight="1">
      <c r="C552" s="2036"/>
      <c r="K552" s="737"/>
      <c r="S552" s="730"/>
    </row>
    <row r="553" spans="3:19" ht="13.35" customHeight="1">
      <c r="C553" s="2036"/>
      <c r="K553" s="737"/>
      <c r="S553" s="730"/>
    </row>
    <row r="554" spans="3:19" ht="13.35" customHeight="1">
      <c r="C554" s="2036"/>
      <c r="K554" s="737"/>
      <c r="S554" s="730"/>
    </row>
    <row r="555" spans="3:19" ht="13.35" customHeight="1">
      <c r="C555" s="2036"/>
      <c r="K555" s="737"/>
      <c r="S555" s="730"/>
    </row>
    <row r="556" spans="3:19" ht="13.35" customHeight="1">
      <c r="C556" s="2036"/>
      <c r="K556" s="737"/>
      <c r="S556" s="730"/>
    </row>
    <row r="557" spans="3:19" ht="13.35" customHeight="1">
      <c r="C557" s="2036"/>
      <c r="K557" s="737"/>
      <c r="S557" s="730"/>
    </row>
    <row r="558" spans="3:19" ht="13.35" customHeight="1">
      <c r="C558" s="2036"/>
      <c r="K558" s="737"/>
      <c r="S558" s="730"/>
    </row>
    <row r="559" spans="3:19" ht="13.35" customHeight="1">
      <c r="C559" s="2036"/>
      <c r="K559" s="737"/>
      <c r="S559" s="730"/>
    </row>
    <row r="560" spans="3:19" ht="13.35" customHeight="1">
      <c r="C560" s="2036"/>
      <c r="K560" s="737"/>
      <c r="S560" s="730"/>
    </row>
    <row r="561" spans="3:19" ht="13.35" customHeight="1">
      <c r="C561" s="2036"/>
      <c r="K561" s="737"/>
      <c r="S561" s="730"/>
    </row>
    <row r="562" spans="3:19" ht="13.35" customHeight="1">
      <c r="C562" s="2036"/>
      <c r="K562" s="737"/>
      <c r="S562" s="730"/>
    </row>
    <row r="563" spans="3:19" ht="13.35" customHeight="1">
      <c r="C563" s="2036"/>
      <c r="K563" s="737"/>
      <c r="S563" s="730"/>
    </row>
    <row r="564" spans="3:19" ht="13.35" customHeight="1">
      <c r="C564" s="2036"/>
      <c r="K564" s="737"/>
      <c r="S564" s="730"/>
    </row>
    <row r="565" spans="3:19" ht="13.35" customHeight="1">
      <c r="C565" s="2036"/>
      <c r="K565" s="737"/>
      <c r="S565" s="730"/>
    </row>
    <row r="566" spans="3:19" ht="13.35" customHeight="1">
      <c r="C566" s="2036"/>
      <c r="K566" s="737"/>
      <c r="S566" s="730"/>
    </row>
    <row r="567" spans="3:19" ht="13.35" customHeight="1">
      <c r="C567" s="2036"/>
      <c r="K567" s="737"/>
      <c r="S567" s="730"/>
    </row>
    <row r="568" spans="3:19" ht="13.35" customHeight="1">
      <c r="C568" s="2036"/>
      <c r="K568" s="737"/>
      <c r="S568" s="730"/>
    </row>
    <row r="569" spans="3:19" ht="13.35" customHeight="1">
      <c r="C569" s="2036"/>
      <c r="K569" s="737"/>
      <c r="S569" s="730"/>
    </row>
    <row r="570" spans="3:19" ht="13.35" customHeight="1">
      <c r="C570" s="2036"/>
      <c r="K570" s="737"/>
      <c r="S570" s="730"/>
    </row>
    <row r="571" spans="3:19" ht="13.35" customHeight="1">
      <c r="C571" s="2036"/>
      <c r="K571" s="737"/>
      <c r="S571" s="730"/>
    </row>
    <row r="572" spans="3:19" ht="13.35" customHeight="1">
      <c r="C572" s="2036"/>
      <c r="K572" s="737"/>
      <c r="S572" s="730"/>
    </row>
    <row r="573" spans="3:19" ht="13.35" customHeight="1">
      <c r="C573" s="2036"/>
      <c r="K573" s="737"/>
      <c r="S573" s="730"/>
    </row>
    <row r="574" spans="3:19" ht="13.35" customHeight="1">
      <c r="C574" s="2036"/>
      <c r="K574" s="737"/>
      <c r="S574" s="730"/>
    </row>
    <row r="575" spans="3:19" ht="13.35" customHeight="1">
      <c r="C575" s="2036" t="s">
        <v>238</v>
      </c>
      <c r="K575" s="737"/>
      <c r="S575" s="730"/>
    </row>
    <row r="576" spans="3:19" ht="13.35" customHeight="1">
      <c r="C576" s="2036"/>
      <c r="K576" s="737"/>
      <c r="S576" s="730"/>
    </row>
    <row r="577" spans="3:19" ht="13.35" customHeight="1">
      <c r="C577" s="2036"/>
      <c r="K577" s="737"/>
      <c r="S577" s="730"/>
    </row>
    <row r="578" spans="3:19" ht="13.35"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25" t="s">
        <v>3916</v>
      </c>
      <c r="C1" s="3425"/>
      <c r="D1" s="3425"/>
      <c r="E1" s="3425"/>
      <c r="F1" s="3425"/>
      <c r="G1" s="3425"/>
      <c r="H1" s="3425"/>
      <c r="I1" s="3425"/>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26" t="s">
        <v>3140</v>
      </c>
      <c r="C4" s="3426"/>
      <c r="D4" s="3426"/>
      <c r="E4" s="3432" t="s">
        <v>3141</v>
      </c>
      <c r="F4" s="3434"/>
      <c r="G4" s="3432" t="s">
        <v>599</v>
      </c>
      <c r="H4" s="3433"/>
      <c r="I4" s="3434"/>
      <c r="J4" s="1254" t="s">
        <v>2986</v>
      </c>
      <c r="K4" s="1254"/>
      <c r="L4" s="1262"/>
      <c r="M4" s="1262"/>
    </row>
    <row r="5" spans="2:13">
      <c r="B5" s="3427" t="str">
        <f>'Closing term sheet'!C8</f>
        <v>Dulles Park II, LP</v>
      </c>
      <c r="C5" s="3428"/>
      <c r="D5" s="3428"/>
      <c r="E5" s="3438"/>
      <c r="F5" s="3439"/>
      <c r="G5" s="3435" t="str">
        <f>'Closing term sheet'!C28</f>
        <v>Dulles Park II</v>
      </c>
      <c r="H5" s="3436"/>
      <c r="I5" s="3437"/>
      <c r="K5" s="730"/>
    </row>
    <row r="6" spans="2:13" ht="4.5" customHeight="1">
      <c r="D6" s="1263"/>
      <c r="E6" s="1263"/>
      <c r="F6" s="1263"/>
      <c r="G6" s="1263"/>
      <c r="H6" s="1263"/>
      <c r="I6" s="1263"/>
      <c r="K6" s="730"/>
    </row>
    <row r="7" spans="2:13">
      <c r="B7" s="3429" t="s">
        <v>3142</v>
      </c>
      <c r="C7" s="3429"/>
      <c r="D7" s="1264"/>
      <c r="E7" s="1264"/>
      <c r="F7" s="1264"/>
      <c r="G7" s="1264"/>
      <c r="H7" s="3430">
        <f>'Preview term'!E9</f>
        <v>0</v>
      </c>
      <c r="I7" s="3431"/>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410" t="s">
        <v>3924</v>
      </c>
      <c r="I35" s="3411"/>
    </row>
    <row r="36" spans="2:9">
      <c r="B36" s="1291" t="s">
        <v>3923</v>
      </c>
      <c r="C36" s="1289"/>
      <c r="D36" s="1289"/>
      <c r="E36" s="1264"/>
      <c r="F36" s="1533"/>
      <c r="G36" s="1292"/>
      <c r="H36" s="3410"/>
      <c r="I36" s="3411"/>
    </row>
    <row r="37" spans="2:9">
      <c r="B37" s="1291" t="s">
        <v>3921</v>
      </c>
      <c r="D37" s="1289"/>
      <c r="E37" s="1264"/>
      <c r="F37" s="1534"/>
      <c r="G37" s="1292"/>
      <c r="H37" s="3410"/>
      <c r="I37" s="3411"/>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19" t="str">
        <f>'Closing term sheet'!$C$30</f>
        <v>226 Old Clinton Road</v>
      </c>
      <c r="G48" s="3420"/>
      <c r="H48" s="3420"/>
      <c r="I48" s="3421"/>
    </row>
    <row r="49" spans="2:9">
      <c r="B49" s="1280" t="s">
        <v>3157</v>
      </c>
      <c r="D49" s="1289" t="s">
        <v>3158</v>
      </c>
      <c r="E49" s="1264"/>
      <c r="F49" s="3422"/>
      <c r="G49" s="3423"/>
      <c r="H49" s="3423"/>
      <c r="I49" s="3424"/>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442" t="str">
        <f>'Part I-Project Information'!F38</f>
        <v>Gray</v>
      </c>
      <c r="D52" s="3443"/>
      <c r="E52" s="1306" t="s">
        <v>3927</v>
      </c>
      <c r="F52" s="1266" t="s">
        <v>828</v>
      </c>
      <c r="G52" s="1306" t="s">
        <v>3928</v>
      </c>
      <c r="H52" s="1307">
        <f>'Part I-Project Information'!J38</f>
        <v>310325400</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48</v>
      </c>
      <c r="E55" s="1310"/>
      <c r="F55" s="787" t="s">
        <v>3160</v>
      </c>
      <c r="G55" s="1264"/>
      <c r="H55" s="1264"/>
      <c r="I55" s="1274"/>
    </row>
    <row r="56" spans="2:9">
      <c r="B56" s="1298" t="s">
        <v>4094</v>
      </c>
      <c r="D56" s="1311">
        <f>'Closing term sheet'!$D$62</f>
        <v>7367897</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47" t="s">
        <v>3163</v>
      </c>
      <c r="C61" s="3448"/>
      <c r="D61" s="3448"/>
      <c r="E61" s="3448"/>
      <c r="F61" s="3448"/>
      <c r="G61" s="3448"/>
      <c r="H61" s="3448"/>
      <c r="I61" s="3449"/>
    </row>
    <row r="62" spans="2:9" ht="7.5" customHeight="1">
      <c r="B62" s="3444"/>
      <c r="C62" s="3445"/>
      <c r="D62" s="3445"/>
      <c r="E62" s="1264"/>
      <c r="F62" s="1264"/>
      <c r="G62" s="1314"/>
      <c r="H62" s="1264"/>
      <c r="I62" s="1274"/>
    </row>
    <row r="63" spans="2:9">
      <c r="B63" s="1315" t="s">
        <v>3165</v>
      </c>
      <c r="C63" s="1264"/>
      <c r="D63" s="1309">
        <v>4</v>
      </c>
      <c r="F63" s="1264"/>
      <c r="G63" s="3429" t="s">
        <v>3164</v>
      </c>
      <c r="H63" s="3429"/>
      <c r="I63" s="3446"/>
    </row>
    <row r="64" spans="2:9">
      <c r="B64" s="1272"/>
      <c r="C64" s="1289" t="s">
        <v>3168</v>
      </c>
      <c r="D64" s="1289" t="s">
        <v>3169</v>
      </c>
      <c r="F64" s="1264"/>
      <c r="G64" s="799" t="s">
        <v>3166</v>
      </c>
      <c r="H64" s="1264"/>
      <c r="I64" s="1316">
        <f>'Closing term sheet'!$D$35</f>
        <v>48</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47" t="s">
        <v>3176</v>
      </c>
      <c r="C81" s="3448"/>
      <c r="D81" s="3448"/>
      <c r="E81" s="3448"/>
      <c r="F81" s="3448"/>
      <c r="G81" s="3448"/>
      <c r="H81" s="3448"/>
      <c r="I81" s="3449"/>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15">
        <f>'Closing term sheet'!D62</f>
        <v>7367897</v>
      </c>
      <c r="G84" s="3415"/>
      <c r="H84" s="1264"/>
      <c r="I84" s="1274"/>
    </row>
    <row r="85" spans="2:9">
      <c r="B85" s="1272"/>
      <c r="C85" s="807" t="s">
        <v>3179</v>
      </c>
      <c r="D85" s="1264"/>
      <c r="E85" s="1264"/>
      <c r="F85" s="3441">
        <f>'Part III-Sources of Funds'!I45+'Part III-Sources of Funds'!L45</f>
        <v>9380.0133665964277</v>
      </c>
      <c r="G85" s="3441"/>
      <c r="H85" s="1264"/>
      <c r="I85" s="1274"/>
    </row>
    <row r="86" spans="2:9">
      <c r="B86" s="1272"/>
      <c r="C86" s="807" t="s">
        <v>3180</v>
      </c>
      <c r="D86" s="1264"/>
      <c r="E86" s="1264"/>
      <c r="F86" s="3440"/>
      <c r="G86" s="3440"/>
      <c r="H86" s="1264"/>
      <c r="I86" s="1274"/>
    </row>
    <row r="87" spans="2:9">
      <c r="B87" s="1272"/>
      <c r="C87" s="1289" t="s">
        <v>3181</v>
      </c>
      <c r="D87" s="1264"/>
      <c r="E87" s="1264"/>
      <c r="F87" s="3441">
        <v>11000</v>
      </c>
      <c r="G87" s="3441"/>
      <c r="H87" s="1264"/>
      <c r="I87" s="1274"/>
    </row>
    <row r="88" spans="2:9">
      <c r="B88" s="1272"/>
      <c r="C88" s="807" t="s">
        <v>3182</v>
      </c>
      <c r="D88" s="1264"/>
      <c r="E88" s="1264"/>
      <c r="F88" s="3418"/>
      <c r="G88" s="3418"/>
      <c r="H88" s="1264"/>
      <c r="I88" s="1274"/>
    </row>
    <row r="89" spans="2:9">
      <c r="B89" s="1272"/>
      <c r="C89" s="787" t="s">
        <v>3183</v>
      </c>
      <c r="D89" s="1264"/>
      <c r="E89" s="1264"/>
      <c r="F89" s="3413">
        <f>SUM(F84:G88)</f>
        <v>7388277.0133665968</v>
      </c>
      <c r="G89" s="3413"/>
      <c r="H89" s="1264"/>
      <c r="I89" s="1274"/>
    </row>
    <row r="90" spans="2:9">
      <c r="B90" s="1272"/>
      <c r="C90" s="1264"/>
      <c r="D90" s="1264"/>
      <c r="E90" s="1264"/>
      <c r="F90" s="3414"/>
      <c r="G90" s="3414"/>
      <c r="H90" s="1264"/>
      <c r="I90" s="1274"/>
    </row>
    <row r="91" spans="2:9">
      <c r="B91" s="1275" t="s">
        <v>3184</v>
      </c>
      <c r="C91" s="1264"/>
      <c r="D91" s="1264"/>
      <c r="E91" s="1264"/>
      <c r="F91" s="1264"/>
      <c r="G91" s="1264"/>
      <c r="H91" s="1264"/>
      <c r="I91" s="1274"/>
    </row>
    <row r="92" spans="2:9">
      <c r="B92" s="1272"/>
      <c r="C92" s="807" t="s">
        <v>3185</v>
      </c>
      <c r="D92" s="1264"/>
      <c r="E92" s="1264"/>
      <c r="F92" s="3415"/>
      <c r="G92" s="3415"/>
      <c r="H92" s="1264"/>
      <c r="I92" s="1274"/>
    </row>
    <row r="93" spans="2:9">
      <c r="B93" s="1272"/>
      <c r="C93" s="807" t="s">
        <v>3186</v>
      </c>
      <c r="D93" s="1264"/>
      <c r="E93" s="1264"/>
      <c r="F93" s="3416"/>
      <c r="G93" s="3416"/>
      <c r="H93" s="1264"/>
      <c r="I93" s="1274"/>
    </row>
    <row r="94" spans="2:9">
      <c r="B94" s="1272"/>
      <c r="C94" s="807" t="s">
        <v>3187</v>
      </c>
      <c r="D94" s="1264"/>
      <c r="E94" s="1264"/>
      <c r="F94" s="3417" t="s">
        <v>3062</v>
      </c>
      <c r="G94" s="3412"/>
      <c r="H94" s="1264"/>
      <c r="I94" s="1274"/>
    </row>
    <row r="95" spans="2:9">
      <c r="B95" s="1272"/>
      <c r="C95" s="787" t="s">
        <v>3188</v>
      </c>
      <c r="D95" s="1264"/>
      <c r="E95" s="1264"/>
      <c r="F95" s="3413">
        <f>+SUM(F92:G94)</f>
        <v>0</v>
      </c>
      <c r="G95" s="3413"/>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15"/>
      <c r="G98" s="3415"/>
      <c r="H98" s="1264"/>
      <c r="I98" s="1274"/>
    </row>
    <row r="99" spans="2:9">
      <c r="B99" s="1272"/>
      <c r="C99" s="807" t="s">
        <v>3191</v>
      </c>
      <c r="D99" s="1264"/>
      <c r="E99" s="1264"/>
      <c r="F99" s="3416"/>
      <c r="G99" s="3416"/>
      <c r="H99" s="1264"/>
      <c r="I99" s="1274"/>
    </row>
    <row r="100" spans="2:9">
      <c r="B100" s="1272"/>
      <c r="C100" s="807" t="s">
        <v>3192</v>
      </c>
      <c r="D100" s="1264"/>
      <c r="E100" s="1264"/>
      <c r="F100" s="3418"/>
      <c r="G100" s="3418"/>
      <c r="H100" s="1264"/>
      <c r="I100" s="1274"/>
    </row>
    <row r="101" spans="2:9">
      <c r="B101" s="1272"/>
      <c r="C101" s="787" t="s">
        <v>3193</v>
      </c>
      <c r="D101" s="1264"/>
      <c r="E101" s="1264"/>
      <c r="F101" s="3413">
        <f>+SUM(F98:G100)</f>
        <v>0</v>
      </c>
      <c r="G101" s="3413"/>
      <c r="H101" s="1264"/>
      <c r="I101" s="1274"/>
    </row>
    <row r="102" spans="2:9">
      <c r="B102" s="1272"/>
      <c r="C102" s="1264"/>
      <c r="D102" s="1264"/>
      <c r="E102" s="1264"/>
      <c r="F102" s="1264"/>
      <c r="G102" s="1264"/>
      <c r="H102" s="1264"/>
      <c r="I102" s="1274"/>
    </row>
    <row r="103" spans="2:9">
      <c r="B103" s="1315" t="s">
        <v>3194</v>
      </c>
      <c r="C103" s="807"/>
      <c r="D103" s="1264"/>
      <c r="E103" s="1264"/>
      <c r="F103" s="3412">
        <f>'Part III-Sources of Funds'!I46+'Part III-Sources of Funds'!I47</f>
        <v>0</v>
      </c>
      <c r="G103" s="3412"/>
      <c r="H103" s="1264"/>
      <c r="I103" s="1274"/>
    </row>
    <row r="104" spans="2:9">
      <c r="B104" s="1272"/>
      <c r="C104" s="1264"/>
      <c r="D104" s="1264"/>
      <c r="E104" s="1264"/>
      <c r="F104" s="1264"/>
      <c r="G104" s="1264"/>
      <c r="H104" s="1264"/>
      <c r="I104" s="1320" t="s">
        <v>3195</v>
      </c>
    </row>
    <row r="105" spans="2:9">
      <c r="B105" s="1275" t="s">
        <v>3196</v>
      </c>
      <c r="C105" s="1264"/>
      <c r="D105" s="1264"/>
      <c r="E105" s="1264"/>
      <c r="F105" s="3412">
        <f>+F103+F101+F95+F89</f>
        <v>7388277.0133665968</v>
      </c>
      <c r="G105" s="3412"/>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55" workbookViewId="0">
      <selection activeCell="A55" sqref="A1:XFD1048576"/>
    </sheetView>
  </sheetViews>
  <sheetFormatPr defaultColWidth="8.88671875" defaultRowHeight="15.6"/>
  <cols>
    <col min="1" max="1" width="2.109375" style="4278" customWidth="1"/>
    <col min="2" max="13" width="7.88671875" style="4278" customWidth="1"/>
    <col min="14" max="15" width="5.88671875" style="4278" customWidth="1"/>
    <col min="16" max="16384" width="8.88671875" style="4278"/>
  </cols>
  <sheetData>
    <row r="1" spans="1:26" ht="18">
      <c r="N1" s="4279" t="s">
        <v>1467</v>
      </c>
      <c r="O1" s="4279"/>
      <c r="P1" s="4279"/>
      <c r="Q1" s="4279"/>
      <c r="R1" s="4279"/>
      <c r="S1" s="4279"/>
      <c r="T1" s="4279"/>
      <c r="U1" s="4279"/>
      <c r="V1" s="4279"/>
      <c r="W1" s="4279"/>
      <c r="X1" s="4279"/>
      <c r="Y1" s="4279"/>
      <c r="Z1" s="4279"/>
    </row>
    <row r="2" spans="1:26">
      <c r="N2" s="4280" t="s">
        <v>1468</v>
      </c>
      <c r="O2" s="4280"/>
      <c r="P2" s="4280"/>
      <c r="Q2" s="4280"/>
      <c r="R2" s="4280"/>
      <c r="S2" s="4280"/>
      <c r="T2" s="4280"/>
      <c r="U2" s="4280"/>
      <c r="V2" s="4280"/>
      <c r="W2" s="4280"/>
      <c r="X2" s="4280"/>
      <c r="Y2" s="4280"/>
      <c r="Z2" s="4280"/>
    </row>
    <row r="3" spans="1:26">
      <c r="N3" s="4281" t="s">
        <v>1469</v>
      </c>
      <c r="O3" s="4281"/>
      <c r="P3" s="4281"/>
      <c r="Q3" s="4281"/>
      <c r="R3" s="4281"/>
      <c r="S3" s="4281"/>
      <c r="T3" s="4281"/>
      <c r="U3" s="4281"/>
      <c r="V3" s="4281"/>
      <c r="W3" s="4281"/>
      <c r="X3" s="4281"/>
      <c r="Y3" s="4281"/>
      <c r="Z3" s="4281"/>
    </row>
    <row r="4" spans="1:26">
      <c r="B4" s="4282"/>
      <c r="C4" s="4282"/>
      <c r="D4" s="4282"/>
      <c r="E4" s="4282"/>
      <c r="F4" s="4282"/>
      <c r="G4" s="4282"/>
      <c r="H4" s="4282"/>
      <c r="I4" s="4282"/>
      <c r="J4" s="4282"/>
      <c r="K4" s="4282"/>
      <c r="L4" s="4282"/>
      <c r="M4" s="4282"/>
      <c r="N4" s="4283" t="s">
        <v>684</v>
      </c>
    </row>
    <row r="5" spans="1:26" ht="59.25" customHeight="1">
      <c r="A5" s="4284" t="s">
        <v>2661</v>
      </c>
      <c r="B5" s="4284"/>
      <c r="C5" s="4284"/>
      <c r="D5" s="4284"/>
      <c r="E5" s="4284"/>
      <c r="F5" s="4284"/>
      <c r="G5" s="4284"/>
      <c r="H5" s="4284"/>
      <c r="I5" s="4284"/>
      <c r="J5" s="4284"/>
      <c r="K5" s="4284"/>
      <c r="L5" s="4284"/>
      <c r="M5" s="4284"/>
    </row>
    <row r="6" spans="1:26" ht="11.4" customHeight="1">
      <c r="A6" s="4282"/>
      <c r="B6" s="4282"/>
      <c r="C6" s="4282"/>
      <c r="D6" s="4282"/>
      <c r="E6" s="4282"/>
      <c r="F6" s="4282"/>
      <c r="G6" s="4282"/>
      <c r="H6" s="4282"/>
      <c r="I6" s="4282"/>
      <c r="J6" s="4282"/>
      <c r="K6" s="4282"/>
      <c r="L6" s="4282"/>
      <c r="M6" s="4282"/>
    </row>
    <row r="7" spans="1:26">
      <c r="A7" s="4282" t="s">
        <v>689</v>
      </c>
      <c r="B7" s="4282"/>
      <c r="C7" s="4282"/>
      <c r="D7" s="4282"/>
      <c r="E7" s="4282"/>
      <c r="F7" s="4282"/>
      <c r="G7" s="4282"/>
      <c r="H7" s="4282"/>
      <c r="I7" s="4282"/>
      <c r="J7" s="4282"/>
      <c r="K7" s="4282"/>
      <c r="L7" s="4282"/>
      <c r="M7" s="4282"/>
    </row>
    <row r="8" spans="1:26" ht="11.4" customHeight="1">
      <c r="A8" s="4282"/>
      <c r="B8" s="4282"/>
      <c r="C8" s="4282"/>
      <c r="D8" s="4282"/>
      <c r="E8" s="4282"/>
      <c r="F8" s="4282"/>
      <c r="G8" s="4282"/>
      <c r="H8" s="4282"/>
      <c r="I8" s="4282"/>
      <c r="J8" s="4282"/>
      <c r="K8" s="4282"/>
      <c r="L8" s="4282"/>
      <c r="M8" s="4282"/>
    </row>
    <row r="9" spans="1:26">
      <c r="A9" s="4285" t="s">
        <v>1858</v>
      </c>
      <c r="B9" s="4285"/>
      <c r="C9" s="4285"/>
      <c r="D9" s="4285"/>
      <c r="E9" s="4285"/>
      <c r="F9" s="4285"/>
      <c r="G9" s="4285"/>
      <c r="H9" s="4285"/>
      <c r="I9" s="4285"/>
      <c r="J9" s="4285"/>
      <c r="K9" s="4285"/>
      <c r="L9" s="4285"/>
      <c r="M9" s="4285"/>
    </row>
    <row r="10" spans="1:26" ht="6.75" customHeight="1">
      <c r="A10" s="4285"/>
      <c r="B10" s="4285"/>
      <c r="C10" s="4285"/>
      <c r="D10" s="4285"/>
      <c r="E10" s="4285"/>
      <c r="F10" s="4285"/>
      <c r="G10" s="4285"/>
      <c r="H10" s="4285"/>
      <c r="I10" s="4285"/>
      <c r="J10" s="4285"/>
      <c r="K10" s="4285"/>
      <c r="L10" s="4285"/>
      <c r="M10" s="4285"/>
    </row>
    <row r="11" spans="1:26" ht="44.25" customHeight="1">
      <c r="A11" s="4286" t="s">
        <v>4490</v>
      </c>
      <c r="B11" s="4286"/>
      <c r="C11" s="4286"/>
      <c r="D11" s="4286"/>
      <c r="E11" s="4286"/>
      <c r="F11" s="4286"/>
      <c r="G11" s="4286"/>
      <c r="H11" s="4286"/>
      <c r="I11" s="4286"/>
      <c r="J11" s="4286"/>
      <c r="K11" s="4286"/>
      <c r="L11" s="4286"/>
      <c r="M11" s="4286"/>
    </row>
    <row r="12" spans="1:26" ht="3" customHeight="1">
      <c r="A12" s="4285"/>
      <c r="B12" s="4285"/>
      <c r="C12" s="4285"/>
      <c r="D12" s="4285"/>
      <c r="E12" s="4285"/>
      <c r="F12" s="4285"/>
      <c r="G12" s="4285"/>
      <c r="H12" s="4285"/>
      <c r="I12" s="4285"/>
      <c r="J12" s="4285"/>
      <c r="K12" s="4285"/>
      <c r="L12" s="4285"/>
      <c r="M12" s="4285"/>
    </row>
    <row r="13" spans="1:26" ht="96" customHeight="1">
      <c r="A13" s="4287" t="s">
        <v>1694</v>
      </c>
      <c r="B13" s="4288" t="s">
        <v>3500</v>
      </c>
      <c r="C13" s="4288"/>
      <c r="D13" s="4288"/>
      <c r="E13" s="4288"/>
      <c r="F13" s="4288"/>
      <c r="G13" s="4288"/>
      <c r="H13" s="4288"/>
      <c r="I13" s="4288"/>
      <c r="J13" s="4288"/>
      <c r="K13" s="4288"/>
      <c r="L13" s="4288"/>
      <c r="M13" s="4288"/>
    </row>
    <row r="14" spans="1:26" ht="47.25" customHeight="1">
      <c r="A14" s="4287" t="s">
        <v>1695</v>
      </c>
      <c r="B14" s="4288" t="s">
        <v>3501</v>
      </c>
      <c r="C14" s="4288"/>
      <c r="D14" s="4288"/>
      <c r="E14" s="4288"/>
      <c r="F14" s="4288"/>
      <c r="G14" s="4288"/>
      <c r="H14" s="4288"/>
      <c r="I14" s="4288"/>
      <c r="J14" s="4288"/>
      <c r="K14" s="4288"/>
      <c r="L14" s="4288"/>
      <c r="M14" s="4288"/>
    </row>
    <row r="15" spans="1:26" ht="117" customHeight="1">
      <c r="A15" s="4287" t="s">
        <v>1696</v>
      </c>
      <c r="B15" s="4288" t="s">
        <v>3502</v>
      </c>
      <c r="C15" s="4288"/>
      <c r="D15" s="4288"/>
      <c r="E15" s="4288"/>
      <c r="F15" s="4288"/>
      <c r="G15" s="4288"/>
      <c r="H15" s="4288"/>
      <c r="I15" s="4288"/>
      <c r="J15" s="4288"/>
      <c r="K15" s="4288"/>
      <c r="L15" s="4288"/>
      <c r="M15" s="4288"/>
    </row>
    <row r="16" spans="1:26" ht="147" customHeight="1">
      <c r="A16" s="4287" t="s">
        <v>2304</v>
      </c>
      <c r="B16" s="4288" t="s">
        <v>3341</v>
      </c>
      <c r="C16" s="4288"/>
      <c r="D16" s="4288"/>
      <c r="E16" s="4288"/>
      <c r="F16" s="4288"/>
      <c r="G16" s="4288"/>
      <c r="H16" s="4288"/>
      <c r="I16" s="4288"/>
      <c r="J16" s="4288"/>
      <c r="K16" s="4288"/>
      <c r="L16" s="4288"/>
      <c r="M16" s="4288"/>
    </row>
    <row r="17" spans="1:13" ht="48.75" customHeight="1">
      <c r="A17" s="4287" t="s">
        <v>1516</v>
      </c>
      <c r="B17" s="4288" t="s">
        <v>665</v>
      </c>
      <c r="C17" s="4288"/>
      <c r="D17" s="4288"/>
      <c r="E17" s="4288"/>
      <c r="F17" s="4288"/>
      <c r="G17" s="4288"/>
      <c r="H17" s="4288"/>
      <c r="I17" s="4288"/>
      <c r="J17" s="4288"/>
      <c r="K17" s="4288"/>
      <c r="L17" s="4288"/>
      <c r="M17" s="4288"/>
    </row>
    <row r="18" spans="1:13" ht="165" customHeight="1">
      <c r="A18" s="4287" t="s">
        <v>1517</v>
      </c>
      <c r="B18" s="4288" t="s">
        <v>3340</v>
      </c>
      <c r="C18" s="4288"/>
      <c r="D18" s="4288"/>
      <c r="E18" s="4288"/>
      <c r="F18" s="4288"/>
      <c r="G18" s="4288"/>
      <c r="H18" s="4288"/>
      <c r="I18" s="4288"/>
      <c r="J18" s="4288"/>
      <c r="K18" s="4288"/>
      <c r="L18" s="4288"/>
      <c r="M18" s="4288"/>
    </row>
    <row r="19" spans="1:13" ht="48.75" customHeight="1">
      <c r="A19" s="4287" t="s">
        <v>96</v>
      </c>
      <c r="B19" s="4289" t="s">
        <v>3503</v>
      </c>
      <c r="C19" s="4289"/>
      <c r="D19" s="4289"/>
      <c r="E19" s="4289"/>
      <c r="F19" s="4289"/>
      <c r="G19" s="4289"/>
      <c r="H19" s="4289"/>
      <c r="I19" s="4289"/>
      <c r="J19" s="4289"/>
      <c r="K19" s="4289"/>
      <c r="L19" s="4289"/>
      <c r="M19" s="4289"/>
    </row>
    <row r="20" spans="1:13" ht="50.25" customHeight="1">
      <c r="A20" s="4287" t="s">
        <v>500</v>
      </c>
      <c r="B20" s="4288" t="s">
        <v>3343</v>
      </c>
      <c r="C20" s="4288"/>
      <c r="D20" s="4288"/>
      <c r="E20" s="4288"/>
      <c r="F20" s="4288"/>
      <c r="G20" s="4288"/>
      <c r="H20" s="4288"/>
      <c r="I20" s="4288"/>
      <c r="J20" s="4288"/>
      <c r="K20" s="4288"/>
      <c r="L20" s="4288"/>
      <c r="M20" s="4288"/>
    </row>
    <row r="21" spans="1:13" ht="31.5" customHeight="1">
      <c r="A21" s="4287" t="s">
        <v>501</v>
      </c>
      <c r="B21" s="4288" t="s">
        <v>3362</v>
      </c>
      <c r="C21" s="4288"/>
      <c r="D21" s="4288"/>
      <c r="E21" s="4288"/>
      <c r="F21" s="4288"/>
      <c r="G21" s="4288"/>
      <c r="H21" s="4288"/>
      <c r="I21" s="4288"/>
      <c r="J21" s="4288"/>
      <c r="K21" s="4288"/>
      <c r="L21" s="4288"/>
      <c r="M21" s="4288"/>
    </row>
    <row r="22" spans="1:13" ht="1.5" customHeight="1">
      <c r="A22" s="4285"/>
      <c r="B22" s="4285"/>
      <c r="C22" s="4285"/>
      <c r="D22" s="4285"/>
      <c r="E22" s="4285"/>
      <c r="F22" s="4285"/>
      <c r="G22" s="4285"/>
      <c r="H22" s="4285"/>
      <c r="I22" s="4285"/>
      <c r="J22" s="4285"/>
      <c r="K22" s="4285"/>
      <c r="L22" s="4285"/>
      <c r="M22" s="4285"/>
    </row>
    <row r="23" spans="1:13" ht="3" customHeight="1">
      <c r="A23" s="4285"/>
      <c r="B23" s="4285"/>
      <c r="C23" s="4285"/>
      <c r="D23" s="4285"/>
      <c r="E23" s="4285"/>
      <c r="F23" s="4285"/>
      <c r="G23" s="4285"/>
      <c r="H23" s="4285"/>
      <c r="I23" s="4285"/>
      <c r="J23" s="4285"/>
      <c r="K23" s="4285"/>
      <c r="L23" s="4285"/>
      <c r="M23" s="4285"/>
    </row>
    <row r="24" spans="1:13" ht="13.5" customHeight="1">
      <c r="A24" s="4285" t="s">
        <v>1436</v>
      </c>
      <c r="B24" s="4285"/>
      <c r="C24" s="4285"/>
      <c r="D24" s="4285"/>
      <c r="E24" s="4285"/>
      <c r="F24" s="4285"/>
      <c r="G24" s="4285"/>
      <c r="H24" s="4285"/>
      <c r="I24" s="4285"/>
      <c r="J24" s="4285"/>
      <c r="K24" s="4285"/>
      <c r="L24" s="4285"/>
      <c r="M24" s="4285"/>
    </row>
    <row r="25" spans="1:13" ht="32.25" customHeight="1">
      <c r="A25" s="4287" t="s">
        <v>1437</v>
      </c>
      <c r="B25" s="4288" t="s">
        <v>3363</v>
      </c>
      <c r="C25" s="4288"/>
      <c r="D25" s="4288"/>
      <c r="E25" s="4288"/>
      <c r="F25" s="4288"/>
      <c r="G25" s="4288"/>
      <c r="H25" s="4288"/>
      <c r="I25" s="4288"/>
      <c r="J25" s="4288"/>
      <c r="K25" s="4288"/>
      <c r="L25" s="4288"/>
      <c r="M25" s="4288"/>
    </row>
    <row r="26" spans="1:13" ht="31.5" customHeight="1">
      <c r="A26" s="4287" t="s">
        <v>1437</v>
      </c>
      <c r="B26" s="4288" t="s">
        <v>3364</v>
      </c>
      <c r="C26" s="4288"/>
      <c r="D26" s="4288"/>
      <c r="E26" s="4288"/>
      <c r="F26" s="4288"/>
      <c r="G26" s="4288"/>
      <c r="H26" s="4288"/>
      <c r="I26" s="4288"/>
      <c r="J26" s="4288"/>
      <c r="K26" s="4288"/>
      <c r="L26" s="4288"/>
      <c r="M26" s="4288"/>
    </row>
    <row r="27" spans="1:13" ht="78.75" customHeight="1">
      <c r="A27" s="4287" t="s">
        <v>1437</v>
      </c>
      <c r="B27" s="4288" t="s">
        <v>2662</v>
      </c>
      <c r="C27" s="4288"/>
      <c r="D27" s="4288"/>
      <c r="E27" s="4288"/>
      <c r="F27" s="4288"/>
      <c r="G27" s="4288"/>
      <c r="H27" s="4288"/>
      <c r="I27" s="4288"/>
      <c r="J27" s="4288"/>
      <c r="K27" s="4288"/>
      <c r="L27" s="4288"/>
      <c r="M27" s="4288"/>
    </row>
    <row r="28" spans="1:13" ht="7.5" customHeight="1">
      <c r="A28" s="4285"/>
      <c r="B28" s="4285"/>
      <c r="C28" s="4285"/>
      <c r="D28" s="4285"/>
      <c r="E28" s="4285"/>
      <c r="F28" s="4285"/>
      <c r="G28" s="4285"/>
      <c r="H28" s="4285"/>
      <c r="I28" s="4285"/>
      <c r="J28" s="4285"/>
      <c r="K28" s="4285"/>
      <c r="L28" s="4285"/>
      <c r="M28" s="4285"/>
    </row>
    <row r="29" spans="1:13" ht="43.5" customHeight="1">
      <c r="A29" s="4288" t="s">
        <v>924</v>
      </c>
      <c r="B29" s="4288"/>
      <c r="C29" s="4288"/>
      <c r="D29" s="4288"/>
      <c r="E29" s="4288"/>
      <c r="F29" s="4288"/>
      <c r="G29" s="4288"/>
      <c r="H29" s="4288"/>
      <c r="I29" s="4288"/>
      <c r="J29" s="4288"/>
      <c r="K29" s="4288"/>
      <c r="L29" s="4288"/>
      <c r="M29" s="4288"/>
    </row>
    <row r="30" spans="1:13" ht="3" customHeight="1">
      <c r="A30" s="4285"/>
      <c r="B30" s="4285"/>
      <c r="C30" s="4285"/>
      <c r="D30" s="4285"/>
      <c r="E30" s="4285"/>
      <c r="F30" s="4285"/>
      <c r="G30" s="4285"/>
      <c r="H30" s="4285"/>
      <c r="I30" s="4285"/>
      <c r="J30" s="4285"/>
      <c r="K30" s="4285"/>
      <c r="L30" s="4285"/>
      <c r="M30" s="4285"/>
    </row>
    <row r="31" spans="1:13" ht="32.25" customHeight="1">
      <c r="A31" s="4288" t="s">
        <v>2663</v>
      </c>
      <c r="B31" s="4288"/>
      <c r="C31" s="4288"/>
      <c r="D31" s="4288"/>
      <c r="E31" s="4288"/>
      <c r="F31" s="4288"/>
      <c r="G31" s="4288"/>
      <c r="H31" s="4288"/>
      <c r="I31" s="4288"/>
      <c r="J31" s="4288"/>
      <c r="K31" s="4288"/>
      <c r="L31" s="4288"/>
      <c r="M31" s="4288"/>
    </row>
    <row r="32" spans="1:13" ht="4.5" customHeight="1">
      <c r="A32" s="4285"/>
      <c r="B32" s="4285"/>
      <c r="C32" s="4285"/>
      <c r="D32" s="4285"/>
      <c r="E32" s="4285"/>
      <c r="F32" s="4285"/>
      <c r="G32" s="4285"/>
      <c r="H32" s="4285"/>
      <c r="I32" s="4285"/>
      <c r="J32" s="4285"/>
      <c r="K32" s="4285"/>
      <c r="L32" s="4285"/>
      <c r="M32" s="4285"/>
    </row>
    <row r="33" spans="1:13">
      <c r="A33" s="4285" t="s">
        <v>901</v>
      </c>
      <c r="B33" s="4285"/>
      <c r="C33" s="4285"/>
      <c r="D33" s="4285"/>
      <c r="E33" s="4285"/>
      <c r="F33" s="4285"/>
      <c r="G33" s="4285"/>
      <c r="H33" s="4285"/>
      <c r="I33" s="4285"/>
      <c r="J33" s="4285"/>
      <c r="K33" s="4285"/>
      <c r="L33" s="4285"/>
      <c r="M33" s="4285"/>
    </row>
    <row r="34" spans="1:13" ht="6" customHeight="1">
      <c r="A34" s="4290"/>
      <c r="B34" s="4290"/>
      <c r="C34" s="4290"/>
      <c r="D34" s="4290"/>
      <c r="E34" s="4290"/>
      <c r="F34" s="4290"/>
      <c r="G34" s="4290"/>
      <c r="H34" s="4290"/>
      <c r="I34" s="4290"/>
      <c r="J34" s="4290"/>
      <c r="K34" s="4290"/>
      <c r="L34" s="4290"/>
      <c r="M34" s="4290"/>
    </row>
    <row r="35" spans="1:13">
      <c r="A35" s="4291"/>
      <c r="B35" s="4291"/>
      <c r="C35" s="4291"/>
      <c r="D35" s="4291"/>
      <c r="E35" s="4291"/>
      <c r="F35" s="4291"/>
      <c r="G35" s="4292"/>
      <c r="H35" s="4291"/>
      <c r="I35" s="4291"/>
      <c r="J35" s="4291"/>
      <c r="K35" s="4291"/>
      <c r="L35" s="4291"/>
      <c r="M35" s="4291"/>
    </row>
    <row r="36" spans="1:13" ht="12" customHeight="1">
      <c r="A36" s="4293" t="s">
        <v>902</v>
      </c>
      <c r="B36" s="4293"/>
      <c r="C36" s="4293"/>
      <c r="D36" s="4293"/>
      <c r="E36" s="4293"/>
      <c r="F36" s="4293"/>
      <c r="G36" s="4292"/>
      <c r="H36" s="4293" t="s">
        <v>1932</v>
      </c>
      <c r="I36" s="4293"/>
      <c r="J36" s="4293"/>
      <c r="K36" s="4293"/>
      <c r="L36" s="4293"/>
      <c r="M36" s="4293"/>
    </row>
    <row r="37" spans="1:13" ht="6" customHeight="1">
      <c r="A37" s="4292"/>
      <c r="B37" s="4292"/>
      <c r="C37" s="4292"/>
      <c r="D37" s="4292"/>
      <c r="E37" s="4292"/>
      <c r="F37" s="4292"/>
      <c r="G37" s="4292"/>
      <c r="H37" s="4292"/>
      <c r="I37" s="4292"/>
      <c r="J37" s="4292"/>
      <c r="K37" s="4292"/>
      <c r="L37" s="4292"/>
      <c r="M37" s="4292"/>
    </row>
    <row r="38" spans="1:13">
      <c r="A38" s="4291"/>
      <c r="B38" s="4291"/>
      <c r="C38" s="4291"/>
      <c r="D38" s="4291"/>
      <c r="E38" s="4291"/>
      <c r="F38" s="4291"/>
      <c r="G38" s="4292"/>
      <c r="H38" s="4294"/>
      <c r="I38" s="4294"/>
      <c r="J38" s="4294"/>
      <c r="K38" s="4294"/>
      <c r="L38" s="4294"/>
      <c r="M38" s="4294"/>
    </row>
    <row r="39" spans="1:13" ht="12" customHeight="1">
      <c r="A39" s="4293" t="s">
        <v>903</v>
      </c>
      <c r="B39" s="4293"/>
      <c r="C39" s="4293"/>
      <c r="D39" s="4293"/>
      <c r="E39" s="4293"/>
      <c r="F39" s="4293"/>
      <c r="G39" s="4292"/>
      <c r="H39" s="4293" t="s">
        <v>904</v>
      </c>
      <c r="I39" s="4293"/>
      <c r="J39" s="4293"/>
      <c r="K39" s="4293"/>
      <c r="L39" s="4293"/>
      <c r="M39" s="4293"/>
    </row>
    <row r="40" spans="1:13" ht="3" customHeight="1">
      <c r="A40" s="4295"/>
      <c r="B40" s="4295"/>
      <c r="C40" s="4295"/>
      <c r="D40" s="4295"/>
      <c r="E40" s="4295"/>
      <c r="F40" s="4295"/>
      <c r="G40" s="4292"/>
      <c r="H40" s="4295"/>
      <c r="I40" s="4295"/>
      <c r="J40" s="4295"/>
      <c r="K40" s="4295"/>
      <c r="L40" s="4295"/>
      <c r="M40" s="4295"/>
    </row>
    <row r="41" spans="1:13" ht="11.4" customHeight="1">
      <c r="A41" s="4282"/>
      <c r="B41" s="4282"/>
      <c r="C41" s="4282"/>
      <c r="D41" s="4282"/>
      <c r="E41" s="4282"/>
      <c r="F41" s="4282"/>
      <c r="G41" s="4282"/>
      <c r="H41" s="4296" t="s">
        <v>905</v>
      </c>
      <c r="I41" s="4296"/>
      <c r="J41" s="4296"/>
      <c r="K41" s="4296"/>
      <c r="L41" s="4296"/>
      <c r="M41" s="4296"/>
    </row>
    <row r="42" spans="1:13" ht="11.4" customHeight="1">
      <c r="A42" s="4282"/>
      <c r="B42" s="4282"/>
      <c r="C42" s="4282"/>
      <c r="D42" s="4282"/>
      <c r="E42" s="4282"/>
      <c r="F42" s="4282"/>
      <c r="G42" s="4282"/>
    </row>
    <row r="43" spans="1:13" ht="11.4" customHeight="1">
      <c r="A43" s="4282"/>
      <c r="B43" s="4282"/>
      <c r="C43" s="4282"/>
      <c r="D43" s="4282"/>
      <c r="E43" s="4282"/>
      <c r="F43" s="4282"/>
      <c r="G43" s="4282"/>
      <c r="H43" s="4282"/>
      <c r="I43" s="4282"/>
      <c r="J43" s="4282"/>
      <c r="K43" s="4282"/>
      <c r="L43" s="4282"/>
      <c r="M43" s="4282"/>
    </row>
    <row r="44" spans="1:13" ht="11.4" customHeight="1">
      <c r="A44" s="4282"/>
      <c r="B44" s="4282"/>
      <c r="C44" s="4282"/>
      <c r="D44" s="4282"/>
      <c r="E44" s="4282"/>
      <c r="F44" s="4282"/>
      <c r="G44" s="4282"/>
      <c r="H44" s="4282"/>
      <c r="I44" s="4282"/>
      <c r="J44" s="4282"/>
      <c r="K44" s="4282"/>
      <c r="L44" s="4282"/>
      <c r="M44" s="4282"/>
    </row>
    <row r="45" spans="1:13" ht="11.4" customHeight="1"/>
    <row r="46" spans="1:13" ht="11.4" customHeight="1"/>
    <row r="47" spans="1:13" ht="11.4" customHeight="1"/>
    <row r="48" spans="1:13" ht="11.4" customHeight="1"/>
    <row r="49" ht="11.4" customHeight="1"/>
  </sheetData>
  <sheetProtection algorithmName="SHA-512" hashValue="zLqzxMlWbyEWhAblZS/dXv1TS4jEYVUy5DMVfCjX+z3zFDOxnYhvuliH37AaQFVYG5bvSgQ2IEgDZft2858s9Q==" saltValue="xAgyJBCfUJwynoxZacBFi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72" t="s">
        <v>703</v>
      </c>
      <c r="B2" s="3473"/>
      <c r="C2" s="3473"/>
      <c r="D2" s="3473"/>
      <c r="E2" s="3473"/>
      <c r="F2" s="3473"/>
      <c r="G2" s="3473"/>
      <c r="H2" s="3473"/>
      <c r="I2" s="3473"/>
      <c r="J2" s="3473"/>
      <c r="K2" s="3473"/>
      <c r="L2" s="3473"/>
      <c r="M2" s="3473"/>
      <c r="N2" s="3473"/>
      <c r="O2" s="3473"/>
      <c r="P2" s="3473"/>
      <c r="Q2" s="3473"/>
      <c r="R2" s="3474"/>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69">
        <v>0.1</v>
      </c>
      <c r="R12" s="3470"/>
      <c r="S12" s="291"/>
      <c r="T12" s="168"/>
      <c r="U12" s="168"/>
      <c r="V12" s="945"/>
      <c r="W12" s="945"/>
      <c r="X12" s="945"/>
      <c r="AA12" s="502"/>
      <c r="AB12" s="502"/>
    </row>
    <row r="13" spans="1:28" s="270" customFormat="1" ht="12.75" customHeight="1">
      <c r="A13" s="170"/>
      <c r="B13" s="170"/>
      <c r="C13" s="170"/>
      <c r="F13" s="1563" t="s">
        <v>2633</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75" t="s">
        <v>3252</v>
      </c>
      <c r="G20" s="3476"/>
      <c r="H20" s="3476"/>
      <c r="I20" s="3476"/>
      <c r="J20" s="3477"/>
      <c r="K20" s="280"/>
      <c r="L20" s="542" t="s">
        <v>3441</v>
      </c>
      <c r="M20" s="280"/>
      <c r="N20" s="3475" t="s">
        <v>3252</v>
      </c>
      <c r="O20" s="3476"/>
      <c r="P20" s="3476"/>
      <c r="Q20" s="3476"/>
      <c r="R20" s="3477"/>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3358</v>
      </c>
      <c r="G81" s="170"/>
      <c r="H81" s="168"/>
      <c r="I81" s="168"/>
      <c r="J81" s="170" t="s">
        <v>1174</v>
      </c>
      <c r="K81" s="170"/>
      <c r="L81" s="170"/>
      <c r="M81" s="170"/>
      <c r="N81" s="170"/>
      <c r="O81" s="170"/>
      <c r="P81" s="168"/>
      <c r="Q81" s="3458">
        <v>1000</v>
      </c>
      <c r="R81" s="3459"/>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58">
        <v>500</v>
      </c>
      <c r="R82" s="3459"/>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58">
        <v>1500</v>
      </c>
      <c r="R83" s="3459"/>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58">
        <v>1500</v>
      </c>
      <c r="R84" s="3459"/>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58">
        <v>1500</v>
      </c>
      <c r="R85" s="3459"/>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58">
        <v>1500</v>
      </c>
      <c r="R86" s="3459"/>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3458">
        <v>6500</v>
      </c>
      <c r="R87" s="3459"/>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3458">
        <v>5500</v>
      </c>
      <c r="R88" s="3459"/>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58">
        <v>5000</v>
      </c>
      <c r="R89" s="3459"/>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3458">
        <v>500</v>
      </c>
      <c r="R90" s="3459"/>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58">
        <v>1500</v>
      </c>
      <c r="R91" s="3459"/>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64">
        <v>0.08</v>
      </c>
      <c r="R92" s="3464"/>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64">
        <v>0.08</v>
      </c>
      <c r="R93" s="3464"/>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3458">
        <v>3000</v>
      </c>
      <c r="R94" s="3459"/>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3458">
        <v>1500</v>
      </c>
      <c r="R95" s="3459"/>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58">
        <v>800</v>
      </c>
      <c r="R96" s="3459"/>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3458">
        <v>1000</v>
      </c>
      <c r="R97" s="3459"/>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58">
        <v>800</v>
      </c>
      <c r="R98" s="3459"/>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58">
        <v>1500</v>
      </c>
      <c r="R99" s="3459"/>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3458">
        <v>3000</v>
      </c>
      <c r="R101" s="3459"/>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58">
        <v>75</v>
      </c>
      <c r="R102" s="3459"/>
      <c r="S102" s="282"/>
      <c r="T102" s="282"/>
      <c r="U102" s="282"/>
      <c r="AA102" s="502"/>
      <c r="AB102" s="502"/>
    </row>
    <row r="103" spans="1:28" customFormat="1" ht="11.25" customHeight="1">
      <c r="B103" s="170" t="s">
        <v>1815</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61">
        <v>25000</v>
      </c>
      <c r="R104" s="3461"/>
    </row>
    <row r="105" spans="1:28" customFormat="1" ht="11.25" customHeight="1">
      <c r="B105" s="27"/>
      <c r="C105" s="27"/>
      <c r="F105" s="158"/>
      <c r="G105" s="27"/>
      <c r="H105" s="1576"/>
      <c r="I105" s="27"/>
      <c r="J105" s="1582">
        <v>51</v>
      </c>
      <c r="K105" s="1584">
        <v>70</v>
      </c>
      <c r="Q105" s="3460">
        <v>20000</v>
      </c>
      <c r="R105" s="3460"/>
    </row>
    <row r="106" spans="1:28" customFormat="1" ht="11.25" customHeight="1">
      <c r="B106" s="27"/>
      <c r="C106" s="27"/>
      <c r="F106" s="158"/>
      <c r="G106" s="27"/>
      <c r="H106" s="1576"/>
      <c r="I106" s="27"/>
      <c r="J106" s="1582">
        <v>71</v>
      </c>
      <c r="K106" s="1583"/>
      <c r="Q106" s="3462">
        <v>15000</v>
      </c>
      <c r="R106" s="3462"/>
    </row>
    <row r="107" spans="1:28" customFormat="1" ht="11.25" customHeight="1">
      <c r="B107" s="27"/>
      <c r="C107" s="27"/>
      <c r="F107" s="27"/>
      <c r="G107" s="27"/>
      <c r="H107" s="1575">
        <v>0.04</v>
      </c>
      <c r="I107" s="27"/>
      <c r="J107" s="1582">
        <v>1</v>
      </c>
      <c r="K107" s="1584">
        <v>100</v>
      </c>
      <c r="Q107" s="3461">
        <v>18000</v>
      </c>
      <c r="R107" s="3461"/>
    </row>
    <row r="108" spans="1:28" customFormat="1" ht="11.25" customHeight="1">
      <c r="B108" s="27"/>
      <c r="C108" s="27"/>
      <c r="F108" s="27"/>
      <c r="G108" s="27"/>
      <c r="H108" s="1577"/>
      <c r="I108" s="27"/>
      <c r="J108" s="1582">
        <v>101</v>
      </c>
      <c r="K108" s="1584">
        <v>130</v>
      </c>
      <c r="Q108" s="3460">
        <v>15500</v>
      </c>
      <c r="R108" s="3460"/>
    </row>
    <row r="109" spans="1:28" customFormat="1" ht="11.25" customHeight="1">
      <c r="B109" s="27"/>
      <c r="C109" s="27"/>
      <c r="F109" s="27"/>
      <c r="G109" s="27"/>
      <c r="H109" s="1577"/>
      <c r="I109" s="27"/>
      <c r="J109" s="1582">
        <v>131</v>
      </c>
      <c r="K109" s="1583"/>
      <c r="Q109" s="3462">
        <v>13000</v>
      </c>
      <c r="R109" s="3462"/>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63">
        <v>2000000</v>
      </c>
      <c r="R112" s="3463"/>
    </row>
    <row r="113" spans="1:28" customFormat="1" ht="11.25" customHeight="1">
      <c r="B113" s="27"/>
      <c r="C113" s="27"/>
      <c r="F113" s="27"/>
      <c r="G113" s="27"/>
      <c r="H113" s="1579">
        <v>0.04</v>
      </c>
      <c r="I113" s="1571"/>
      <c r="J113" s="27"/>
      <c r="Q113" s="3463">
        <v>3500000</v>
      </c>
      <c r="R113" s="3463"/>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67">
        <v>3500000</v>
      </c>
      <c r="R115" s="3468"/>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65">
        <v>0.15</v>
      </c>
      <c r="R116" s="3466"/>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65">
        <v>0.15</v>
      </c>
      <c r="R117" s="346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65">
        <v>0.15</v>
      </c>
      <c r="R118" s="346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65">
        <v>0.15</v>
      </c>
      <c r="R119" s="346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65">
        <v>0.15</v>
      </c>
      <c r="R120" s="3466"/>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65">
        <v>0.15</v>
      </c>
      <c r="R121" s="3466"/>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65" t="s">
        <v>2312</v>
      </c>
      <c r="R122" s="3466"/>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58">
        <v>3000</v>
      </c>
      <c r="R128" s="3459"/>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64">
        <v>0.02</v>
      </c>
      <c r="R136" s="3464"/>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64">
        <v>7.0000000000000007E-2</v>
      </c>
      <c r="R137" s="3464"/>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64">
        <v>7.0000000000000007E-2</v>
      </c>
      <c r="R138" s="3464"/>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64">
        <v>0.03</v>
      </c>
      <c r="R139" s="3464"/>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64">
        <v>0.03</v>
      </c>
      <c r="R140" s="3464"/>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64">
        <v>0</v>
      </c>
      <c r="R141" s="3464"/>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64">
        <v>0.1</v>
      </c>
      <c r="R143" s="3464"/>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57">
        <v>1000000</v>
      </c>
      <c r="R144" s="3457"/>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57">
        <v>1500000</v>
      </c>
      <c r="R145" s="3457"/>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57">
        <v>375000</v>
      </c>
      <c r="R146" s="3457"/>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3457"/>
      <c r="R147" s="3457"/>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57">
        <v>4000000</v>
      </c>
      <c r="R148" s="3457"/>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4232</v>
      </c>
      <c r="K151" s="170"/>
      <c r="L151" s="170"/>
      <c r="M151" s="170"/>
      <c r="N151" s="170"/>
      <c r="O151" s="170"/>
      <c r="P151" s="168"/>
      <c r="Q151" s="3464">
        <v>0.35</v>
      </c>
      <c r="R151" s="3464"/>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64" t="s">
        <v>2723</v>
      </c>
      <c r="R152" s="3464"/>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64">
        <v>0.05</v>
      </c>
      <c r="R154" s="3464"/>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64">
        <v>0.4</v>
      </c>
      <c r="R155" s="3464"/>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64">
        <v>0.02</v>
      </c>
      <c r="R156" s="3464"/>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71" t="s">
        <v>3829</v>
      </c>
      <c r="E169" s="282"/>
      <c r="F169" s="282"/>
    </row>
    <row r="170" spans="2:37" ht="10.5" customHeight="1">
      <c r="C170" s="3471"/>
      <c r="E170" s="282"/>
      <c r="F170" s="282"/>
    </row>
    <row r="171" spans="2:37" ht="10.5" customHeight="1">
      <c r="C171" s="3471"/>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3929</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3556</v>
      </c>
      <c r="L262" s="970" t="s">
        <v>416</v>
      </c>
      <c r="M262" s="1050" t="s">
        <v>2531</v>
      </c>
      <c r="N262" s="1050" t="s">
        <v>1303</v>
      </c>
      <c r="O262" s="1207" t="s">
        <v>4019</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3555</v>
      </c>
      <c r="L276" s="970" t="s">
        <v>416</v>
      </c>
      <c r="M276" s="1050" t="s">
        <v>2531</v>
      </c>
      <c r="N276" s="1050" t="s">
        <v>1179</v>
      </c>
      <c r="O276" s="1207" t="s">
        <v>4033</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4240</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50">
        <v>2019</v>
      </c>
      <c r="D334" s="3451"/>
      <c r="E334" s="3451"/>
      <c r="F334" s="3451"/>
      <c r="G334" s="3450">
        <v>2020</v>
      </c>
      <c r="H334" s="3450"/>
      <c r="I334" s="3450"/>
      <c r="J334" s="3450"/>
      <c r="K334"/>
      <c r="L334" s="3452" t="s">
        <v>4764</v>
      </c>
      <c r="M334" s="3453"/>
      <c r="N334" s="3453"/>
      <c r="O334" s="3454"/>
      <c r="P334" s="530" t="s">
        <v>774</v>
      </c>
      <c r="Q334" s="291"/>
      <c r="R334" s="170"/>
      <c r="S334" s="387"/>
      <c r="T334" s="531" t="s">
        <v>671</v>
      </c>
      <c r="U334" s="531" t="s">
        <v>2126</v>
      </c>
      <c r="W334" s="427" t="s">
        <v>1422</v>
      </c>
      <c r="X334" s="427" t="s">
        <v>3278</v>
      </c>
      <c r="AA334" s="27"/>
      <c r="AB334" s="27"/>
      <c r="AC334" s="889"/>
      <c r="AD334" s="502"/>
    </row>
    <row r="335" spans="3:30" ht="10.5" customHeight="1">
      <c r="C335" s="3455" t="s">
        <v>4607</v>
      </c>
      <c r="D335" s="3456" t="s">
        <v>4608</v>
      </c>
      <c r="E335" s="3456" t="s">
        <v>4609</v>
      </c>
      <c r="F335" s="3456" t="s">
        <v>4610</v>
      </c>
      <c r="G335" s="3455" t="s">
        <v>4607</v>
      </c>
      <c r="H335" s="3456" t="s">
        <v>4608</v>
      </c>
      <c r="I335" s="3456" t="s">
        <v>4609</v>
      </c>
      <c r="J335" s="3456" t="s">
        <v>4610</v>
      </c>
      <c r="K335"/>
      <c r="L335" s="3455" t="s">
        <v>4607</v>
      </c>
      <c r="M335" s="3456" t="s">
        <v>4608</v>
      </c>
      <c r="N335" s="3456" t="s">
        <v>4609</v>
      </c>
      <c r="O335" s="3456" t="s">
        <v>4610</v>
      </c>
      <c r="P335" s="530" t="s">
        <v>2358</v>
      </c>
      <c r="Q335" s="291"/>
      <c r="R335" s="170"/>
      <c r="S335" s="387"/>
      <c r="T335" s="491" t="s">
        <v>151</v>
      </c>
      <c r="U335" s="491" t="s">
        <v>1828</v>
      </c>
      <c r="W335" s="427" t="s">
        <v>1549</v>
      </c>
      <c r="X335" s="427" t="s">
        <v>3278</v>
      </c>
      <c r="AA335" s="27"/>
      <c r="AB335" s="27"/>
      <c r="AC335" s="890"/>
      <c r="AD335" s="502"/>
    </row>
    <row r="336" spans="3:30" ht="10.5" customHeight="1">
      <c r="C336" s="3455"/>
      <c r="D336" s="3456"/>
      <c r="E336" s="3456"/>
      <c r="F336" s="3456"/>
      <c r="G336" s="3455"/>
      <c r="H336" s="3456"/>
      <c r="I336" s="3456"/>
      <c r="J336" s="3456"/>
      <c r="K336"/>
      <c r="L336" s="3455"/>
      <c r="M336" s="3456"/>
      <c r="N336" s="3456"/>
      <c r="O336" s="3456"/>
      <c r="P336" s="530" t="s">
        <v>2359</v>
      </c>
      <c r="Q336" s="291"/>
      <c r="R336" s="170"/>
      <c r="S336" s="387"/>
      <c r="T336" s="491" t="s">
        <v>192</v>
      </c>
      <c r="U336" s="491" t="s">
        <v>610</v>
      </c>
      <c r="W336" s="427" t="s">
        <v>2069</v>
      </c>
      <c r="X336" s="427" t="s">
        <v>3278</v>
      </c>
      <c r="AA336" s="27"/>
      <c r="AB336" s="27"/>
      <c r="AC336" s="889"/>
      <c r="AD336" s="502"/>
    </row>
    <row r="337" spans="3:30" ht="10.5" customHeight="1">
      <c r="C337" s="3455"/>
      <c r="D337" s="3456"/>
      <c r="E337" s="3456"/>
      <c r="F337" s="3456"/>
      <c r="G337" s="3455"/>
      <c r="H337" s="3456"/>
      <c r="I337" s="3456"/>
      <c r="J337" s="3456"/>
      <c r="K337"/>
      <c r="L337" s="3455"/>
      <c r="M337" s="3456"/>
      <c r="N337" s="3456"/>
      <c r="O337" s="3456"/>
      <c r="P337" s="530" t="s">
        <v>2361</v>
      </c>
      <c r="Q337" s="291"/>
      <c r="R337" s="170"/>
      <c r="S337" s="387"/>
      <c r="T337" s="491" t="s">
        <v>2501</v>
      </c>
      <c r="U337" s="491" t="s">
        <v>1961</v>
      </c>
      <c r="W337" s="427" t="s">
        <v>2071</v>
      </c>
      <c r="X337" s="427" t="s">
        <v>3278</v>
      </c>
      <c r="AA337" s="27"/>
      <c r="AB337" s="27"/>
      <c r="AC337" s="889"/>
      <c r="AD337" s="502"/>
    </row>
    <row r="338" spans="3:30" ht="10.5" customHeight="1">
      <c r="C338" s="3455"/>
      <c r="D338" s="3456"/>
      <c r="E338" s="3456"/>
      <c r="F338" s="3456"/>
      <c r="G338" s="3455"/>
      <c r="H338" s="3456"/>
      <c r="I338" s="3456"/>
      <c r="J338" s="3456"/>
      <c r="K338"/>
      <c r="L338" s="3455"/>
      <c r="M338" s="3456"/>
      <c r="N338" s="3456"/>
      <c r="O338" s="3456"/>
      <c r="P338" s="530" t="s">
        <v>2363</v>
      </c>
      <c r="Q338" s="291"/>
      <c r="R338" s="170"/>
      <c r="S338" s="387"/>
      <c r="T338" s="491" t="s">
        <v>771</v>
      </c>
      <c r="U338" s="491" t="s">
        <v>103</v>
      </c>
      <c r="W338" s="427" t="s">
        <v>1413</v>
      </c>
      <c r="X338" s="427" t="s">
        <v>3278</v>
      </c>
      <c r="AA338" s="27"/>
      <c r="AB338" s="27"/>
      <c r="AC338" s="889"/>
      <c r="AD338" s="502"/>
    </row>
    <row r="339" spans="3:30" ht="10.5" customHeight="1">
      <c r="C339" s="3455"/>
      <c r="D339" s="3456"/>
      <c r="E339" s="3456"/>
      <c r="F339" s="3456"/>
      <c r="G339" s="3455"/>
      <c r="H339" s="3456"/>
      <c r="I339" s="3456"/>
      <c r="J339" s="3456"/>
      <c r="K339"/>
      <c r="L339" s="3455"/>
      <c r="M339" s="3456"/>
      <c r="N339" s="3456"/>
      <c r="O339" s="3456"/>
      <c r="P339" s="530" t="s">
        <v>2364</v>
      </c>
      <c r="Q339" s="291"/>
      <c r="R339" s="170"/>
      <c r="S339" s="387"/>
      <c r="T339" s="491" t="s">
        <v>773</v>
      </c>
      <c r="U339" s="491" t="s">
        <v>119</v>
      </c>
      <c r="W339" s="427" t="s">
        <v>1523</v>
      </c>
      <c r="X339" s="427" t="s">
        <v>3278</v>
      </c>
      <c r="AA339" s="27"/>
      <c r="AB339" s="27"/>
      <c r="AC339" s="889"/>
      <c r="AD339" s="502"/>
    </row>
    <row r="340" spans="3:30" ht="10.5" customHeight="1">
      <c r="C340" s="3455"/>
      <c r="D340" s="3456"/>
      <c r="E340" s="3456"/>
      <c r="F340" s="3456"/>
      <c r="G340" s="3455"/>
      <c r="H340" s="3456"/>
      <c r="I340" s="3456"/>
      <c r="J340" s="3456"/>
      <c r="K340"/>
      <c r="L340" s="3455"/>
      <c r="M340" s="3456"/>
      <c r="N340" s="3456"/>
      <c r="O340" s="3456"/>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1887</v>
      </c>
      <c r="Q366" s="291"/>
      <c r="R366" s="170"/>
      <c r="S366" s="387"/>
      <c r="T366" s="531" t="s">
        <v>4241</v>
      </c>
      <c r="U366" s="531" t="s">
        <v>646</v>
      </c>
      <c r="W366" s="427" t="s">
        <v>2450</v>
      </c>
      <c r="X366" s="427" t="s">
        <v>3278</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3278</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1854</v>
      </c>
      <c r="Q693" s="291"/>
      <c r="R693" s="170"/>
      <c r="S693" s="387"/>
      <c r="T693" s="491" t="s">
        <v>4242</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1920</v>
      </c>
      <c r="Q706" s="291"/>
      <c r="R706" s="170"/>
      <c r="S706" s="387"/>
      <c r="T706" s="491" t="s">
        <v>4243</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4XMSVWEBoDMJbLH/I/qnpRypXlpWMFrXwRWylXme0SubQfRROsqb5TLrMX1B28zSi4QLuJg6oljg4Uw8Ws4R5A==" saltValue="0Xvugy+UtzWB8IMJQ2Vok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dimension ref="A1:BFO2104"/>
  <sheetViews>
    <sheetView showGridLines="0" topLeftCell="A1243" workbookViewId="0">
      <selection activeCell="A1243"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2.2187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2187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Dulles Park II</v>
      </c>
    </row>
    <row r="3" spans="1:6" ht="13.8">
      <c r="A3" s="1818" t="str">
        <f>CONCATENATE('Part I-Project Information'!F38,", ", 'Part I-Project Information'!J39," County")</f>
        <v>Gray, Jones County</v>
      </c>
    </row>
    <row r="5" spans="1:6" ht="13.35" customHeight="1">
      <c r="A5" s="1844" t="str">
        <f>'Project Narrative'!A5</f>
        <v>Magita Inc is proposing to develop a 48 unit senior, 55+ complex in Gray, Ga to be named Dulles Park II. The site is located adjacent to the original Dulles Park, which was developed by related parties some 15 years ago, and will make use of existing city utilities. In spite of the fact that the original Dulles Park has some age on it, it remains a very desirable property, and well liked in the local community.
Like the original, Dulles Park II is designed to meet the needs of people fifty-five years or older in this area.
The development consists of 14 one bedroom and 34 two bedroom units restricted to a resident base for households making at or below 50% and 60% of AMI.
Dulles Park II offers amenities suited to the senior tenancy with a fully equipped fitness center, healthy eating and computer skills classes. The community is also within a ½ mile of Harvey’s Supermarket, pharmacies and multiple restaurants. It is also within a mile of Jones County Senior Center, parks and a church.
In addition, Dulles Park II‘s management company will promote a healthy eating and lifestyle initiative through monthly newsletters and a well-maintained Community Garden.</v>
      </c>
      <c r="B5" s="1973" t="s">
        <v>4459</v>
      </c>
      <c r="C5" s="1973"/>
      <c r="D5" s="1973"/>
      <c r="E5" s="1973"/>
      <c r="F5" s="1973"/>
    </row>
    <row r="6" spans="1:6" ht="13.35" customHeight="1">
      <c r="A6" s="1844"/>
      <c r="B6" s="1973"/>
      <c r="C6" s="1973"/>
      <c r="D6" s="1973"/>
      <c r="E6" s="1973"/>
      <c r="F6" s="1973"/>
    </row>
    <row r="7" spans="1:6" ht="13.35" customHeight="1">
      <c r="A7" s="1844"/>
      <c r="B7" s="1973"/>
      <c r="C7" s="1973"/>
      <c r="D7" s="1973"/>
      <c r="E7" s="1973"/>
      <c r="F7" s="1973"/>
    </row>
    <row r="8" spans="1:6" ht="13.35" customHeight="1">
      <c r="A8" s="1844"/>
    </row>
    <row r="9" spans="1:6" ht="13.35" customHeight="1">
      <c r="A9" s="1844"/>
    </row>
    <row r="10" spans="1:6" ht="13.35" customHeight="1">
      <c r="A10" s="1844"/>
    </row>
    <row r="11" spans="1:6" ht="13.35" customHeight="1">
      <c r="A11" s="1844"/>
    </row>
    <row r="12" spans="1:6" ht="13.35" customHeight="1">
      <c r="A12" s="1844"/>
    </row>
    <row r="13" spans="1:6" ht="13.35" customHeight="1">
      <c r="A13" s="1844"/>
    </row>
    <row r="14" spans="1:6" ht="13.35" customHeight="1">
      <c r="A14" s="1844"/>
    </row>
    <row r="15" spans="1:6" ht="13.35" customHeight="1">
      <c r="A15" s="1844"/>
    </row>
    <row r="16" spans="1:6" ht="13.35" customHeight="1">
      <c r="A16" s="1844"/>
    </row>
    <row r="17" spans="1:21" ht="13.35" customHeight="1">
      <c r="A17" s="1844"/>
    </row>
    <row r="18" spans="1:21" ht="13.35" customHeight="1">
      <c r="A18" s="1844"/>
    </row>
    <row r="19" spans="1:21" ht="13.35" customHeight="1">
      <c r="A19" s="1844"/>
    </row>
    <row r="20" spans="1:21" ht="13.35" customHeight="1">
      <c r="A20" s="1844"/>
    </row>
    <row r="21" spans="1:21" ht="13.35" customHeight="1">
      <c r="A21" s="1844"/>
    </row>
    <row r="22" spans="1:21" ht="13.35" customHeight="1">
      <c r="A22" s="1844"/>
    </row>
    <row r="23" spans="1:21" ht="13.35"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6917</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2020-059</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3604</v>
      </c>
      <c r="G34" s="1819"/>
      <c r="H34" s="1819"/>
      <c r="I34" s="1824">
        <f>'Part IV-A-Uses of Funds'!$J$184</f>
        <v>887000</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6963</v>
      </c>
      <c r="K36" s="1819"/>
      <c r="L36" s="1821"/>
      <c r="M36" s="1819"/>
      <c r="N36" s="1819"/>
      <c r="O36" s="1819" t="str">
        <f>'Part I-Project Information'!O11</f>
        <v>2020PA-079</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Yes</v>
      </c>
      <c r="G39" s="1823" t="s">
        <v>4818</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4800</v>
      </c>
      <c r="C40" s="1819"/>
      <c r="D40" s="1819"/>
      <c r="E40" s="1819"/>
      <c r="F40" s="1965" t="str">
        <f>'Part I-Project Information'!F15</f>
        <v>Dulles Park II</v>
      </c>
      <c r="G40" s="1965"/>
      <c r="H40" s="1965"/>
      <c r="I40" s="1965"/>
      <c r="J40" s="1819" t="s">
        <v>4514</v>
      </c>
      <c r="K40" s="1819"/>
      <c r="L40" s="1819" t="str">
        <f>'Part I-Project Information'!L15</f>
        <v>2019-060</v>
      </c>
      <c r="M40" s="1819"/>
      <c r="N40" s="1819" t="s">
        <v>4513</v>
      </c>
      <c r="O40" s="1819"/>
      <c r="P40" s="1832" t="str">
        <f>'Part I-Project Information'!P15</f>
        <v>No</v>
      </c>
      <c r="Q40" s="1819"/>
      <c r="R40" s="1819"/>
      <c r="S40" s="1819"/>
      <c r="T40" s="1819"/>
      <c r="U40" s="1819"/>
    </row>
    <row r="41" spans="1:21" ht="13.8">
      <c r="A41" s="1821"/>
      <c r="B41" s="1819" t="s">
        <v>3603</v>
      </c>
      <c r="C41" s="1819"/>
      <c r="D41" s="1819"/>
      <c r="E41" s="1819"/>
      <c r="F41" s="1861" t="str">
        <f>'Part I-Project Information'!F16</f>
        <v>No</v>
      </c>
      <c r="G41" s="1819" t="s">
        <v>4452</v>
      </c>
      <c r="H41" s="1821"/>
      <c r="I41" s="1822"/>
      <c r="J41" s="1823"/>
      <c r="K41" s="1819"/>
      <c r="L41" s="1819"/>
      <c r="M41" s="1819"/>
      <c r="N41" s="1849" t="str">
        <f>'Part I-Project Information'!N16</f>
        <v>Qualified w/ Conditions (i)</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Magita, Inc</v>
      </c>
      <c r="G45" s="1819"/>
      <c r="H45" s="1819"/>
      <c r="I45" s="1819" t="s">
        <v>1753</v>
      </c>
      <c r="J45" s="1819" t="str">
        <f>'Part I-Project Information'!J20</f>
        <v>Roya Collins</v>
      </c>
      <c r="K45" s="1819"/>
      <c r="L45" s="1819"/>
      <c r="M45" s="1823" t="s">
        <v>1932</v>
      </c>
      <c r="N45" s="1819" t="str">
        <f>'Part I-Project Information'!N20</f>
        <v>President</v>
      </c>
      <c r="O45" s="1819"/>
      <c r="P45" s="1819"/>
      <c r="Q45" s="1819"/>
      <c r="R45" s="1819"/>
      <c r="S45" s="1819"/>
      <c r="T45" s="1819"/>
      <c r="U45" s="1819"/>
    </row>
    <row r="46" spans="1:21" ht="13.95" customHeight="1">
      <c r="A46" s="1819"/>
      <c r="B46" s="1823" t="s">
        <v>1933</v>
      </c>
      <c r="C46" s="1819"/>
      <c r="D46" s="1819"/>
      <c r="E46" s="1819"/>
      <c r="F46" s="1819" t="str">
        <f>'Part I-Project Information'!F21</f>
        <v>1820 The Exchange SE #350</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303392063</v>
      </c>
      <c r="G48" s="2187"/>
      <c r="H48" s="2187"/>
      <c r="I48" s="1823" t="s">
        <v>1678</v>
      </c>
      <c r="J48" s="2188">
        <f>'Part I-Project Information'!J23</f>
        <v>4043344590</v>
      </c>
      <c r="K48" s="2188"/>
      <c r="L48" s="1821" t="s">
        <v>1677</v>
      </c>
      <c r="M48" s="1821">
        <f>'Part I-Project Information'!M23</f>
        <v>0</v>
      </c>
      <c r="N48" s="1823" t="s">
        <v>1679</v>
      </c>
      <c r="O48" s="2188">
        <f>'Part I-Project Information'!O23</f>
        <v>4043344590</v>
      </c>
      <c r="P48" s="2188"/>
      <c r="Q48" s="1819"/>
      <c r="R48" s="1819"/>
      <c r="S48" s="1819"/>
      <c r="T48" s="1819"/>
      <c r="U48" s="1819"/>
    </row>
    <row r="49" spans="1:21" ht="13.8">
      <c r="A49" s="1819"/>
      <c r="B49" s="1823" t="s">
        <v>1936</v>
      </c>
      <c r="C49" s="1819"/>
      <c r="D49" s="1819"/>
      <c r="E49" s="1819"/>
      <c r="F49" s="1819" t="str">
        <f>'Part I-Project Information'!F24</f>
        <v>roya@potemkindevelopment.com</v>
      </c>
      <c r="G49" s="1819"/>
      <c r="H49" s="1819"/>
      <c r="I49" s="1819"/>
      <c r="J49" s="1819"/>
      <c r="K49" s="1819"/>
      <c r="L49" s="1819"/>
      <c r="M49" s="1819"/>
      <c r="N49" s="1823" t="s">
        <v>1931</v>
      </c>
      <c r="O49" s="2188">
        <f>'Part I-Project Information'!O24</f>
        <v>7703630414</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f>'Part I-Project Information'!F26</f>
        <v>0</v>
      </c>
      <c r="G51" s="1819"/>
      <c r="H51" s="1819"/>
      <c r="I51" s="1819" t="s">
        <v>1753</v>
      </c>
      <c r="J51" s="1819">
        <f>'Part I-Project Information'!J26</f>
        <v>0</v>
      </c>
      <c r="K51" s="1819"/>
      <c r="L51" s="1819"/>
      <c r="M51" s="1823" t="s">
        <v>1932</v>
      </c>
      <c r="N51" s="1819">
        <f>'Part I-Project Information'!N26</f>
        <v>0</v>
      </c>
      <c r="O51" s="1819"/>
      <c r="P51" s="1819"/>
      <c r="Q51" s="1819"/>
      <c r="R51" s="1819"/>
      <c r="S51" s="1819"/>
      <c r="T51" s="1819"/>
      <c r="U51" s="1819"/>
    </row>
    <row r="52" spans="1:21" ht="13.95" customHeight="1">
      <c r="A52" s="1819"/>
      <c r="B52" s="1823" t="s">
        <v>1933</v>
      </c>
      <c r="C52" s="1819"/>
      <c r="D52" s="1819"/>
      <c r="E52" s="1819"/>
      <c r="F52" s="1819">
        <f>'Part I-Project Information'!F27</f>
        <v>0</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f>'Part I-Project Information'!F28</f>
        <v>0</v>
      </c>
      <c r="G53" s="1819"/>
      <c r="H53" s="1819"/>
      <c r="I53" s="1823" t="s">
        <v>1754</v>
      </c>
      <c r="J53" s="1838">
        <f>'Part I-Project Information'!J28</f>
        <v>0</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0</v>
      </c>
      <c r="G54" s="2187"/>
      <c r="H54" s="2187"/>
      <c r="I54" s="1823" t="s">
        <v>1678</v>
      </c>
      <c r="J54" s="2188">
        <f>'Part I-Project Information'!J29</f>
        <v>0</v>
      </c>
      <c r="K54" s="2188"/>
      <c r="L54" s="1821" t="s">
        <v>1677</v>
      </c>
      <c r="M54" s="1821">
        <f>'Part I-Project Information'!M29</f>
        <v>0</v>
      </c>
      <c r="N54" s="1823" t="s">
        <v>1679</v>
      </c>
      <c r="O54" s="2188">
        <f>'Part I-Project Information'!O29</f>
        <v>0</v>
      </c>
      <c r="P54" s="2188"/>
      <c r="Q54" s="1819"/>
      <c r="R54" s="1819"/>
      <c r="S54" s="1819"/>
      <c r="T54" s="1819"/>
      <c r="U54" s="1819"/>
    </row>
    <row r="55" spans="1:21" ht="13.8">
      <c r="A55" s="1819"/>
      <c r="B55" s="1823" t="s">
        <v>1936</v>
      </c>
      <c r="C55" s="1819"/>
      <c r="D55" s="1819"/>
      <c r="E55" s="1819"/>
      <c r="F55" s="1819">
        <f>'Part I-Project Information'!F30</f>
        <v>0</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Dulles Park II</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226 Old Clinton Road</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6849</v>
      </c>
      <c r="C61" s="1819"/>
      <c r="D61" s="1826"/>
      <c r="E61" s="1819"/>
      <c r="F61" s="1965" t="str">
        <f>'Part I-Project Information'!F36</f>
        <v>226 Old Clinton Road</v>
      </c>
      <c r="G61" s="1965"/>
      <c r="H61" s="1965"/>
      <c r="I61" s="1965"/>
      <c r="J61" s="1965"/>
      <c r="K61" s="1965"/>
      <c r="L61" s="1823" t="s">
        <v>2001</v>
      </c>
      <c r="M61" s="1819"/>
      <c r="N61" s="1821" t="str">
        <f>'Part I-Project Information'!N36</f>
        <v>No</v>
      </c>
      <c r="O61" s="1821" t="s">
        <v>3505</v>
      </c>
      <c r="P61" s="1821">
        <f>'Part I-Project Information'!P36</f>
        <v>0</v>
      </c>
      <c r="Q61" s="1819"/>
      <c r="R61" s="1819"/>
      <c r="S61" s="1819"/>
      <c r="T61" s="1819"/>
      <c r="U61" s="1819"/>
    </row>
    <row r="62" spans="1:21" ht="13.8">
      <c r="A62" s="1826"/>
      <c r="B62" s="1819" t="s">
        <v>3553</v>
      </c>
      <c r="C62" s="1819"/>
      <c r="D62" s="1826"/>
      <c r="E62" s="1819"/>
      <c r="F62" s="1819" t="s">
        <v>3535</v>
      </c>
      <c r="G62" s="2189">
        <f>'Part I-Project Information'!G37</f>
        <v>33.00714</v>
      </c>
      <c r="H62" s="2189"/>
      <c r="I62" s="1821" t="s">
        <v>3536</v>
      </c>
      <c r="J62" s="2189">
        <f>'Part I-Project Information'!J37</f>
        <v>-83.544801000000007</v>
      </c>
      <c r="K62" s="2189"/>
      <c r="L62" s="1823" t="s">
        <v>2224</v>
      </c>
      <c r="M62" s="1819"/>
      <c r="N62" s="1819"/>
      <c r="O62" s="2190">
        <f>'Part I-Project Information'!O37</f>
        <v>24.58</v>
      </c>
      <c r="P62" s="2190"/>
      <c r="Q62" s="1819"/>
      <c r="R62" s="1819"/>
      <c r="S62" s="1819"/>
      <c r="T62" s="1819"/>
      <c r="U62" s="1819"/>
    </row>
    <row r="63" spans="1:21" ht="14.4">
      <c r="A63" s="1821"/>
      <c r="B63" s="1819" t="s">
        <v>600</v>
      </c>
      <c r="C63" s="1819"/>
      <c r="D63" s="1819"/>
      <c r="E63" s="1819"/>
      <c r="F63" s="1819" t="str">
        <f>'Part I-Project Information'!F38</f>
        <v>Gray</v>
      </c>
      <c r="G63" s="1819"/>
      <c r="H63" s="1819"/>
      <c r="I63" s="1829" t="s">
        <v>6964</v>
      </c>
      <c r="J63" s="2187">
        <f>'Part I-Project Information'!J38</f>
        <v>310325400</v>
      </c>
      <c r="K63" s="2187"/>
      <c r="L63" s="1819" t="str">
        <f>IF(AND(NOT(F59=""),NOT(F63="Select from list"),J63=""),"Enter Zip!","")</f>
        <v/>
      </c>
      <c r="M63" s="1830" t="s">
        <v>2802</v>
      </c>
      <c r="N63" s="1819"/>
      <c r="O63" s="2067" t="str">
        <f>'Part I-Project Information'!O38</f>
        <v>13169030301</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Jones</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MSA</v>
      </c>
      <c r="O65" s="1819" t="str">
        <f>'Part I-Project Information'!O40</f>
        <v>Macon</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2672</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8</v>
      </c>
      <c r="G68" s="2191"/>
      <c r="H68" s="2191">
        <f>'Part I-Project Information'!H43</f>
        <v>26</v>
      </c>
      <c r="I68" s="2191"/>
      <c r="J68" s="2191">
        <f>'Part I-Project Information'!J43</f>
        <v>129</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Gray</v>
      </c>
      <c r="G71" s="1882"/>
      <c r="H71" s="1882"/>
      <c r="I71" s="1882"/>
      <c r="J71" s="1882"/>
      <c r="K71" s="1882"/>
      <c r="L71" s="1833" t="s">
        <v>2624</v>
      </c>
      <c r="M71" s="1819" t="str">
        <f>'Part I-Project Information'!M46</f>
        <v>grayga.us</v>
      </c>
      <c r="N71" s="1819"/>
      <c r="O71" s="1819"/>
      <c r="P71" s="1819"/>
      <c r="Q71" s="1819"/>
      <c r="R71" s="1819"/>
      <c r="S71" s="1819"/>
      <c r="T71" s="1819"/>
      <c r="U71" s="1819"/>
    </row>
    <row r="72" spans="1:21" ht="13.8">
      <c r="A72" s="1821"/>
      <c r="B72" s="1819" t="s">
        <v>620</v>
      </c>
      <c r="C72" s="1819"/>
      <c r="D72" s="1819"/>
      <c r="E72" s="1819"/>
      <c r="F72" s="1882" t="str">
        <f>'Part I-Project Information'!F47</f>
        <v>Ed Barbee</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 xml:space="preserve">109 James St. </v>
      </c>
      <c r="G73" s="1882"/>
      <c r="H73" s="1882"/>
      <c r="I73" s="1882"/>
      <c r="J73" s="1882"/>
      <c r="K73" s="1882"/>
      <c r="L73" s="1823" t="s">
        <v>600</v>
      </c>
      <c r="M73" s="1882" t="str">
        <f>'Part I-Project Information'!M48</f>
        <v>Gray</v>
      </c>
      <c r="N73" s="1882"/>
      <c r="O73" s="1882"/>
      <c r="P73" s="1882"/>
      <c r="Q73" s="1819"/>
      <c r="R73" s="1819"/>
      <c r="S73" s="1819"/>
      <c r="T73" s="1819"/>
      <c r="U73" s="1819"/>
    </row>
    <row r="74" spans="1:21" ht="13.8">
      <c r="A74" s="1821"/>
      <c r="B74" s="1823" t="s">
        <v>2172</v>
      </c>
      <c r="C74" s="1819"/>
      <c r="D74" s="1819"/>
      <c r="E74" s="1819"/>
      <c r="F74" s="2187">
        <f>'Part I-Project Information'!F49</f>
        <v>310320000</v>
      </c>
      <c r="G74" s="2187"/>
      <c r="H74" s="1821" t="s">
        <v>1934</v>
      </c>
      <c r="I74" s="2188">
        <f>'Part I-Project Information'!I49</f>
        <v>4789865433</v>
      </c>
      <c r="J74" s="2188"/>
      <c r="K74" s="2188"/>
      <c r="L74" s="1823" t="s">
        <v>1755</v>
      </c>
      <c r="M74" s="1882" t="str">
        <f>'Part I-Project Information'!M49</f>
        <v>Ed.Barbee@Grayga.us</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48</v>
      </c>
      <c r="I79" s="1827"/>
      <c r="J79" s="1827"/>
      <c r="K79" s="1823" t="s">
        <v>3498</v>
      </c>
      <c r="L79" s="1819"/>
      <c r="M79" s="1955" t="s">
        <v>3497</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48</v>
      </c>
      <c r="I86" s="1839">
        <f>SUM(I87:I93)</f>
        <v>0</v>
      </c>
      <c r="J86" s="1821"/>
      <c r="K86" s="1827" t="s">
        <v>2681</v>
      </c>
      <c r="L86" s="1819"/>
      <c r="M86" s="1819"/>
      <c r="N86" s="1819"/>
      <c r="O86" s="1819"/>
      <c r="P86" s="1839">
        <f>SUM(P87:P93)</f>
        <v>49300</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38</v>
      </c>
      <c r="I89" s="1834">
        <f>'Part I-Project Information'!I64</f>
        <v>0</v>
      </c>
      <c r="J89" s="1819"/>
      <c r="K89" s="1819"/>
      <c r="L89" s="1827" t="s">
        <v>4214</v>
      </c>
      <c r="M89" s="1819"/>
      <c r="N89" s="1819"/>
      <c r="O89" s="1819"/>
      <c r="P89" s="1834">
        <f>'Part I-Project Information'!P64</f>
        <v>39050</v>
      </c>
      <c r="Q89" s="1819"/>
      <c r="R89" s="1819"/>
      <c r="S89" s="1819"/>
      <c r="T89" s="1819"/>
      <c r="U89" s="1819"/>
    </row>
    <row r="90" spans="1:21" ht="13.8">
      <c r="A90" s="1821"/>
      <c r="B90" s="1819"/>
      <c r="C90" s="1819"/>
      <c r="D90" s="1827" t="s">
        <v>4215</v>
      </c>
      <c r="E90" s="1819"/>
      <c r="F90" s="1819"/>
      <c r="G90" s="1819"/>
      <c r="H90" s="1834">
        <f>'Part I-Project Information'!H65</f>
        <v>10</v>
      </c>
      <c r="I90" s="1834">
        <f>'Part I-Project Information'!I65</f>
        <v>0</v>
      </c>
      <c r="J90" s="1819"/>
      <c r="K90" s="1819"/>
      <c r="L90" s="1827" t="s">
        <v>4215</v>
      </c>
      <c r="M90" s="1819"/>
      <c r="N90" s="1819"/>
      <c r="O90" s="1819"/>
      <c r="P90" s="1834">
        <f>'Part I-Project Information'!P65</f>
        <v>10250</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48</v>
      </c>
      <c r="I95" s="1819"/>
      <c r="J95" s="1821"/>
      <c r="K95" s="1827" t="s">
        <v>2683</v>
      </c>
      <c r="L95" s="1819"/>
      <c r="M95" s="1819"/>
      <c r="N95" s="1819"/>
      <c r="O95" s="1819"/>
      <c r="P95" s="1839">
        <f>P86+P94</f>
        <v>49300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48</v>
      </c>
      <c r="I97" s="1819"/>
      <c r="J97" s="1819"/>
      <c r="K97" s="1827" t="s">
        <v>1392</v>
      </c>
      <c r="L97" s="1819"/>
      <c r="M97" s="1819"/>
      <c r="N97" s="1819"/>
      <c r="O97" s="1819"/>
      <c r="P97" s="1839">
        <f>+P95+P96</f>
        <v>49300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7</v>
      </c>
      <c r="I99" s="1819"/>
      <c r="J99" s="1819"/>
      <c r="K99" s="1827" t="s">
        <v>6815</v>
      </c>
      <c r="L99" s="1819"/>
      <c r="M99" s="1819"/>
      <c r="N99" s="1819"/>
      <c r="O99" s="1819"/>
      <c r="P99" s="1839">
        <f>'Part I-Project Information'!P74</f>
        <v>2100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51400</v>
      </c>
      <c r="Q100" s="1819"/>
      <c r="R100" s="1819"/>
      <c r="S100" s="1819"/>
      <c r="T100" s="1819"/>
      <c r="U100" s="1819"/>
    </row>
    <row r="101" spans="1:21" ht="13.8">
      <c r="A101" s="1821"/>
      <c r="B101" s="1821"/>
      <c r="C101" s="1819"/>
      <c r="D101" s="1838" t="s">
        <v>1950</v>
      </c>
      <c r="E101" s="1819"/>
      <c r="F101" s="1819"/>
      <c r="G101" s="1819"/>
      <c r="H101" s="1839">
        <f>+H99+H100</f>
        <v>8</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130</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6816</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2807</v>
      </c>
      <c r="M109" s="1839">
        <f>'Part I-Project Information'!M84</f>
        <v>0</v>
      </c>
      <c r="N109" s="1840" t="s">
        <v>2808</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48</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6.25E-2</v>
      </c>
      <c r="O112" s="1826" t="s">
        <v>3517</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3</v>
      </c>
      <c r="I113" s="1819"/>
      <c r="J113" s="1819"/>
      <c r="K113" s="1819" t="s">
        <v>2741</v>
      </c>
      <c r="L113" s="1819"/>
      <c r="M113" s="1819"/>
      <c r="N113" s="1841">
        <f>'Part I-Project Information'!N88</f>
        <v>1</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2.0833333333333332E-2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4374</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887000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Roya Collins</v>
      </c>
      <c r="D150" s="1849"/>
      <c r="E150" s="1849"/>
      <c r="F150" s="1849" t="str">
        <f>'Part I-Project Information'!F125</f>
        <v>Dulles Park II</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6919</v>
      </c>
      <c r="F176" s="1827"/>
      <c r="G176" s="1827"/>
      <c r="H176" s="1819"/>
      <c r="I176" s="1829" t="str">
        <f>'Part I-Project Information'!I151</f>
        <v>No</v>
      </c>
      <c r="J176" s="1819"/>
      <c r="K176" s="1827" t="s">
        <v>4465</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6920</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t="str">
        <f>'Part I-Project Information'!L171</f>
        <v>See below</v>
      </c>
      <c r="M196" s="1819" t="s">
        <v>2266</v>
      </c>
      <c r="N196" s="1819"/>
      <c r="O196" s="1819"/>
      <c r="P196" s="1829" t="str">
        <f>'Part I-Project Information'!P171</f>
        <v>See below</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44835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35" customHeight="1">
      <c r="A218" s="1887" t="str">
        <f>'Part I-Project Information'!A193</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2020-059 Dulles Park II,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Dulles Park II, LP</v>
      </c>
      <c r="I226" s="1827"/>
      <c r="J226" s="1827"/>
      <c r="K226" s="1827"/>
      <c r="L226" s="1827"/>
      <c r="M226" s="1827"/>
      <c r="N226" s="1827"/>
      <c r="O226" s="1823" t="s">
        <v>1941</v>
      </c>
      <c r="P226" s="1823"/>
      <c r="Q226" s="1819" t="str">
        <f>'Part II-Development Team'!Q5</f>
        <v>Roya Collins</v>
      </c>
      <c r="R226" s="1827"/>
      <c r="S226" s="1827"/>
    </row>
    <row r="227" spans="1:19" ht="13.8">
      <c r="A227" s="1819"/>
      <c r="B227" s="1819"/>
      <c r="C227" s="1819"/>
      <c r="D227" s="1831"/>
      <c r="E227" s="1823" t="s">
        <v>999</v>
      </c>
      <c r="F227" s="1826"/>
      <c r="G227" s="1819"/>
      <c r="H227" s="1819" t="str">
        <f>'Part II-Development Team'!H6</f>
        <v>1820 The Exchange SE #350</v>
      </c>
      <c r="I227" s="1827"/>
      <c r="J227" s="1827"/>
      <c r="K227" s="1827"/>
      <c r="L227" s="1827"/>
      <c r="M227" s="1827"/>
      <c r="N227" s="1827"/>
      <c r="O227" s="1823" t="s">
        <v>1704</v>
      </c>
      <c r="P227" s="1819"/>
      <c r="Q227" s="1819" t="str">
        <f>'Part II-Development Team'!Q6</f>
        <v>Member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4043344590</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303392063</v>
      </c>
      <c r="K229" s="1827"/>
      <c r="L229" s="1819" t="s">
        <v>3509</v>
      </c>
      <c r="M229" s="1819" t="str">
        <f>'Part II-Development Team'!M8</f>
        <v>For Profit</v>
      </c>
      <c r="N229" s="1819"/>
      <c r="O229" s="1823" t="s">
        <v>1931</v>
      </c>
      <c r="P229" s="1819"/>
      <c r="Q229" s="2188">
        <f>'Part II-Development Team'!Q8</f>
        <v>7703630414</v>
      </c>
      <c r="R229" s="2188"/>
      <c r="S229" s="2188"/>
    </row>
    <row r="230" spans="1:19" ht="13.8">
      <c r="A230" s="1819"/>
      <c r="B230" s="1819"/>
      <c r="C230" s="1819"/>
      <c r="D230" s="1831"/>
      <c r="E230" s="1823" t="s">
        <v>3895</v>
      </c>
      <c r="F230" s="1819"/>
      <c r="G230" s="1819"/>
      <c r="H230" s="2188">
        <f>'Part II-Development Team'!H9</f>
        <v>4043344590</v>
      </c>
      <c r="I230" s="2188"/>
      <c r="J230" s="1829">
        <f>'Part II-Development Team'!J9</f>
        <v>0</v>
      </c>
      <c r="K230" s="1821" t="s">
        <v>1936</v>
      </c>
      <c r="L230" s="1965" t="str">
        <f>'Part II-Development Team'!L9</f>
        <v>roya@potemkindevelopment.com</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Potemkin-Dulles II, LLC</v>
      </c>
      <c r="I235" s="1827"/>
      <c r="J235" s="1827"/>
      <c r="K235" s="1827"/>
      <c r="L235" s="1827"/>
      <c r="M235" s="1827"/>
      <c r="N235" s="1827"/>
      <c r="O235" s="1823" t="s">
        <v>1941</v>
      </c>
      <c r="P235" s="1823"/>
      <c r="Q235" s="1819" t="str">
        <f>'Part II-Development Team'!Q14</f>
        <v>Roya Collins</v>
      </c>
      <c r="R235" s="1827"/>
      <c r="S235" s="1827"/>
    </row>
    <row r="236" spans="1:19" ht="13.8">
      <c r="A236" s="1819"/>
      <c r="B236" s="1819"/>
      <c r="C236" s="1819"/>
      <c r="D236" s="1831"/>
      <c r="E236" s="1823" t="s">
        <v>999</v>
      </c>
      <c r="F236" s="1826"/>
      <c r="G236" s="1819"/>
      <c r="H236" s="1819" t="str">
        <f>'Part II-Development Team'!H15</f>
        <v>1820 The Exchange SE #350</v>
      </c>
      <c r="I236" s="1827"/>
      <c r="J236" s="1827"/>
      <c r="K236" s="1827"/>
      <c r="L236" s="1827"/>
      <c r="M236" s="1827"/>
      <c r="N236" s="1827"/>
      <c r="O236" s="1823" t="s">
        <v>1704</v>
      </c>
      <c r="P236" s="1819"/>
      <c r="Q236" s="1819" t="str">
        <f>'Part II-Development Team'!Q15</f>
        <v>Member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2624</v>
      </c>
      <c r="L237" s="1819">
        <f>'Part II-Development Team'!L16</f>
        <v>0</v>
      </c>
      <c r="M237" s="1827"/>
      <c r="N237" s="1827"/>
      <c r="O237" s="1823" t="s">
        <v>1679</v>
      </c>
      <c r="P237" s="1819"/>
      <c r="Q237" s="2188">
        <f>'Part II-Development Team'!Q16</f>
        <v>4043344590</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303392063</v>
      </c>
      <c r="M238" s="1827"/>
      <c r="N238" s="1819"/>
      <c r="O238" s="1823" t="s">
        <v>1931</v>
      </c>
      <c r="P238" s="1819"/>
      <c r="Q238" s="2188">
        <f>'Part II-Development Team'!Q17</f>
        <v>7703630414</v>
      </c>
      <c r="R238" s="2188"/>
      <c r="S238" s="2188"/>
    </row>
    <row r="239" spans="1:19" ht="13.8">
      <c r="A239" s="1819"/>
      <c r="B239" s="1819"/>
      <c r="C239" s="1819"/>
      <c r="D239" s="1831"/>
      <c r="E239" s="1823" t="s">
        <v>3895</v>
      </c>
      <c r="F239" s="1819"/>
      <c r="G239" s="1819"/>
      <c r="H239" s="2188">
        <f>'Part II-Development Team'!H18</f>
        <v>4043344590</v>
      </c>
      <c r="I239" s="2188"/>
      <c r="J239" s="1829">
        <f>'Part II-Development Team'!J18</f>
        <v>0</v>
      </c>
      <c r="K239" s="1821" t="s">
        <v>1936</v>
      </c>
      <c r="L239" s="1965" t="str">
        <f>'Part II-Development Team'!L18</f>
        <v>roya@potemkindevelopment.com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 xml:space="preserve">206 Peach Way </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3895</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3895</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3895</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Magita, Inc.</v>
      </c>
      <c r="I275" s="1827"/>
      <c r="J275" s="1827"/>
      <c r="K275" s="1827"/>
      <c r="L275" s="1827"/>
      <c r="M275" s="1827"/>
      <c r="N275" s="1827"/>
      <c r="O275" s="1823" t="s">
        <v>1941</v>
      </c>
      <c r="P275" s="1823"/>
      <c r="Q275" s="1819" t="str">
        <f>'Part II-Development Team'!Q54</f>
        <v>Roya Collins</v>
      </c>
      <c r="R275" s="1827"/>
      <c r="S275" s="1827"/>
    </row>
    <row r="276" spans="1:19" ht="13.8">
      <c r="A276" s="1819"/>
      <c r="B276" s="1819"/>
      <c r="C276" s="1819"/>
      <c r="D276" s="1831"/>
      <c r="E276" s="1823" t="s">
        <v>999</v>
      </c>
      <c r="F276" s="1826"/>
      <c r="G276" s="1819"/>
      <c r="H276" s="1819" t="str">
        <f>'Part II-Development Team'!H55</f>
        <v xml:space="preserve">1820 The Exchange SE #350      
</v>
      </c>
      <c r="I276" s="1827"/>
      <c r="J276" s="1827"/>
      <c r="K276" s="1827"/>
      <c r="L276" s="1827"/>
      <c r="M276" s="1827"/>
      <c r="N276" s="1827"/>
      <c r="O276" s="1823" t="s">
        <v>1704</v>
      </c>
      <c r="P276" s="1819"/>
      <c r="Q276" s="1819" t="str">
        <f>'Part II-Development Team'!Q55</f>
        <v>Member</v>
      </c>
      <c r="R276" s="1827"/>
      <c r="S276" s="1827"/>
    </row>
    <row r="277" spans="1:19" ht="13.8">
      <c r="A277" s="1819"/>
      <c r="B277" s="1819"/>
      <c r="C277" s="1819"/>
      <c r="D277" s="1831"/>
      <c r="E277" s="1823" t="s">
        <v>600</v>
      </c>
      <c r="F277" s="1819"/>
      <c r="G277" s="1819"/>
      <c r="H277" s="1819" t="str">
        <f>'Part II-Development Team'!H56</f>
        <v>Atlanta</v>
      </c>
      <c r="I277" s="1827"/>
      <c r="J277" s="1827"/>
      <c r="K277" s="1821" t="s">
        <v>2624</v>
      </c>
      <c r="L277" s="1819">
        <f>'Part II-Development Team'!L56</f>
        <v>0</v>
      </c>
      <c r="M277" s="1827"/>
      <c r="N277" s="1827"/>
      <c r="O277" s="1823" t="s">
        <v>1679</v>
      </c>
      <c r="P277" s="1819"/>
      <c r="Q277" s="2188">
        <f>'Part II-Development Team'!Q56</f>
        <v>4043344590</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303392063</v>
      </c>
      <c r="M278" s="1827"/>
      <c r="N278" s="1819"/>
      <c r="O278" s="1823" t="s">
        <v>1931</v>
      </c>
      <c r="P278" s="1819"/>
      <c r="Q278" s="2188">
        <f>'Part II-Development Team'!Q57</f>
        <v>7703630414</v>
      </c>
      <c r="R278" s="2188"/>
      <c r="S278" s="2188"/>
    </row>
    <row r="279" spans="1:19" ht="13.8">
      <c r="A279" s="1819"/>
      <c r="B279" s="1819"/>
      <c r="C279" s="1819"/>
      <c r="D279" s="1831"/>
      <c r="E279" s="1823" t="s">
        <v>3895</v>
      </c>
      <c r="F279" s="1819"/>
      <c r="G279" s="1819"/>
      <c r="H279" s="2188">
        <f>'Part II-Development Team'!H58</f>
        <v>4043344590</v>
      </c>
      <c r="I279" s="2188"/>
      <c r="J279" s="1829">
        <f>'Part II-Development Team'!J58</f>
        <v>0</v>
      </c>
      <c r="K279" s="1821" t="s">
        <v>1936</v>
      </c>
      <c r="L279" s="1965" t="str">
        <f>'Part II-Development Team'!L58</f>
        <v>magitaenterprise@bellsouth.net</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3895</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 xml:space="preserve">206 Peach Way </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f>'Part II-Development Team'!L88</f>
        <v>0</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3895</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TMC Management and Realty, Inc</v>
      </c>
      <c r="I313" s="1827"/>
      <c r="J313" s="1827"/>
      <c r="K313" s="1827"/>
      <c r="L313" s="1827"/>
      <c r="M313" s="1827"/>
      <c r="N313" s="1827"/>
      <c r="O313" s="1823" t="s">
        <v>1941</v>
      </c>
      <c r="P313" s="1823"/>
      <c r="Q313" s="1819" t="str">
        <f>'Part II-Development Team'!Q92</f>
        <v>Brena Hoyt</v>
      </c>
      <c r="R313" s="1827"/>
      <c r="S313" s="1827"/>
    </row>
    <row r="314" spans="1:19" ht="13.8">
      <c r="A314" s="1819"/>
      <c r="B314" s="1819"/>
      <c r="C314" s="1819"/>
      <c r="D314" s="1831"/>
      <c r="E314" s="1823" t="s">
        <v>999</v>
      </c>
      <c r="F314" s="1826"/>
      <c r="G314" s="1819"/>
      <c r="H314" s="1819" t="str">
        <f>'Part II-Development Team'!H93</f>
        <v>1341 Cassville Road, N.W.</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Cartersville</v>
      </c>
      <c r="I315" s="1827"/>
      <c r="J315" s="1827"/>
      <c r="K315" s="1821" t="s">
        <v>2624</v>
      </c>
      <c r="L315" s="1819">
        <f>'Part II-Development Team'!L94</f>
        <v>0</v>
      </c>
      <c r="M315" s="1827"/>
      <c r="N315" s="1827"/>
      <c r="O315" s="1823" t="s">
        <v>1679</v>
      </c>
      <c r="P315" s="1819"/>
      <c r="Q315" s="2188">
        <f>'Part II-Development Team'!Q94</f>
        <v>7703862921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301204886</v>
      </c>
      <c r="M316" s="1827"/>
      <c r="N316" s="1819"/>
      <c r="O316" s="1823" t="s">
        <v>1931</v>
      </c>
      <c r="P316" s="1819"/>
      <c r="Q316" s="2188">
        <f>'Part II-Development Team'!Q95</f>
        <v>7706554683</v>
      </c>
      <c r="R316" s="2188"/>
      <c r="S316" s="2188"/>
    </row>
    <row r="317" spans="1:19" ht="13.8">
      <c r="A317" s="1819"/>
      <c r="B317" s="1819"/>
      <c r="C317" s="1819"/>
      <c r="D317" s="1831"/>
      <c r="E317" s="1823" t="s">
        <v>3895</v>
      </c>
      <c r="F317" s="1819"/>
      <c r="G317" s="1819"/>
      <c r="H317" s="2188">
        <f>'Part II-Development Team'!H96</f>
        <v>7703862921</v>
      </c>
      <c r="I317" s="2188"/>
      <c r="J317" s="1829">
        <f>'Part II-Development Team'!J96</f>
        <v>0</v>
      </c>
      <c r="K317" s="1821" t="s">
        <v>1936</v>
      </c>
      <c r="L317" s="1965" t="str">
        <f>'Part II-Development Team'!L96</f>
        <v>Brenda@tmcmgt.com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Spivey, Pope, Green &amp; Greer</v>
      </c>
      <c r="I319" s="1827"/>
      <c r="J319" s="1827"/>
      <c r="K319" s="1827"/>
      <c r="L319" s="1827"/>
      <c r="M319" s="1827"/>
      <c r="N319" s="1827"/>
      <c r="O319" s="1823" t="s">
        <v>1941</v>
      </c>
      <c r="P319" s="1823"/>
      <c r="Q319" s="1819" t="str">
        <f>'Part II-Development Team'!Q98</f>
        <v>Scott Spivey</v>
      </c>
      <c r="R319" s="1827"/>
      <c r="S319" s="1827"/>
    </row>
    <row r="320" spans="1:19" ht="13.8">
      <c r="A320" s="1819"/>
      <c r="B320" s="1819"/>
      <c r="C320" s="1819"/>
      <c r="D320" s="1831"/>
      <c r="E320" s="1823" t="s">
        <v>999</v>
      </c>
      <c r="F320" s="1826"/>
      <c r="G320" s="1819"/>
      <c r="H320" s="1819" t="str">
        <f>'Part II-Development Team'!H99</f>
        <v>4875 Riverside Drivem Suite 200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Macon</v>
      </c>
      <c r="I321" s="1827"/>
      <c r="J321" s="1827"/>
      <c r="K321" s="1821" t="s">
        <v>2624</v>
      </c>
      <c r="L321" s="1819">
        <f>'Part II-Development Team'!L100</f>
        <v>0</v>
      </c>
      <c r="M321" s="1827"/>
      <c r="N321" s="1827"/>
      <c r="O321" s="1823" t="s">
        <v>1679</v>
      </c>
      <c r="P321" s="1819"/>
      <c r="Q321" s="2188">
        <f>'Part II-Development Team'!Q100</f>
        <v>4788988244</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312101110</v>
      </c>
      <c r="M322" s="1827"/>
      <c r="N322" s="1819"/>
      <c r="O322" s="1823" t="s">
        <v>1931</v>
      </c>
      <c r="P322" s="1819"/>
      <c r="Q322" s="2188">
        <f>'Part II-Development Team'!Q101</f>
        <v>6783620453</v>
      </c>
      <c r="R322" s="2188"/>
      <c r="S322" s="2188"/>
    </row>
    <row r="323" spans="1:19" ht="13.8">
      <c r="A323" s="1827"/>
      <c r="B323" s="1827"/>
      <c r="C323" s="1827"/>
      <c r="D323" s="1827"/>
      <c r="E323" s="1823" t="s">
        <v>3895</v>
      </c>
      <c r="F323" s="1819"/>
      <c r="G323" s="1819"/>
      <c r="H323" s="2188">
        <f>'Part II-Development Team'!H102</f>
        <v>4782548866</v>
      </c>
      <c r="I323" s="2188"/>
      <c r="J323" s="1829">
        <f>'Part II-Development Team'!J102</f>
        <v>0</v>
      </c>
      <c r="K323" s="1821" t="s">
        <v>1936</v>
      </c>
      <c r="L323" s="1965" t="str">
        <f>'Part II-Development Team'!L102</f>
        <v>Sspivey@spgglaw.com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v>
      </c>
      <c r="I325" s="1827"/>
      <c r="J325" s="1827"/>
      <c r="K325" s="1827"/>
      <c r="L325" s="1827"/>
      <c r="M325" s="1827"/>
      <c r="N325" s="1827"/>
      <c r="O325" s="1823" t="s">
        <v>1941</v>
      </c>
      <c r="P325" s="1823"/>
      <c r="Q325" s="1819" t="str">
        <f>'Part II-Development Team'!Q104</f>
        <v>Frank Grudger</v>
      </c>
      <c r="R325" s="1827"/>
      <c r="S325" s="1827"/>
    </row>
    <row r="326" spans="1:19" ht="13.8">
      <c r="A326" s="1819"/>
      <c r="B326" s="1819"/>
      <c r="C326" s="1819"/>
      <c r="D326" s="1831"/>
      <c r="E326" s="1823" t="s">
        <v>999</v>
      </c>
      <c r="F326" s="1826"/>
      <c r="G326" s="1819"/>
      <c r="H326" s="1819" t="str">
        <f>'Part II-Development Team'!H105</f>
        <v>Five Concourse Parkway, Suite 1000</v>
      </c>
      <c r="I326" s="1827"/>
      <c r="J326" s="1827"/>
      <c r="K326" s="1827"/>
      <c r="L326" s="1827"/>
      <c r="M326" s="1827"/>
      <c r="N326" s="1827"/>
      <c r="O326" s="1823" t="s">
        <v>1704</v>
      </c>
      <c r="P326" s="1819"/>
      <c r="Q326" s="1819" t="str">
        <f>'Part II-Development Team'!Q105</f>
        <v>Partner-in-charge</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www.aprio.com</v>
      </c>
      <c r="M327" s="1827"/>
      <c r="N327" s="1827"/>
      <c r="O327" s="1823" t="s">
        <v>1679</v>
      </c>
      <c r="P327" s="1819"/>
      <c r="Q327" s="2188">
        <f>'Part II-Development Team'!Q106</f>
        <v>4048988244</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303286132</v>
      </c>
      <c r="M328" s="1827"/>
      <c r="N328" s="1819"/>
      <c r="O328" s="1823" t="s">
        <v>1931</v>
      </c>
      <c r="P328" s="1819"/>
      <c r="Q328" s="2188">
        <f>'Part II-Development Team'!Q107</f>
        <v>6783620453</v>
      </c>
      <c r="R328" s="2188"/>
      <c r="S328" s="2188"/>
    </row>
    <row r="329" spans="1:19" ht="13.8">
      <c r="A329" s="1827"/>
      <c r="B329" s="1827"/>
      <c r="C329" s="1827"/>
      <c r="D329" s="1827"/>
      <c r="E329" s="1823" t="s">
        <v>3895</v>
      </c>
      <c r="F329" s="1819"/>
      <c r="G329" s="1819"/>
      <c r="H329" s="2188">
        <f>'Part II-Development Team'!H108</f>
        <v>4048929651</v>
      </c>
      <c r="I329" s="2188"/>
      <c r="J329" s="1829">
        <f>'Part II-Development Team'!J108</f>
        <v>0</v>
      </c>
      <c r="K329" s="1821" t="s">
        <v>1936</v>
      </c>
      <c r="L329" s="1965" t="str">
        <f>'Part II-Development Team'!L108</f>
        <v>Frank.Gudger@Aprio.com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Assoicates Architects, P.C.</v>
      </c>
      <c r="I331" s="1827"/>
      <c r="J331" s="1827"/>
      <c r="K331" s="1827"/>
      <c r="L331" s="1827"/>
      <c r="M331" s="1827"/>
      <c r="N331" s="1827"/>
      <c r="O331" s="1823" t="s">
        <v>1941</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 xml:space="preserve">215 Church St. </v>
      </c>
      <c r="I332" s="1827"/>
      <c r="J332" s="1827"/>
      <c r="K332" s="1827"/>
      <c r="L332" s="1827"/>
      <c r="M332" s="1827"/>
      <c r="N332" s="1827"/>
      <c r="O332" s="1823" t="s">
        <v>1704</v>
      </c>
      <c r="P332" s="1819"/>
      <c r="Q332" s="1819" t="str">
        <f>'Part II-Development Team'!Q111</f>
        <v>Vice President</v>
      </c>
      <c r="R332" s="1827"/>
      <c r="S332" s="1827"/>
    </row>
    <row r="333" spans="1:19" ht="13.8">
      <c r="A333" s="1819"/>
      <c r="B333" s="1819"/>
      <c r="C333" s="1819"/>
      <c r="D333" s="1831"/>
      <c r="E333" s="1823" t="s">
        <v>600</v>
      </c>
      <c r="F333" s="1819"/>
      <c r="G333" s="1819"/>
      <c r="H333" s="1819" t="str">
        <f>'Part II-Development Team'!H112</f>
        <v>Decatur</v>
      </c>
      <c r="I333" s="1827"/>
      <c r="J333" s="1827"/>
      <c r="K333" s="1821" t="s">
        <v>2624</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300303330</v>
      </c>
      <c r="M334" s="1827"/>
      <c r="N334" s="1819"/>
      <c r="O334" s="1823" t="s">
        <v>1931</v>
      </c>
      <c r="P334" s="1819"/>
      <c r="Q334" s="2188">
        <f>'Part II-Development Team'!Q113</f>
        <v>0</v>
      </c>
      <c r="R334" s="2188"/>
      <c r="S334" s="2188"/>
    </row>
    <row r="335" spans="1:19" ht="13.8">
      <c r="A335" s="1819"/>
      <c r="B335" s="1819"/>
      <c r="C335" s="1819"/>
      <c r="D335" s="1831"/>
      <c r="E335" s="1823" t="s">
        <v>3895</v>
      </c>
      <c r="F335" s="1819"/>
      <c r="G335" s="1819"/>
      <c r="H335" s="2188">
        <f>'Part II-Development Team'!H114</f>
        <v>4043732800</v>
      </c>
      <c r="I335" s="2188"/>
      <c r="J335" s="1829">
        <f>'Part II-Development Team'!J114</f>
        <v>0</v>
      </c>
      <c r="K335" s="1821" t="s">
        <v>1936</v>
      </c>
      <c r="L335" s="1965" t="str">
        <f>'Part II-Development Team'!L114</f>
        <v>Mrilet$MartinRiley.com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6853</v>
      </c>
      <c r="D338" s="1819"/>
      <c r="E338" s="1819"/>
      <c r="F338" s="1819"/>
      <c r="G338" s="1819"/>
      <c r="H338" s="1819" t="str">
        <f>'Part II-Development Team'!H117</f>
        <v>RAC, LLC &amp; Gateway Developmnet</v>
      </c>
      <c r="I338" s="1819"/>
      <c r="J338" s="1819"/>
      <c r="K338" s="1821" t="s">
        <v>2409</v>
      </c>
      <c r="L338" s="1819" t="str">
        <f>'Part II-Development Team'!L117</f>
        <v>Sherri Rollins</v>
      </c>
      <c r="M338" s="1827"/>
      <c r="N338" s="1827"/>
      <c r="O338" s="1823" t="s">
        <v>3440</v>
      </c>
      <c r="P338" s="1819"/>
      <c r="Q338" s="2188">
        <f>'Part II-Development Team'!Q117</f>
        <v>4789868756</v>
      </c>
      <c r="R338" s="2188"/>
      <c r="S338" s="2188"/>
    </row>
    <row r="339" spans="1:19" ht="13.8">
      <c r="A339" s="1819"/>
      <c r="B339" s="1819"/>
      <c r="C339" s="1819"/>
      <c r="D339" s="1831"/>
      <c r="E339" s="1823" t="s">
        <v>999</v>
      </c>
      <c r="F339" s="1826"/>
      <c r="G339" s="1819"/>
      <c r="H339" s="1819" t="str">
        <f>'Part II-Development Team'!H118</f>
        <v>PO Box 697</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310320000</v>
      </c>
      <c r="K340" s="1827"/>
      <c r="L340" s="1821" t="s">
        <v>1936</v>
      </c>
      <c r="M340" s="1965" t="str">
        <f>'Part II-Development Team'!M119</f>
        <v>Srollins@Gatewaydco.com</v>
      </c>
      <c r="N340" s="1965"/>
      <c r="O340" s="1965"/>
      <c r="P340" s="1965"/>
      <c r="Q340" s="1965"/>
      <c r="R340" s="1965"/>
      <c r="S340" s="1965"/>
    </row>
    <row r="341" spans="1:19" ht="13.8">
      <c r="A341" s="1827"/>
      <c r="B341" s="1819" t="s">
        <v>1937</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4447</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4446</v>
      </c>
      <c r="D351" s="1844" t="str">
        <f>'Part II-Development Team'!D130</f>
        <v>Syndicator and Management</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35" customHeight="1">
      <c r="A355" s="1844" t="s">
        <v>622</v>
      </c>
      <c r="B355" s="1844"/>
      <c r="C355" s="1844"/>
      <c r="D355" s="1844"/>
      <c r="E355" s="1844" t="s">
        <v>3333</v>
      </c>
      <c r="F355" s="1844"/>
      <c r="G355" s="1844"/>
      <c r="H355" s="1844"/>
      <c r="I355" s="1844"/>
      <c r="J355" s="1844" t="s">
        <v>3334</v>
      </c>
      <c r="K355" s="1844" t="s">
        <v>6854</v>
      </c>
      <c r="L355" s="1844" t="s">
        <v>6855</v>
      </c>
      <c r="M355" s="1844" t="s">
        <v>6856</v>
      </c>
      <c r="N355" s="1844"/>
      <c r="O355" s="1844"/>
      <c r="P355" s="1844"/>
      <c r="Q355" s="1844"/>
      <c r="R355" s="1844"/>
      <c r="S355" s="1844"/>
    </row>
    <row r="356" spans="1:19" ht="13.3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3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2020-059 Dulles Park II, Gray, Jones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6817</v>
      </c>
      <c r="G384" s="1819"/>
      <c r="H384" s="2199">
        <f>'Part III-Sources of Funds'!H5</f>
        <v>0</v>
      </c>
      <c r="I384" s="1815"/>
      <c r="J384" s="1849"/>
      <c r="K384" s="1849"/>
      <c r="L384" s="1821">
        <f>'Part III-Sources of Funds'!L5</f>
        <v>0</v>
      </c>
      <c r="M384" s="1823" t="s">
        <v>1504</v>
      </c>
      <c r="N384" s="1849"/>
      <c r="O384" s="1821">
        <f>'Part III-Sources of Funds'!O5</f>
        <v>0</v>
      </c>
      <c r="P384" s="1887" t="s">
        <v>4488</v>
      </c>
      <c r="Q384" s="1887"/>
      <c r="R384" s="1849"/>
      <c r="S384" s="1887"/>
      <c r="T384" s="1887"/>
    </row>
    <row r="385" spans="1:20" ht="13.8">
      <c r="A385" s="1821"/>
      <c r="B385" s="1821">
        <f>'Part III-Sources of Funds'!B6</f>
        <v>0</v>
      </c>
      <c r="C385" s="1823" t="s">
        <v>4428</v>
      </c>
      <c r="D385" s="1819"/>
      <c r="E385" s="1821">
        <f>'Part III-Sources of Funds'!E6</f>
        <v>0</v>
      </c>
      <c r="F385" s="1823" t="s">
        <v>6818</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6819</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4429</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3539</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3662</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3542</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3538</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3661</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4426</v>
      </c>
      <c r="G393" s="1849"/>
      <c r="H393" s="1849"/>
      <c r="I393" s="2199">
        <f>'Part III-Sources of Funds'!I14</f>
        <v>0</v>
      </c>
      <c r="J393" s="1815"/>
      <c r="K393" s="1849"/>
      <c r="L393" s="1821">
        <f>'Part III-Sources of Funds'!L14</f>
        <v>0</v>
      </c>
      <c r="M393" s="1820" t="s">
        <v>6820</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7367897</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 xml:space="preserve">Affordable Equity Partners, Inc. </v>
      </c>
      <c r="I405" s="1819"/>
      <c r="J405" s="1819"/>
      <c r="K405" s="1819"/>
      <c r="L405" s="1861">
        <f>'Part III-Sources of Funds'!L26</f>
        <v>1474960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 xml:space="preserve">Affordable Equity Partners, Inc. </v>
      </c>
      <c r="I406" s="1819"/>
      <c r="J406" s="1819"/>
      <c r="K406" s="1819"/>
      <c r="L406" s="1861">
        <f>'Part III-Sources of Funds'!L27</f>
        <v>671282</v>
      </c>
      <c r="M406" s="1861"/>
      <c r="N406" s="1819"/>
      <c r="O406" s="1849"/>
      <c r="P406" s="1849"/>
      <c r="Q406" s="1819"/>
      <c r="R406" s="1849"/>
      <c r="S406" s="1887"/>
      <c r="T406" s="1887"/>
    </row>
    <row r="407" spans="1:20" ht="13.8">
      <c r="A407" s="1819"/>
      <c r="B407" s="1819" t="s">
        <v>237</v>
      </c>
      <c r="C407" s="1819"/>
      <c r="D407" s="1819" t="str">
        <f>'Part III-Sources of Funds'!D28</f>
        <v>GP/LP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9514249</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9514249</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4388</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7.8166666666666662E-3</v>
      </c>
      <c r="E422" s="1819" t="str">
        <f>'Part III-Sources of Funds'!E43</f>
        <v>Magita Inc.</v>
      </c>
      <c r="F422" s="1819"/>
      <c r="G422" s="1819"/>
      <c r="H422" s="1819"/>
      <c r="I422" s="1882">
        <f>'Part III-Sources of Funds'!I43</f>
        <v>9380</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701749.32344536204</v>
      </c>
      <c r="G424" s="1849"/>
      <c r="H424" s="1855" t="s">
        <v>3832</v>
      </c>
      <c r="I424" s="1854">
        <f>'Part III-Sources of Funds'!I45</f>
        <v>9380</v>
      </c>
      <c r="J424" s="1849"/>
      <c r="K424" s="1855" t="s">
        <v>3834</v>
      </c>
      <c r="L424" s="1856">
        <f>'Part III-Sources of Funds'!L45</f>
        <v>1.3366596427834424E-2</v>
      </c>
      <c r="M424" s="1856"/>
      <c r="N424" s="1852" t="s">
        <v>4396</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 xml:space="preserve">Affordable Equity Partners, Inc. </v>
      </c>
      <c r="F428" s="1819"/>
      <c r="G428" s="1819"/>
      <c r="H428" s="1819"/>
      <c r="I428" s="1882">
        <f>'Part III-Sources of Funds'!I49</f>
        <v>7374802</v>
      </c>
      <c r="J428" s="1819"/>
      <c r="K428" s="1849"/>
      <c r="L428" s="1858">
        <f>'Part III-Sources of Funds'!L49</f>
        <v>7450800</v>
      </c>
      <c r="M428" s="1858"/>
      <c r="N428" s="1859">
        <f>'Part III-Sources of Funds'!N49</f>
        <v>-75998</v>
      </c>
      <c r="O428" s="1859"/>
      <c r="P428" s="1860">
        <f>I428/I438</f>
        <v>0.68662210098038301</v>
      </c>
      <c r="Q428" s="1819"/>
      <c r="R428" s="1849"/>
      <c r="S428" s="1887"/>
      <c r="T428" s="1887"/>
    </row>
    <row r="429" spans="1:20" ht="13.8">
      <c r="A429" s="1819"/>
      <c r="B429" s="1819" t="s">
        <v>783</v>
      </c>
      <c r="C429" s="1819"/>
      <c r="D429" s="1819"/>
      <c r="E429" s="1819" t="str">
        <f>'Part III-Sources of Funds'!E50</f>
        <v xml:space="preserve">Affordable Equity Partners, Inc. </v>
      </c>
      <c r="F429" s="1819"/>
      <c r="G429" s="1819"/>
      <c r="H429" s="1819"/>
      <c r="I429" s="1882">
        <f>'Part III-Sources of Funds'!I50</f>
        <v>3356408</v>
      </c>
      <c r="J429" s="1819"/>
      <c r="K429" s="1849"/>
      <c r="L429" s="1858">
        <f>'Part III-Sources of Funds'!L50</f>
        <v>3281900</v>
      </c>
      <c r="M429" s="1858"/>
      <c r="N429" s="1859">
        <f>'Part III-Sources of Funds'!N50</f>
        <v>74508</v>
      </c>
      <c r="O429" s="1859"/>
      <c r="P429" s="1860">
        <f>I429/I438</f>
        <v>0.31249434394406322</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0.99911644492444629</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10740700</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10740700</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2020-059 Dulles Park II,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2020-059 Dulles Park II,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10000</v>
      </c>
      <c r="H456" s="1861"/>
      <c r="I456" s="1819"/>
      <c r="J456" s="1861">
        <f>'Part IV-A-Uses of Funds'!J10</f>
        <v>10000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9500</v>
      </c>
      <c r="H457" s="1861"/>
      <c r="I457" s="1819"/>
      <c r="J457" s="1861">
        <f>'Part IV-A-Uses of Funds'!J11</f>
        <v>9500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12500</v>
      </c>
      <c r="H458" s="1861"/>
      <c r="I458" s="1819"/>
      <c r="J458" s="1861">
        <f>'Part IV-A-Uses of Funds'!J12</f>
        <v>12500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350000000000001"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45000</v>
      </c>
      <c r="H463" s="1861"/>
      <c r="I463" s="1819"/>
      <c r="J463" s="1861">
        <f>SUM(J454:K462)</f>
        <v>45000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16069.975589910497</v>
      </c>
      <c r="G465" s="1861">
        <f>'Part IV-A-Uses of Funds'!G19</f>
        <v>395000</v>
      </c>
      <c r="H465" s="1861"/>
      <c r="I465" s="1819"/>
      <c r="J465" s="1832"/>
      <c r="K465" s="1861"/>
      <c r="L465" s="1832"/>
      <c r="M465" s="1832"/>
      <c r="N465" s="1861"/>
      <c r="O465" s="1819"/>
      <c r="P465" s="1832"/>
      <c r="Q465" s="1861"/>
      <c r="R465" s="1819"/>
      <c r="S465" s="1861">
        <f>'Part IV-A-Uses of Funds'!S19</f>
        <v>395000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395000</v>
      </c>
      <c r="H469" s="1861"/>
      <c r="I469" s="1819"/>
      <c r="J469" s="1832"/>
      <c r="K469" s="1861"/>
      <c r="L469" s="1832"/>
      <c r="M469" s="1861">
        <f>SUM(M467:N468)</f>
        <v>0</v>
      </c>
      <c r="N469" s="1861"/>
      <c r="O469" s="1819"/>
      <c r="P469" s="1832"/>
      <c r="Q469" s="1861"/>
      <c r="R469" s="1819"/>
      <c r="S469" s="1861">
        <f>SUM(S465:T468)</f>
        <v>395000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73230.268510984548</v>
      </c>
      <c r="G471" s="1861">
        <f>'Part IV-A-Uses of Funds'!G25</f>
        <v>1800000</v>
      </c>
      <c r="H471" s="1861"/>
      <c r="I471" s="1819"/>
      <c r="J471" s="1861">
        <f>'Part IV-A-Uses of Funds'!J25</f>
        <v>1674000</v>
      </c>
      <c r="K471" s="1861"/>
      <c r="L471" s="1832"/>
      <c r="M471" s="1861">
        <f>'Part IV-A-Uses of Funds'!M25</f>
        <v>0</v>
      </c>
      <c r="N471" s="1861"/>
      <c r="O471" s="1819"/>
      <c r="P471" s="1861">
        <f>'Part IV-A-Uses of Funds'!P25</f>
        <v>0</v>
      </c>
      <c r="Q471" s="1861"/>
      <c r="R471" s="1819"/>
      <c r="S471" s="1861">
        <f>'Part IV-A-Uses of Funds'!S25</f>
        <v>126000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1800000</v>
      </c>
      <c r="H473" s="1861"/>
      <c r="I473" s="1819"/>
      <c r="J473" s="1861">
        <f>SUM(J471:K472)</f>
        <v>1674000</v>
      </c>
      <c r="K473" s="1861"/>
      <c r="L473" s="1832"/>
      <c r="M473" s="1861">
        <f>M471</f>
        <v>0</v>
      </c>
      <c r="N473" s="1861"/>
      <c r="O473" s="1819"/>
      <c r="P473" s="1861">
        <f>P471</f>
        <v>0</v>
      </c>
      <c r="Q473" s="1861"/>
      <c r="R473" s="1819"/>
      <c r="S473" s="1861">
        <f>SUM(S471:T472)</f>
        <v>126000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4626000</v>
      </c>
      <c r="H475" s="1861"/>
      <c r="I475" s="1819"/>
      <c r="J475" s="1861">
        <f>'Part IV-A-Uses of Funds'!J29</f>
        <v>4626000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4626000</v>
      </c>
      <c r="H479" s="1861"/>
      <c r="I479" s="1819"/>
      <c r="J479" s="1861">
        <f>SUM(J475:K478)</f>
        <v>4626000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385560</v>
      </c>
      <c r="F481" s="1865">
        <f>'Part IV-A-Uses of Funds'!F35</f>
        <v>0.06</v>
      </c>
      <c r="G481" s="1861">
        <f>'Part IV-A-Uses of Funds'!G35</f>
        <v>385560</v>
      </c>
      <c r="H481" s="1861"/>
      <c r="I481" s="1827"/>
      <c r="J481" s="1861">
        <f>'Part IV-A-Uses of Funds'!J35</f>
        <v>385560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128520</v>
      </c>
      <c r="F482" s="1865">
        <f>'Part IV-A-Uses of Funds'!F36</f>
        <v>0.02</v>
      </c>
      <c r="G482" s="1861">
        <f>'Part IV-A-Uses of Funds'!G36</f>
        <v>128520</v>
      </c>
      <c r="H482" s="1861"/>
      <c r="I482" s="1827"/>
      <c r="J482" s="1861">
        <f>'Part IV-A-Uses of Funds'!J36</f>
        <v>128520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385560</v>
      </c>
      <c r="F483" s="1865">
        <f>'Part IV-A-Uses of Funds'!F37</f>
        <v>0.06</v>
      </c>
      <c r="G483" s="1861">
        <f>'Part IV-A-Uses of Funds'!G37</f>
        <v>385560</v>
      </c>
      <c r="H483" s="1861"/>
      <c r="I483" s="1827"/>
      <c r="J483" s="1861">
        <f>'Part IV-A-Uses of Funds'!J37</f>
        <v>385560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899640</v>
      </c>
      <c r="F484" s="1826" t="s">
        <v>187</v>
      </c>
      <c r="G484" s="1861">
        <f>SUM(G481:H483)</f>
        <v>899640</v>
      </c>
      <c r="H484" s="1861"/>
      <c r="I484" s="1819"/>
      <c r="J484" s="1861">
        <f>SUM(J481:K483)</f>
        <v>899640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2658</v>
      </c>
      <c r="F489" s="2083">
        <f>B490/'Part VI-Revenues &amp; Expenses'!$P$65</f>
        <v>152617.5</v>
      </c>
      <c r="G489" s="2084" t="s">
        <v>6899</v>
      </c>
      <c r="H489" s="1819"/>
      <c r="I489" s="1819"/>
      <c r="J489" s="1880">
        <f>B490/'Part VI-Revenues &amp; Expenses'!$P$67</f>
        <v>152617.5</v>
      </c>
      <c r="K489" s="1880"/>
      <c r="L489" s="1819"/>
      <c r="M489" s="2085" t="s">
        <v>1375</v>
      </c>
      <c r="N489" s="2085"/>
      <c r="O489" s="1819"/>
      <c r="P489" s="1880">
        <f>B490/'Part I-Project Information'!$P$75</f>
        <v>142.52217898832686</v>
      </c>
      <c r="Q489" s="1880"/>
      <c r="R489" s="1819"/>
      <c r="S489" s="1822" t="s">
        <v>2686</v>
      </c>
      <c r="T489" s="1822"/>
      <c r="U489" s="1819"/>
      <c r="V489" s="1862"/>
      <c r="W489" s="1772"/>
      <c r="X489" s="1772"/>
    </row>
    <row r="490" spans="1:24" ht="13.8">
      <c r="A490" s="1819"/>
      <c r="B490" s="2086">
        <f>G473+G479+G484+G487</f>
        <v>7325640</v>
      </c>
      <c r="C490" s="2086"/>
      <c r="D490" s="1819"/>
      <c r="E490" s="1819"/>
      <c r="F490" s="2083">
        <f>B490/'Part VI-Revenues &amp; Expenses'!$P$168</f>
        <v>148.59310344827585</v>
      </c>
      <c r="G490" s="1822" t="s">
        <v>6900</v>
      </c>
      <c r="H490" s="1819"/>
      <c r="I490" s="1819"/>
      <c r="J490" s="1880">
        <f>B490/'Part VI-Revenues &amp; Expenses'!$P$170</f>
        <v>148.59310344827585</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3837</v>
      </c>
      <c r="E493" s="2087">
        <f>'Part IV-A-Uses of Funds'!E47</f>
        <v>366282</v>
      </c>
      <c r="F493" s="1869">
        <f>G493/B490</f>
        <v>0.05</v>
      </c>
      <c r="G493" s="1861">
        <f>'Part IV-A-Uses of Funds'!G47</f>
        <v>366282</v>
      </c>
      <c r="H493" s="1861"/>
      <c r="I493" s="1819"/>
      <c r="J493" s="1861">
        <f>'Part IV-A-Uses of Funds'!J47</f>
        <v>366282</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73679</v>
      </c>
      <c r="H500" s="1861"/>
      <c r="I500" s="1819"/>
      <c r="J500" s="1861">
        <f>'Part IV-A-Uses of Funds'!J54</f>
        <v>73679</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273336</v>
      </c>
      <c r="H501" s="1861"/>
      <c r="I501" s="1819"/>
      <c r="J501" s="1861">
        <f>'Part IV-A-Uses of Funds'!J55</f>
        <v>273336</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35000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5000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7500</v>
      </c>
      <c r="H504" s="1861"/>
      <c r="I504" s="1819"/>
      <c r="J504" s="1861">
        <f>'Part IV-A-Uses of Funds'!J58</f>
        <v>7500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25000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35000</v>
      </c>
      <c r="H506" s="1861"/>
      <c r="I506" s="1819"/>
      <c r="J506" s="1861">
        <f>'Part IV-A-Uses of Funds'!J60</f>
        <v>25000</v>
      </c>
      <c r="K506" s="1861"/>
      <c r="L506" s="1832"/>
      <c r="M506" s="1861">
        <f>'Part IV-A-Uses of Funds'!M60</f>
        <v>0</v>
      </c>
      <c r="N506" s="1861"/>
      <c r="O506" s="1819"/>
      <c r="P506" s="1861">
        <f>'Part IV-A-Uses of Funds'!P60</f>
        <v>0</v>
      </c>
      <c r="Q506" s="1861"/>
      <c r="R506" s="1819"/>
      <c r="S506" s="1861">
        <f>'Part IV-A-Uses of Funds'!S60</f>
        <v>10000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350000000000001"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449515</v>
      </c>
      <c r="H510" s="1861"/>
      <c r="I510" s="1819"/>
      <c r="J510" s="1861">
        <f>SUM(J498:K509)</f>
        <v>434515</v>
      </c>
      <c r="K510" s="1861"/>
      <c r="L510" s="1832"/>
      <c r="M510" s="1861">
        <f>SUM(M498:N509)</f>
        <v>0</v>
      </c>
      <c r="N510" s="1861"/>
      <c r="O510" s="1819"/>
      <c r="P510" s="1861">
        <f>SUM(P498:Q509)</f>
        <v>0</v>
      </c>
      <c r="Q510" s="1861"/>
      <c r="R510" s="1819"/>
      <c r="S510" s="1861">
        <f>SUM(S498:T509)</f>
        <v>15000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120000</v>
      </c>
      <c r="H512" s="1861"/>
      <c r="I512" s="1819"/>
      <c r="J512" s="1861">
        <f>'Part IV-A-Uses of Funds'!J66</f>
        <v>120000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24000</v>
      </c>
      <c r="H513" s="1861"/>
      <c r="I513" s="1819"/>
      <c r="J513" s="1861">
        <f>'Part IV-A-Uses of Funds'!J67</f>
        <v>24000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90000</v>
      </c>
      <c r="H518" s="1861"/>
      <c r="I518" s="1819"/>
      <c r="J518" s="1861">
        <f>'Part IV-A-Uses of Funds'!J72</f>
        <v>90000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15000</v>
      </c>
      <c r="H519" s="1861"/>
      <c r="I519" s="1819"/>
      <c r="J519" s="1861">
        <f>'Part IV-A-Uses of Funds'!J73</f>
        <v>5000</v>
      </c>
      <c r="K519" s="1861"/>
      <c r="L519" s="1832"/>
      <c r="M519" s="1861">
        <f>'Part IV-A-Uses of Funds'!M73</f>
        <v>0</v>
      </c>
      <c r="N519" s="1861"/>
      <c r="O519" s="1819"/>
      <c r="P519" s="1861">
        <f>'Part IV-A-Uses of Funds'!P73</f>
        <v>0</v>
      </c>
      <c r="Q519" s="1861"/>
      <c r="R519" s="1819"/>
      <c r="S519" s="1861">
        <f>'Part IV-A-Uses of Funds'!S73</f>
        <v>10000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12500</v>
      </c>
      <c r="H521" s="1861"/>
      <c r="I521" s="1819"/>
      <c r="J521" s="1861">
        <f>'Part IV-A-Uses of Funds'!J75</f>
        <v>12500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350000000000001" customHeight="1">
      <c r="A522" s="2077" t="str">
        <f>IF(AND(G522&gt;0,OR(C522="",C522="&lt;Enter detailed description here; use Comments section if needed&gt;")),"X","")</f>
        <v/>
      </c>
      <c r="B522" s="1819" t="s">
        <v>723</v>
      </c>
      <c r="C522" s="1849">
        <f>'Part IV-A-Uses of Funds'!C76</f>
        <v>0</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371500</v>
      </c>
      <c r="H523" s="1861"/>
      <c r="I523" s="1819"/>
      <c r="J523" s="1861">
        <f>SUM(J512:K522)</f>
        <v>361500</v>
      </c>
      <c r="K523" s="1861"/>
      <c r="L523" s="1832"/>
      <c r="M523" s="1861">
        <f>SUM(M512:N522)</f>
        <v>0</v>
      </c>
      <c r="N523" s="1861"/>
      <c r="O523" s="1819"/>
      <c r="P523" s="1861">
        <f>SUM(P512:Q522)</f>
        <v>0</v>
      </c>
      <c r="Q523" s="1861"/>
      <c r="R523" s="1819"/>
      <c r="S523" s="1861">
        <f>SUM(S512:T522)</f>
        <v>10000</v>
      </c>
      <c r="T523" s="1861"/>
      <c r="U523" s="1819"/>
      <c r="V523" s="1862">
        <f>SUM(V512:V522)</f>
        <v>0</v>
      </c>
      <c r="W523" s="1772"/>
      <c r="X523" s="1772"/>
    </row>
    <row r="524" spans="1:24" ht="13.8">
      <c r="A524" s="1819"/>
      <c r="B524" s="1819" t="s">
        <v>1243</v>
      </c>
      <c r="C524" s="1819"/>
      <c r="D524" s="1816" t="s">
        <v>3552</v>
      </c>
      <c r="E524" s="2088">
        <f>G529/'Part VI-Revenues &amp; Expenses'!$P$67</f>
        <v>4309.416666666667</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10052</v>
      </c>
      <c r="H525" s="1861"/>
      <c r="I525" s="1819"/>
      <c r="J525" s="1861">
        <f>'Part IV-A-Uses of Funds'!J79</f>
        <v>10052</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72000</v>
      </c>
      <c r="H527" s="1861"/>
      <c r="I527" s="1827"/>
      <c r="J527" s="1861">
        <f>'Part IV-A-Uses of Funds'!J81</f>
        <v>72000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124800</v>
      </c>
      <c r="H528" s="1861"/>
      <c r="I528" s="1827"/>
      <c r="J528" s="1861">
        <f>'Part IV-A-Uses of Funds'!J82</f>
        <v>124800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206852</v>
      </c>
      <c r="H529" s="1861"/>
      <c r="I529" s="1819"/>
      <c r="J529" s="1861">
        <f>SUM(J525:K528)</f>
        <v>206852</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350000000000001"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70960</v>
      </c>
      <c r="F545" s="1861"/>
      <c r="G545" s="1861">
        <f>'Part IV-A-Uses of Funds'!G99</f>
        <v>70960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70960</v>
      </c>
      <c r="T545" s="1861"/>
      <c r="U545" s="1819"/>
      <c r="V545" s="1862"/>
      <c r="W545" s="1772"/>
      <c r="X545" s="1772"/>
    </row>
    <row r="546" spans="1:33" ht="13.8">
      <c r="A546" s="1819"/>
      <c r="B546" s="1819" t="s">
        <v>735</v>
      </c>
      <c r="C546" s="1819"/>
      <c r="D546" s="1819"/>
      <c r="E546" s="1861">
        <f>'Part IV-A-Uses of Funds'!E100</f>
        <v>48000</v>
      </c>
      <c r="F546" s="1861"/>
      <c r="G546" s="1861">
        <f>'Part IV-A-Uses of Funds'!G100</f>
        <v>48000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48000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350000000000001"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132460</v>
      </c>
      <c r="H551" s="1861"/>
      <c r="I551" s="1819"/>
      <c r="J551" s="1832"/>
      <c r="K551" s="1832"/>
      <c r="L551" s="1832"/>
      <c r="M551" s="1832"/>
      <c r="N551" s="1832"/>
      <c r="O551" s="1819"/>
      <c r="P551" s="1832"/>
      <c r="Q551" s="1832"/>
      <c r="R551" s="1819"/>
      <c r="S551" s="1861">
        <f>SUM(S542:T550)</f>
        <v>132460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350000000000001"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240000</v>
      </c>
      <c r="H559" s="1861"/>
      <c r="I559" s="1819"/>
      <c r="J559" s="1861">
        <f>'Part IV-A-Uses of Funds'!J113</f>
        <v>240000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960000</v>
      </c>
      <c r="H563" s="1861"/>
      <c r="I563" s="1819"/>
      <c r="J563" s="1861">
        <f>'Part IV-A-Uses of Funds'!J117</f>
        <v>960000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1200000</v>
      </c>
      <c r="F564" s="1826" t="s">
        <v>187</v>
      </c>
      <c r="G564" s="1877">
        <f>SUM(G559:H563)</f>
        <v>1200000</v>
      </c>
      <c r="H564" s="1877"/>
      <c r="I564" s="1819"/>
      <c r="J564" s="1861">
        <f>SUM(J559:K563)</f>
        <v>1200000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30000</v>
      </c>
      <c r="H566" s="1861"/>
      <c r="I566" s="1819"/>
      <c r="J566" s="2089"/>
      <c r="K566" s="2089"/>
      <c r="L566" s="2089"/>
      <c r="M566" s="2089"/>
      <c r="N566" s="2089"/>
      <c r="O566" s="1819"/>
      <c r="P566" s="2089"/>
      <c r="Q566" s="2089"/>
      <c r="R566" s="1819"/>
      <c r="S566" s="1861">
        <f>'Part IV-A-Uses of Funds'!S120</f>
        <v>30000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55316.75</v>
      </c>
      <c r="G567" s="1861">
        <f>'Part IV-A-Uses of Funds'!G121</f>
        <v>55317</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55317</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110633.5</v>
      </c>
      <c r="G568" s="1861">
        <f>'Part IV-A-Uses of Funds'!G122</f>
        <v>110634</v>
      </c>
      <c r="H568" s="1861"/>
      <c r="I568" s="1819"/>
      <c r="J568" s="1895" t="str">
        <f>IF(E568&gt;G568,"WARNING! ODR proposed is below minimum - add comment.","")</f>
        <v/>
      </c>
      <c r="K568" s="2089"/>
      <c r="L568" s="2089"/>
      <c r="M568" s="2089"/>
      <c r="N568" s="2089"/>
      <c r="O568" s="1819"/>
      <c r="P568" s="2089"/>
      <c r="Q568" s="2089"/>
      <c r="R568" s="1819"/>
      <c r="S568" s="1861">
        <f>'Part IV-A-Uses of Funds'!S122</f>
        <v>110634</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1041.6666666666667</v>
      </c>
      <c r="G570" s="1861">
        <f>'Part IV-A-Uses of Funds'!G124</f>
        <v>50000</v>
      </c>
      <c r="H570" s="1861"/>
      <c r="I570" s="1819"/>
      <c r="J570" s="1861">
        <f>'Part IV-A-Uses of Funds'!J124</f>
        <v>50000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350000000000001"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245951</v>
      </c>
      <c r="H572" s="1861"/>
      <c r="I572" s="1819"/>
      <c r="J572" s="1861">
        <f>SUM(J570:K571)</f>
        <v>50000</v>
      </c>
      <c r="K572" s="1861"/>
      <c r="L572" s="1832"/>
      <c r="M572" s="1861">
        <f>SUM(M570:N571)</f>
        <v>0</v>
      </c>
      <c r="N572" s="1861"/>
      <c r="O572" s="1819"/>
      <c r="P572" s="1861">
        <f>SUM(P570:Q571)</f>
        <v>0</v>
      </c>
      <c r="Q572" s="1861"/>
      <c r="R572" s="1819"/>
      <c r="S572" s="1861">
        <f>SUM(S566:T571)</f>
        <v>195951</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350000000000001"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10740700</v>
      </c>
      <c r="H578" s="1861"/>
      <c r="I578" s="1819"/>
      <c r="J578" s="1861">
        <f>J463+J469+J473+J479+J484+J487+J493+J510+J523+J529+J537+J551+J557+J564+J572+J576</f>
        <v>9863789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876911</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223764.58333333334</v>
      </c>
      <c r="E580" s="1880"/>
      <c r="F580" s="1821" t="s">
        <v>2673</v>
      </c>
      <c r="G580" s="1880">
        <f>IF('Part I-Project Information'!$P$75=0,0,G578/'Part I-Project Information'!$P$75)</f>
        <v>208.96303501945525</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9863789</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9863789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9863789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9863789</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887741.01</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887741</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10740700</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505263</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10235437</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10239777.099999998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10740700</v>
      </c>
      <c r="K615" s="1882"/>
      <c r="L615" s="1882"/>
      <c r="M615" s="1822" t="s">
        <v>4552</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10740590</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1074059</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1.21</v>
      </c>
      <c r="K621" s="1888"/>
      <c r="L621" s="1888"/>
      <c r="M621" s="1821" t="s">
        <v>1263</v>
      </c>
      <c r="N621" s="2206">
        <f>'Part IV-A-Uses of Funds'!N175</f>
        <v>0.84</v>
      </c>
      <c r="O621" s="2206"/>
      <c r="P621" s="1821" t="s">
        <v>595</v>
      </c>
      <c r="Q621" s="2206">
        <f>'Part IV-A-Uses of Funds'!Q175</f>
        <v>0.37</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887652</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887652</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887000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887000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To all applicants: in addition to your other comments, please provide methodology for determining applicable construction hard costs.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2020-059 - Dulles Park II  -  Gray  -  Jones,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35"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35"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35"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35"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35"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35"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35" customHeight="1">
      <c r="A679" s="2098">
        <f>'Part IV-A-Uses of Funds'!$C$76</f>
        <v>0</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35"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35"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35"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35"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35"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35"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2020-059 Dulles Park II,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South</v>
      </c>
    </row>
    <row r="725" spans="1:13">
      <c r="A725" s="1918" t="s">
        <v>3611</v>
      </c>
    </row>
    <row r="727" spans="1:13">
      <c r="A727" s="1995" t="s">
        <v>598</v>
      </c>
      <c r="B727" s="1995" t="s">
        <v>2170</v>
      </c>
      <c r="F727" s="1815" t="s">
        <v>2452</v>
      </c>
      <c r="G727" s="1815"/>
      <c r="H727" s="1815"/>
      <c r="I727" s="1815" t="str">
        <f>'Part V-Utility Allowances'!I7</f>
        <v>DCA GA South</v>
      </c>
      <c r="J727" s="1815"/>
      <c r="K727" s="1815"/>
      <c r="L727" s="1815"/>
      <c r="M727" s="1815"/>
    </row>
    <row r="728" spans="1:13">
      <c r="F728" s="1815" t="s">
        <v>618</v>
      </c>
      <c r="G728" s="1815"/>
      <c r="H728" s="1815"/>
      <c r="I728" s="2211">
        <f>'Part V-Utility Allowances'!I8</f>
        <v>43831</v>
      </c>
      <c r="J728" s="2211"/>
      <c r="K728" s="1896" t="s">
        <v>525</v>
      </c>
      <c r="L728" s="1815" t="str">
        <f>'Part V-Utility Allowances'!L8</f>
        <v>1-Story</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12</v>
      </c>
      <c r="K735" s="1896">
        <f>'Part V-Utility Allowances'!K15</f>
        <v>15</v>
      </c>
      <c r="L735" s="1896">
        <f>'Part V-Utility Allowances'!L15</f>
        <v>0</v>
      </c>
      <c r="M735" s="1896">
        <f>'Part V-Utility Allowances'!M15</f>
        <v>0</v>
      </c>
    </row>
    <row r="736" spans="1:13">
      <c r="B736" s="1815" t="s">
        <v>3608</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0</v>
      </c>
      <c r="M738" s="1896">
        <f>'Part V-Utility Allowances'!M18</f>
        <v>0</v>
      </c>
    </row>
    <row r="739" spans="1:13">
      <c r="B739" s="1815" t="s">
        <v>1343</v>
      </c>
      <c r="C739" s="1815"/>
      <c r="D739" s="1815" t="s">
        <v>6808</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97</v>
      </c>
      <c r="K742" s="1896">
        <f>IF(SUM(K732:K741)=0,0,IF(OR($D732="&lt;&lt;Select Fuel &gt;&gt;",$D733="&lt;&lt;Select Fuel &gt;&gt;",$D734="&lt;&lt;Select Fuel &gt;&gt;"),"Select Fuel",IF($E739="&lt;Select&gt;","Submeter?",SUM(K732:K741))))</f>
        <v>123</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Applicant has used the DCA Georgia south utility allowances for Rowhouse/Townhouse. Documentation is included in Tab 01 of the application.</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2020-059 Dulles Park II, ,  County</v>
      </c>
      <c r="T770" s="1815" t="str">
        <f>A770</f>
        <v>PART SIX - PROJECTED REVENUES &amp; EXPENSES  -  2020-059 Dulles Park II,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2"/>
      <c r="IA771" s="2252"/>
      <c r="IB771" s="2252"/>
      <c r="IC771" s="2252"/>
      <c r="ID771" s="2252"/>
      <c r="IE771" s="2252"/>
      <c r="IF771" s="2252"/>
      <c r="IG771" s="2252"/>
      <c r="IH771" s="2252"/>
      <c r="II771" s="2252"/>
      <c r="IJ771" s="2252"/>
      <c r="IK771" s="2252"/>
      <c r="IL771" s="2252"/>
      <c r="IM771" s="2252"/>
      <c r="IN771" s="2252"/>
      <c r="IO771" s="2252"/>
      <c r="IP771" s="2252"/>
      <c r="IQ771" s="2252"/>
      <c r="IR771" s="2252"/>
      <c r="IS771" s="2252"/>
      <c r="IT771" s="2252"/>
      <c r="IU771" s="2252"/>
      <c r="IV771" s="2252"/>
      <c r="IW771" s="2252"/>
      <c r="IX771" s="2252"/>
      <c r="IY771" s="2252"/>
      <c r="IZ771" s="2252"/>
      <c r="JA771" s="2252"/>
      <c r="JB771" s="2252"/>
      <c r="JC771" s="2252"/>
      <c r="JD771" s="2252"/>
      <c r="JE771" s="2252"/>
      <c r="JF771" s="2252"/>
      <c r="JG771" s="2252"/>
      <c r="JH771" s="2252"/>
      <c r="JI771" s="2252"/>
      <c r="JJ771" s="2252"/>
      <c r="JK771" s="2252"/>
      <c r="JL771" s="2252"/>
      <c r="JM771" s="2252"/>
      <c r="JN771" s="2252"/>
      <c r="JO771" s="2252"/>
      <c r="JP771" s="2252"/>
      <c r="JQ771" s="2252"/>
      <c r="JR771" s="2252"/>
      <c r="JS771" s="2252"/>
      <c r="JT771" s="2252"/>
      <c r="JU771" s="2252"/>
      <c r="JV771" s="2252"/>
      <c r="JW771" s="2252"/>
      <c r="JX771" s="2252"/>
      <c r="JY771" s="2252"/>
      <c r="JZ771" s="2252"/>
      <c r="KA771" s="2252"/>
      <c r="KB771" s="2252"/>
      <c r="KC771" s="2252"/>
      <c r="KD771" s="2252"/>
      <c r="KE771" s="2252"/>
      <c r="KF771" s="2252"/>
      <c r="KG771" s="2252"/>
      <c r="KH771" s="2252"/>
      <c r="KI771" s="2252"/>
      <c r="KJ771" s="2252"/>
      <c r="KK771" s="2252"/>
      <c r="KL771" s="2252"/>
      <c r="KM771" s="2252"/>
      <c r="KN771" s="2252"/>
      <c r="KO771" s="2252"/>
      <c r="KP771" s="2252"/>
      <c r="KQ771" s="2252"/>
      <c r="KR771" s="2252"/>
      <c r="KS771" s="2252"/>
      <c r="KT771" s="2252"/>
      <c r="KU771" s="2252"/>
      <c r="KV771" s="2252"/>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2" t="s">
        <v>476</v>
      </c>
      <c r="IF772" s="2252" t="s">
        <v>2376</v>
      </c>
      <c r="IG772" s="2252" t="s">
        <v>2377</v>
      </c>
      <c r="IH772" s="2252" t="s">
        <v>2378</v>
      </c>
      <c r="II772" s="2252" t="s">
        <v>2379</v>
      </c>
      <c r="IJ772" s="2252" t="s">
        <v>476</v>
      </c>
      <c r="IK772" s="2252" t="s">
        <v>2376</v>
      </c>
      <c r="IL772" s="2252" t="s">
        <v>2377</v>
      </c>
      <c r="IM772" s="2252" t="s">
        <v>2378</v>
      </c>
      <c r="IN772" s="2252" t="s">
        <v>2379</v>
      </c>
      <c r="IO772" s="1732"/>
      <c r="IP772" s="1732"/>
      <c r="IQ772" s="1732"/>
      <c r="IR772" s="1732"/>
      <c r="IS772" s="1732"/>
      <c r="IT772" s="1732"/>
      <c r="IU772" s="1732"/>
      <c r="IV772" s="1732"/>
      <c r="IW772" s="1732"/>
      <c r="IX772" s="1732"/>
      <c r="IY772" s="2252" t="s">
        <v>476</v>
      </c>
      <c r="IZ772" s="2252" t="s">
        <v>2376</v>
      </c>
      <c r="JA772" s="2252" t="s">
        <v>2377</v>
      </c>
      <c r="JB772" s="2252" t="s">
        <v>2378</v>
      </c>
      <c r="JC772" s="2252" t="s">
        <v>2379</v>
      </c>
      <c r="JD772" s="2252" t="s">
        <v>476</v>
      </c>
      <c r="JE772" s="2252" t="s">
        <v>2376</v>
      </c>
      <c r="JF772" s="2252" t="s">
        <v>2377</v>
      </c>
      <c r="JG772" s="2252" t="s">
        <v>2378</v>
      </c>
      <c r="JH772" s="2252" t="s">
        <v>2379</v>
      </c>
      <c r="JI772" s="2252" t="s">
        <v>476</v>
      </c>
      <c r="JJ772" s="2252" t="s">
        <v>2376</v>
      </c>
      <c r="JK772" s="2252" t="s">
        <v>2377</v>
      </c>
      <c r="JL772" s="2252" t="s">
        <v>2378</v>
      </c>
      <c r="JM772" s="2252" t="s">
        <v>2379</v>
      </c>
      <c r="JN772" s="2252" t="s">
        <v>476</v>
      </c>
      <c r="JO772" s="2252" t="s">
        <v>2376</v>
      </c>
      <c r="JP772" s="2252" t="s">
        <v>2377</v>
      </c>
      <c r="JQ772" s="2252" t="s">
        <v>2378</v>
      </c>
      <c r="JR772" s="2252" t="s">
        <v>2379</v>
      </c>
      <c r="JS772" s="2252" t="s">
        <v>476</v>
      </c>
      <c r="JT772" s="2252" t="s">
        <v>2376</v>
      </c>
      <c r="JU772" s="2252" t="s">
        <v>2377</v>
      </c>
      <c r="JV772" s="2252" t="s">
        <v>2378</v>
      </c>
      <c r="JW772" s="2252" t="s">
        <v>2379</v>
      </c>
      <c r="JX772" s="2252" t="s">
        <v>476</v>
      </c>
      <c r="JY772" s="2252" t="s">
        <v>2376</v>
      </c>
      <c r="JZ772" s="2252" t="s">
        <v>2377</v>
      </c>
      <c r="KA772" s="2252" t="s">
        <v>2378</v>
      </c>
      <c r="KB772" s="2252" t="s">
        <v>2379</v>
      </c>
      <c r="KC772" s="2252" t="s">
        <v>476</v>
      </c>
      <c r="KD772" s="2252" t="s">
        <v>2376</v>
      </c>
      <c r="KE772" s="2252" t="s">
        <v>2377</v>
      </c>
      <c r="KF772" s="2252" t="s">
        <v>2378</v>
      </c>
      <c r="KG772" s="2252" t="s">
        <v>2379</v>
      </c>
      <c r="KH772" s="2252" t="s">
        <v>476</v>
      </c>
      <c r="KI772" s="2252" t="s">
        <v>2376</v>
      </c>
      <c r="KJ772" s="2252" t="s">
        <v>2377</v>
      </c>
      <c r="KK772" s="2252" t="s">
        <v>2378</v>
      </c>
      <c r="KL772" s="2252" t="s">
        <v>2379</v>
      </c>
      <c r="KM772" s="2252" t="s">
        <v>476</v>
      </c>
      <c r="KN772" s="2252" t="s">
        <v>2376</v>
      </c>
      <c r="KO772" s="2252" t="s">
        <v>2377</v>
      </c>
      <c r="KP772" s="2252" t="s">
        <v>2378</v>
      </c>
      <c r="KQ772" s="2252" t="s">
        <v>2379</v>
      </c>
      <c r="KR772" s="2252" t="s">
        <v>476</v>
      </c>
      <c r="KS772" s="2252" t="s">
        <v>2376</v>
      </c>
      <c r="KT772" s="2252" t="s">
        <v>2377</v>
      </c>
      <c r="KU772" s="2252" t="s">
        <v>2378</v>
      </c>
      <c r="KV772" s="2252" t="s">
        <v>2379</v>
      </c>
      <c r="KW772" s="2252" t="s">
        <v>476</v>
      </c>
      <c r="KX772" s="2252" t="s">
        <v>2376</v>
      </c>
      <c r="KY772" s="2252" t="s">
        <v>2377</v>
      </c>
      <c r="KZ772" s="2252" t="s">
        <v>2378</v>
      </c>
      <c r="LA772" s="2252" t="s">
        <v>2379</v>
      </c>
      <c r="LB772" s="2252" t="s">
        <v>476</v>
      </c>
      <c r="LC772" s="2252" t="s">
        <v>2376</v>
      </c>
      <c r="LD772" s="2252" t="s">
        <v>2377</v>
      </c>
      <c r="LE772" s="2252" t="s">
        <v>2378</v>
      </c>
      <c r="LF772" s="2252" t="s">
        <v>2379</v>
      </c>
      <c r="LG772" s="2252" t="s">
        <v>476</v>
      </c>
      <c r="LH772" s="2252" t="s">
        <v>2376</v>
      </c>
      <c r="LI772" s="2252" t="s">
        <v>2377</v>
      </c>
      <c r="LJ772" s="2252" t="s">
        <v>2378</v>
      </c>
      <c r="LK772" s="2252" t="s">
        <v>2379</v>
      </c>
      <c r="LL772" s="2252" t="s">
        <v>476</v>
      </c>
      <c r="LM772" s="2252" t="s">
        <v>2376</v>
      </c>
      <c r="LN772" s="2252" t="s">
        <v>2377</v>
      </c>
      <c r="LO772" s="2252" t="s">
        <v>2378</v>
      </c>
      <c r="LP772" s="2252"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6822</v>
      </c>
      <c r="R773" s="2252"/>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4137</v>
      </c>
      <c r="AS773" s="1918" t="s">
        <v>4138</v>
      </c>
      <c r="AT773" s="1918" t="s">
        <v>4139</v>
      </c>
      <c r="AU773" s="1918" t="s">
        <v>4140</v>
      </c>
      <c r="AV773" s="1918" t="s">
        <v>4136</v>
      </c>
      <c r="AW773" s="1918" t="s">
        <v>900</v>
      </c>
      <c r="AX773" s="1918" t="s">
        <v>2254</v>
      </c>
      <c r="AY773" s="1918" t="s">
        <v>2255</v>
      </c>
      <c r="AZ773" s="1918" t="s">
        <v>2256</v>
      </c>
      <c r="BA773" s="1918" t="s">
        <v>2257</v>
      </c>
      <c r="BB773" s="1918" t="s">
        <v>4141</v>
      </c>
      <c r="BC773" s="1918" t="s">
        <v>4142</v>
      </c>
      <c r="BD773" s="1918" t="s">
        <v>4143</v>
      </c>
      <c r="BE773" s="1918" t="s">
        <v>4144</v>
      </c>
      <c r="BF773" s="1918" t="s">
        <v>4145</v>
      </c>
      <c r="BG773" s="1918" t="s">
        <v>126</v>
      </c>
      <c r="BH773" s="1918" t="s">
        <v>2258</v>
      </c>
      <c r="BI773" s="1918" t="s">
        <v>2259</v>
      </c>
      <c r="BJ773" s="1918" t="s">
        <v>2260</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2366</v>
      </c>
      <c r="EE773" s="1918" t="s">
        <v>2367</v>
      </c>
      <c r="EF773" s="1918" t="s">
        <v>2368</v>
      </c>
      <c r="EG773" s="1918" t="s">
        <v>2369</v>
      </c>
      <c r="EH773" s="1918" t="s">
        <v>2370</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4793</v>
      </c>
      <c r="K774" s="1732" t="s">
        <v>3432</v>
      </c>
      <c r="L774" s="2102" t="str">
        <f>'Part I-Project Information'!$B$6</f>
        <v>May 26, 2020 Version</v>
      </c>
      <c r="M774" s="2103"/>
      <c r="N774" s="1922" t="s">
        <v>559</v>
      </c>
      <c r="P774" s="1896" t="s">
        <v>6823</v>
      </c>
      <c r="Q774" s="1918"/>
      <c r="R774" s="2252"/>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3489</v>
      </c>
      <c r="H775" s="1918" t="s">
        <v>3663</v>
      </c>
      <c r="I775" s="1918"/>
      <c r="J775" s="1732" t="s">
        <v>778</v>
      </c>
      <c r="K775" s="1732" t="s">
        <v>3492</v>
      </c>
      <c r="L775" s="2103"/>
      <c r="M775" s="2103"/>
      <c r="N775" s="2104" t="str">
        <f>'Part I-Project Information'!$O$40</f>
        <v>Macon</v>
      </c>
      <c r="O775" s="2104"/>
      <c r="P775" s="1916">
        <f>VLOOKUP('Part I-Project Information'!$O$40,'DCA Underwriting Assumptions'!$C$173:$D$283,2)</f>
        <v>40500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3490</v>
      </c>
      <c r="J777" s="2105" t="s">
        <v>4475</v>
      </c>
      <c r="K777" s="1732" t="s">
        <v>6970</v>
      </c>
      <c r="L777" s="1897" t="s">
        <v>142</v>
      </c>
      <c r="M777" s="1897"/>
      <c r="N777" s="1732" t="s">
        <v>2306</v>
      </c>
      <c r="O777" s="1732" t="s">
        <v>4788</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3</v>
      </c>
      <c r="F786" s="2215">
        <f>'Part VI-Revenues &amp; Expenses'!F17</f>
        <v>850</v>
      </c>
      <c r="G786" s="2215">
        <f>'Part VI-Revenues &amp; Expenses'!G17</f>
        <v>568</v>
      </c>
      <c r="H786" s="2215">
        <f>'Part VI-Revenues &amp; Expenses'!H17</f>
        <v>492</v>
      </c>
      <c r="I786" s="2215">
        <f>'Part VI-Revenues &amp; Expenses'!I17</f>
        <v>0</v>
      </c>
      <c r="J786" s="2215">
        <f>'Part VI-Revenues &amp; Expenses'!J17</f>
        <v>97</v>
      </c>
      <c r="K786" s="2216">
        <f>'Part VI-Revenues &amp; Expenses'!K17</f>
        <v>0</v>
      </c>
      <c r="L786" s="1899">
        <f t="shared" si="0"/>
        <v>395</v>
      </c>
      <c r="M786" s="1899">
        <f t="shared" si="1"/>
        <v>1185</v>
      </c>
      <c r="N786" s="2074" t="str">
        <f>'Part VI-Revenues &amp; Expenses'!N17</f>
        <v>No</v>
      </c>
      <c r="O786" s="2074" t="str">
        <f>'Part VI-Revenues &amp; Expenses'!O17</f>
        <v>1-Story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3</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2550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3</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3</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f t="shared" si="258"/>
        <v>3</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3</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11</v>
      </c>
      <c r="F787" s="2215">
        <f>'Part VI-Revenues &amp; Expenses'!F18</f>
        <v>850</v>
      </c>
      <c r="G787" s="2215">
        <f>'Part VI-Revenues &amp; Expenses'!G18</f>
        <v>681</v>
      </c>
      <c r="H787" s="2215">
        <f>'Part VI-Revenues &amp; Expenses'!H18</f>
        <v>592</v>
      </c>
      <c r="I787" s="2215">
        <f>'Part VI-Revenues &amp; Expenses'!I18</f>
        <v>0</v>
      </c>
      <c r="J787" s="2215">
        <f>'Part VI-Revenues &amp; Expenses'!J18</f>
        <v>97</v>
      </c>
      <c r="K787" s="2216">
        <f>'Part VI-Revenues &amp; Expenses'!K18</f>
        <v>0</v>
      </c>
      <c r="L787" s="1899">
        <f t="shared" si="0"/>
        <v>495</v>
      </c>
      <c r="M787" s="1899">
        <f t="shared" si="1"/>
        <v>5445</v>
      </c>
      <c r="N787" s="2074" t="str">
        <f>'Part VI-Revenues &amp; Expenses'!N18</f>
        <v>No</v>
      </c>
      <c r="O787" s="2074" t="str">
        <f>'Part VI-Revenues &amp; Expenses'!O18</f>
        <v>1-Story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11</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9350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11</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11</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f t="shared" si="258"/>
        <v>11</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11</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2</v>
      </c>
      <c r="E788" s="2215">
        <f>'Part VI-Revenues &amp; Expenses'!E19</f>
        <v>7</v>
      </c>
      <c r="F788" s="2215">
        <f>'Part VI-Revenues &amp; Expenses'!F19</f>
        <v>1100</v>
      </c>
      <c r="G788" s="2215">
        <f>'Part VI-Revenues &amp; Expenses'!G19</f>
        <v>681</v>
      </c>
      <c r="H788" s="2215">
        <f>'Part VI-Revenues &amp; Expenses'!H19</f>
        <v>593</v>
      </c>
      <c r="I788" s="2215">
        <f>'Part VI-Revenues &amp; Expenses'!I19</f>
        <v>0</v>
      </c>
      <c r="J788" s="2215">
        <f>'Part VI-Revenues &amp; Expenses'!J19</f>
        <v>123</v>
      </c>
      <c r="K788" s="2216">
        <f>'Part VI-Revenues &amp; Expenses'!K19</f>
        <v>0</v>
      </c>
      <c r="L788" s="1899">
        <f t="shared" si="0"/>
        <v>470</v>
      </c>
      <c r="M788" s="1899">
        <f t="shared" si="1"/>
        <v>3290</v>
      </c>
      <c r="N788" s="2074" t="str">
        <f>'Part VI-Revenues &amp; Expenses'!N19</f>
        <v>No</v>
      </c>
      <c r="O788" s="2074" t="str">
        <f>'Part VI-Revenues &amp; Expenses'!O19</f>
        <v>1-Story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7</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7700</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7</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7</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f t="shared" si="259"/>
        <v>7</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7</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27</v>
      </c>
      <c r="F789" s="2215">
        <f>'Part VI-Revenues &amp; Expenses'!F20</f>
        <v>1100</v>
      </c>
      <c r="G789" s="2215">
        <f>'Part VI-Revenues &amp; Expenses'!G20</f>
        <v>817</v>
      </c>
      <c r="H789" s="2215">
        <f>'Part VI-Revenues &amp; Expenses'!H20</f>
        <v>718</v>
      </c>
      <c r="I789" s="2215">
        <f>'Part VI-Revenues &amp; Expenses'!I20</f>
        <v>0</v>
      </c>
      <c r="J789" s="2215">
        <f>'Part VI-Revenues &amp; Expenses'!J20</f>
        <v>123</v>
      </c>
      <c r="K789" s="2216">
        <f>'Part VI-Revenues &amp; Expenses'!K20</f>
        <v>0</v>
      </c>
      <c r="L789" s="1899">
        <f t="shared" si="0"/>
        <v>595</v>
      </c>
      <c r="M789" s="1899">
        <f t="shared" si="1"/>
        <v>16065</v>
      </c>
      <c r="N789" s="2074" t="str">
        <f>'Part VI-Revenues &amp; Expenses'!N20</f>
        <v>No</v>
      </c>
      <c r="O789" s="2074" t="str">
        <f>'Part VI-Revenues &amp; Expenses'!O20</f>
        <v>1-Story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27</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29700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27</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27</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f t="shared" si="259"/>
        <v>27</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27</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48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49300</v>
      </c>
      <c r="H817" s="2107" t="s">
        <v>4210</v>
      </c>
      <c r="I817" s="1229" t="s">
        <v>4211</v>
      </c>
      <c r="J817" s="1903" t="str">
        <f>IF(P836=0,"",IF(SUM(P827:P831)/P836&gt;=0.4,"Pass","Fail"))</f>
        <v>Pass</v>
      </c>
      <c r="K817" s="450"/>
      <c r="L817" s="1904" t="s">
        <v>1276</v>
      </c>
      <c r="M817" s="1905">
        <f>SUM(M779:M816)</f>
        <v>25985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11</v>
      </c>
      <c r="AJ817" s="1900">
        <f t="shared" si="348"/>
        <v>27</v>
      </c>
      <c r="AK817" s="1900">
        <f t="shared" si="348"/>
        <v>0</v>
      </c>
      <c r="AL817" s="1900">
        <f t="shared" si="348"/>
        <v>0</v>
      </c>
      <c r="AM817" s="1900">
        <f>SUM(AM779:AM816)</f>
        <v>0</v>
      </c>
      <c r="AN817" s="1900">
        <f>SUM(AN779:AN816)</f>
        <v>3</v>
      </c>
      <c r="AO817" s="1900">
        <f>SUM(AO779:AO816)</f>
        <v>7</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9350</v>
      </c>
      <c r="EU817" s="1900">
        <f t="shared" si="348"/>
        <v>29700</v>
      </c>
      <c r="EV817" s="1900">
        <f t="shared" si="348"/>
        <v>0</v>
      </c>
      <c r="EW817" s="1900">
        <f t="shared" si="348"/>
        <v>0</v>
      </c>
      <c r="EX817" s="1900">
        <f t="shared" si="348"/>
        <v>0</v>
      </c>
      <c r="EY817" s="1900">
        <f t="shared" si="348"/>
        <v>2550</v>
      </c>
      <c r="EZ817" s="1900">
        <f t="shared" si="348"/>
        <v>7700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14</v>
      </c>
      <c r="GI817" s="1900">
        <f t="shared" si="350"/>
        <v>34</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14</v>
      </c>
      <c r="IB817" s="1900">
        <f t="shared" si="351"/>
        <v>34</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14</v>
      </c>
      <c r="JU817" s="1900">
        <f t="shared" si="351"/>
        <v>34</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14</v>
      </c>
      <c r="MW817" s="1900">
        <f t="shared" si="352"/>
        <v>34</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57.916666666666664</v>
      </c>
      <c r="C818" s="2108"/>
      <c r="D818" s="1896" t="s">
        <v>4120</v>
      </c>
      <c r="E818" s="1901">
        <f>SUM(E786:E816)</f>
        <v>48</v>
      </c>
      <c r="F818" s="1902">
        <f>(E786*F786+E787*F787+E788*F788+E789*F789+E790*F790+E791*F791+E792*F792+E793*F793+E794*F794+E795*F795+E796*F796+E797*F797+E798*F798+E799*F799+E800*F800+E801*F801+E802*F802+E803*F803+E804*F804+E805*F805+E806*F806+E807*F807+E808*F808+E809*F809+E810*F810+E811*F811+E812*F812+E813*F813+E814*F814+E815*F815+E816*F816)</f>
        <v>49300</v>
      </c>
      <c r="H818" s="2107"/>
      <c r="I818" s="1229" t="s">
        <v>4212</v>
      </c>
      <c r="J818" s="1903" t="str">
        <f>IF(P836=0,"",IF(SUM(P828:P831)/P836&gt;=0.2,"Pass","Fail"))</f>
        <v>Pass</v>
      </c>
      <c r="K818" s="450"/>
      <c r="L818" s="1904" t="s">
        <v>794</v>
      </c>
      <c r="M818" s="1905">
        <f>M817*12</f>
        <v>311820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11</v>
      </c>
      <c r="M827" s="1906">
        <f>AJ817</f>
        <v>27</v>
      </c>
      <c r="N827" s="1906">
        <f>AK817</f>
        <v>0</v>
      </c>
      <c r="O827" s="1906">
        <f>AL817</f>
        <v>0</v>
      </c>
      <c r="P827" s="1906">
        <f t="shared" si="353"/>
        <v>38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3</v>
      </c>
      <c r="M828" s="1906">
        <f>AO817</f>
        <v>7</v>
      </c>
      <c r="N828" s="1906">
        <f>AP817</f>
        <v>0</v>
      </c>
      <c r="O828" s="1906">
        <f>AQ817</f>
        <v>0</v>
      </c>
      <c r="P828" s="1906">
        <f t="shared" si="353"/>
        <v>10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14</v>
      </c>
      <c r="M832" s="1906">
        <f>SUM(M825:M831)</f>
        <v>34</v>
      </c>
      <c r="N832" s="1906">
        <f>SUM(N825:N831)</f>
        <v>0</v>
      </c>
      <c r="O832" s="1906">
        <f>SUM(O825:O831)</f>
        <v>0</v>
      </c>
      <c r="P832" s="1906">
        <f t="shared" si="353"/>
        <v>48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14</v>
      </c>
      <c r="M834" s="1906">
        <f>SUM(M832:M833)</f>
        <v>34</v>
      </c>
      <c r="N834" s="1906">
        <f>SUM(N832:N833)</f>
        <v>0</v>
      </c>
      <c r="O834" s="1906">
        <f>SUM(O832:O833)</f>
        <v>0</v>
      </c>
      <c r="P834" s="1906">
        <f t="shared" si="353"/>
        <v>48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14</v>
      </c>
      <c r="M836" s="1906">
        <f>SUM(M834:M835)</f>
        <v>34</v>
      </c>
      <c r="N836" s="1906">
        <f>SUM(N834:N835)</f>
        <v>0</v>
      </c>
      <c r="O836" s="1906">
        <f>SUM(O834:O835)</f>
        <v>0</v>
      </c>
      <c r="P836" s="1906">
        <f t="shared" si="353"/>
        <v>48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350000000000001"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35"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35" customHeight="1">
      <c r="C842" s="1815"/>
      <c r="D842" s="1815" t="s">
        <v>6824</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14</v>
      </c>
      <c r="M882" s="1906">
        <f>GI817</f>
        <v>34</v>
      </c>
      <c r="N882" s="1906">
        <f>GJ817</f>
        <v>0</v>
      </c>
      <c r="O882" s="1906">
        <f>GK817</f>
        <v>0</v>
      </c>
      <c r="P882" s="1906">
        <f t="shared" ref="P882:P892" si="377">SUM(K882:O882)</f>
        <v>48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14</v>
      </c>
      <c r="M884" s="1906">
        <f>SUM(M882:M883)+GS817</f>
        <v>34</v>
      </c>
      <c r="N884" s="1906">
        <f>SUM(N882:N883)+GT817</f>
        <v>0</v>
      </c>
      <c r="O884" s="1906">
        <f>SUM(O882:O883)+GU817</f>
        <v>0</v>
      </c>
      <c r="P884" s="1906">
        <f t="shared" si="377"/>
        <v>48</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14</v>
      </c>
      <c r="M896" s="1906">
        <f t="shared" ref="M896:N896" si="378">SUM(M897:M906)</f>
        <v>34</v>
      </c>
      <c r="N896" s="1906">
        <f t="shared" si="378"/>
        <v>0</v>
      </c>
      <c r="O896" s="1906">
        <f>SUM(O897:O906)</f>
        <v>0</v>
      </c>
      <c r="P896" s="1906">
        <f>SUM(P897:P906)</f>
        <v>48</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14</v>
      </c>
      <c r="M897" s="1906">
        <f>JU817</f>
        <v>34</v>
      </c>
      <c r="N897" s="1906">
        <f>JV817</f>
        <v>0</v>
      </c>
      <c r="O897" s="1906">
        <f>JW817</f>
        <v>0</v>
      </c>
      <c r="P897" s="1906">
        <f t="shared" ref="P897:P914" si="379">SUM(K897:O897)</f>
        <v>48</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14</v>
      </c>
      <c r="M920" s="1906">
        <f t="shared" si="382"/>
        <v>34</v>
      </c>
      <c r="N920" s="1906">
        <f t="shared" si="382"/>
        <v>0</v>
      </c>
      <c r="O920" s="1906">
        <f t="shared" si="382"/>
        <v>0</v>
      </c>
      <c r="P920" s="1906">
        <f t="shared" si="381"/>
        <v>48</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9350</v>
      </c>
      <c r="M930" s="1915">
        <f>EU817</f>
        <v>29700</v>
      </c>
      <c r="N930" s="1915">
        <f>EV817</f>
        <v>0</v>
      </c>
      <c r="O930" s="1915">
        <f>EW817</f>
        <v>0</v>
      </c>
      <c r="P930" s="1915">
        <f t="shared" si="385"/>
        <v>39050</v>
      </c>
      <c r="Q930" s="1916">
        <f t="shared" si="386"/>
        <v>1027.6315789473683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2550</v>
      </c>
      <c r="M931" s="1915">
        <f>EZ817</f>
        <v>7700</v>
      </c>
      <c r="N931" s="1915">
        <f>FA817</f>
        <v>0</v>
      </c>
      <c r="O931" s="1915">
        <f>FB817</f>
        <v>0</v>
      </c>
      <c r="P931" s="1915">
        <f t="shared" si="385"/>
        <v>10250</v>
      </c>
      <c r="Q931" s="1916">
        <f t="shared" si="386"/>
        <v>1025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11900</v>
      </c>
      <c r="M935" s="1915">
        <f>SUM(M928:M934)</f>
        <v>37400</v>
      </c>
      <c r="N935" s="1915">
        <f>SUM(N928:N934)</f>
        <v>0</v>
      </c>
      <c r="O935" s="1915">
        <f>SUM(O928:O934)</f>
        <v>0</v>
      </c>
      <c r="P935" s="1915">
        <f>SUM(K935:O935)</f>
        <v>49300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11900</v>
      </c>
      <c r="M937" s="1915">
        <f>SUM(M935:M936)</f>
        <v>37400</v>
      </c>
      <c r="N937" s="1915">
        <f>SUM(N935:N936)</f>
        <v>0</v>
      </c>
      <c r="O937" s="1915">
        <f>SUM(O935:O936)</f>
        <v>0</v>
      </c>
      <c r="P937" s="1915">
        <f>SUM(K937:O937)</f>
        <v>49300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11900</v>
      </c>
      <c r="M939" s="1915">
        <f>SUM(M937:M938)</f>
        <v>37400</v>
      </c>
      <c r="N939" s="1915">
        <f>SUM(N937:N938)</f>
        <v>0</v>
      </c>
      <c r="O939" s="1915">
        <f>SUM(O937:O938)</f>
        <v>0</v>
      </c>
      <c r="P939" s="1915">
        <f>SUM(K939:O939)</f>
        <v>49300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850</v>
      </c>
      <c r="M942" s="1917">
        <f>IF(OR(M836="",M836=0),"",M939/M836)</f>
        <v>1100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6236.4000000000005</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23040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24710</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20592</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20000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Healthy Eating Initiative Expense</v>
      </c>
      <c r="C994" s="449"/>
      <c r="D994" s="449"/>
      <c r="E994" s="449"/>
      <c r="F994" s="1915">
        <f>'Part VI-Revenues &amp; Expenses'!F225</f>
        <v>3500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68802</v>
      </c>
      <c r="G995" s="1915"/>
      <c r="I995" s="1815" t="s">
        <v>1569</v>
      </c>
      <c r="L995" s="1915">
        <f>'Part VI-Revenues &amp; Expenses'!L226</f>
        <v>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221267</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v>
      </c>
      <c r="M997" s="1915"/>
      <c r="N997" s="1897"/>
      <c r="O997" s="449" t="s">
        <v>2668</v>
      </c>
      <c r="P997" s="1921">
        <f>+Q996/P836</f>
        <v>4609.729166666667</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1750</v>
      </c>
      <c r="G998" s="1915"/>
      <c r="I998" s="2155">
        <f>'Part VI-Revenues &amp; Expenses'!I229</f>
        <v>0</v>
      </c>
      <c r="J998" s="2155"/>
      <c r="K998" s="2155"/>
      <c r="L998" s="1915">
        <f>'Part VI-Revenues &amp; Expenses'!L229</f>
        <v>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3500</v>
      </c>
      <c r="G999" s="1915"/>
      <c r="K999" s="1948" t="s">
        <v>187</v>
      </c>
      <c r="L999" s="1917">
        <f>SUM(L995:L998)</f>
        <v>8000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4436</v>
      </c>
      <c r="O1002" s="1815" t="s">
        <v>3360</v>
      </c>
      <c r="Q1002" s="2220">
        <f>'Part VI-Revenues &amp; Expenses'!Q233</f>
        <v>12000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 Costs</v>
      </c>
      <c r="C1003" s="449"/>
      <c r="D1003" s="449"/>
      <c r="E1003" s="449"/>
      <c r="F1003" s="1915">
        <f>'Part VI-Revenues &amp; Expenses'!F234</f>
        <v>4880</v>
      </c>
      <c r="G1003" s="1915"/>
      <c r="I1003" s="1815" t="s">
        <v>1341</v>
      </c>
      <c r="K1003" s="1864">
        <f>L1003/12/P836</f>
        <v>17.361111111111111</v>
      </c>
      <c r="L1003" s="1915">
        <f>'Part VI-Revenues &amp; Expenses'!L234</f>
        <v>10000</v>
      </c>
      <c r="M1003" s="1915"/>
      <c r="N1003" s="1897" t="str">
        <f>IF(Q1002&lt;Q1011, "WARNING! RR proposed is below the DCA required minimum.","")</f>
        <v/>
      </c>
      <c r="O1003" s="449" t="s">
        <v>4435</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10130</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6.0763888888888893</v>
      </c>
      <c r="L1005" s="1915">
        <f>'Part VI-Revenues &amp; Expenses'!L236</f>
        <v>3500</v>
      </c>
      <c r="M1005" s="1915"/>
      <c r="N1005" s="1897"/>
      <c r="O1005" s="1945" t="s">
        <v>2633</v>
      </c>
      <c r="P1005" s="1817" t="s">
        <v>3634</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4000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0</v>
      </c>
      <c r="G1007" s="1915"/>
      <c r="I1007" s="2155" t="str">
        <f>'Part VI-Revenues &amp; Expenses'!I238</f>
        <v>Cable TV / Internet</v>
      </c>
      <c r="J1007" s="2155"/>
      <c r="K1007" s="2155"/>
      <c r="L1007" s="1915">
        <f>'Part VI-Revenues &amp; Expenses'!L238</f>
        <v>1200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5000</v>
      </c>
      <c r="G1008" s="1915"/>
      <c r="K1008" s="1948" t="s">
        <v>187</v>
      </c>
      <c r="L1008" s="1917">
        <f>SUM(L1003:L1007)</f>
        <v>18700</v>
      </c>
      <c r="M1008" s="1917"/>
      <c r="N1008" s="1897"/>
      <c r="O1008" s="1822" t="s">
        <v>3314</v>
      </c>
      <c r="P1008" s="1925" t="str">
        <f>CONCATENATE(SUM(MU817:MY817)," units x $",'DCA Underwriting Assumptions'!$Q$69," =")</f>
        <v>48 units x $250 =</v>
      </c>
      <c r="Q1008" s="1925">
        <f>SUM(MU817:MY817)*'DCA Underwriting Assumptions'!$Q$69</f>
        <v>12000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20000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5000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1500</v>
      </c>
      <c r="G1011" s="1915"/>
      <c r="I1011" s="1815" t="s">
        <v>1349</v>
      </c>
      <c r="O1011" s="1904" t="s">
        <v>2636</v>
      </c>
      <c r="P1011" s="1926">
        <f>SUM(MP817:MT817)+SUM(MU817:MY817)+SUM(MZ817:ND817)+P894</f>
        <v>48</v>
      </c>
      <c r="Q1011" s="1926">
        <f>SUM(Q1007:Q1010)</f>
        <v>12000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37695</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v>
      </c>
      <c r="G1013" s="1915"/>
      <c r="I1013" s="1815" t="s">
        <v>143</v>
      </c>
      <c r="L1013" s="1915">
        <f>'Part VI-Revenues &amp; Expenses'!L244</f>
        <v>20800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Taxes</v>
      </c>
      <c r="J1014" s="2155"/>
      <c r="K1014" s="2155"/>
      <c r="L1014" s="1915">
        <f>'Part VI-Revenues &amp; Expenses'!L245</f>
        <v>1500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32000</v>
      </c>
      <c r="G1015" s="1915"/>
      <c r="K1015" s="1948" t="s">
        <v>187</v>
      </c>
      <c r="L1015" s="1917">
        <f>SUM(L1011:L1014)</f>
        <v>59995</v>
      </c>
      <c r="M1015" s="1917"/>
      <c r="O1015" s="1815" t="s">
        <v>2136</v>
      </c>
      <c r="Q1015" s="1917">
        <f>Q996+Q1002</f>
        <v>233267</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4478</v>
      </c>
      <c r="N1019" s="1916">
        <f>'Part VI-Revenues &amp; Expenses'!N250</f>
        <v>0</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Please see Tab 1 for Insurance and Real Estate Tax documentation.  Applicant has budgeted $23,500 per year for costs related to Enriched property services; $20,000 for Preventive Health Care &amp; Health Service Coordinator  and $3,500 for the Healthy Eating Initiative.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2020-059 Dulles Park II, ,  County</v>
      </c>
      <c r="L1029" s="1815"/>
      <c r="M1029" s="1815"/>
      <c r="N1029" s="1815" t="str">
        <f>A1029</f>
        <v>PART SEVEN - OPERATING PRO FORMA  -  2020-059 Dulles Park II,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2137</v>
      </c>
      <c r="B1033" s="1928">
        <v>0.02</v>
      </c>
      <c r="C1033" s="2120"/>
      <c r="D1033" s="1910" t="s">
        <v>6826</v>
      </c>
      <c r="E1033" s="1910"/>
      <c r="F1033" s="1910"/>
      <c r="G1033" s="2221">
        <f>'Part VII-Pro Forma'!G5</f>
        <v>5000</v>
      </c>
      <c r="H1033" s="1913" t="s">
        <v>1859</v>
      </c>
      <c r="K1033" s="1929">
        <f>'Part VII-Pro Forma'!K5</f>
        <v>-1.6903744386283389E-2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7.789245413199386E-2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23040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311820</v>
      </c>
      <c r="C1042" s="2122">
        <f>'Part VII-Pro Forma'!C14</f>
        <v>318056.40000000002</v>
      </c>
      <c r="D1042" s="2122">
        <f>'Part VII-Pro Forma'!D14</f>
        <v>324417.52799999999</v>
      </c>
      <c r="E1042" s="2122">
        <f>'Part VII-Pro Forma'!E14</f>
        <v>330905.87855999998</v>
      </c>
      <c r="F1042" s="2122">
        <f>'Part VII-Pro Forma'!F14</f>
        <v>337523.99613119999</v>
      </c>
      <c r="G1042" s="2122">
        <f>'Part VII-Pro Forma'!G14</f>
        <v>344274.47605382401</v>
      </c>
      <c r="H1042" s="2122">
        <f>'Part VII-Pro Forma'!H14</f>
        <v>351159.9655749005</v>
      </c>
      <c r="I1042" s="2122">
        <f>'Part VII-Pro Forma'!I14</f>
        <v>358183.16488639842</v>
      </c>
      <c r="J1042" s="2122">
        <f>'Part VII-Pro Forma'!J14</f>
        <v>365346.82818412641</v>
      </c>
      <c r="K1042" s="2122">
        <f>'Part VII-Pro Forma'!K14</f>
        <v>372653.76474780898</v>
      </c>
      <c r="N1042" s="1910"/>
      <c r="O1042" s="1910"/>
      <c r="S1042" s="1918" t="s">
        <v>3836</v>
      </c>
    </row>
    <row r="1043" spans="1:19" ht="13.35" customHeight="1">
      <c r="A1043" s="1995" t="s">
        <v>994</v>
      </c>
      <c r="B1043" s="2122">
        <f>'Part VII-Pro Forma'!B15</f>
        <v>6236.4000000000005</v>
      </c>
      <c r="C1043" s="2122">
        <f>'Part VII-Pro Forma'!C15</f>
        <v>6361.1280000000006</v>
      </c>
      <c r="D1043" s="2122">
        <f>'Part VII-Pro Forma'!D15</f>
        <v>6488.3505600000008</v>
      </c>
      <c r="E1043" s="2122">
        <f>'Part VII-Pro Forma'!E15</f>
        <v>6618.1175712000004</v>
      </c>
      <c r="F1043" s="2122">
        <f>'Part VII-Pro Forma'!F15</f>
        <v>6750.4799226240002</v>
      </c>
      <c r="G1043" s="2122">
        <f>'Part VII-Pro Forma'!G15</f>
        <v>6885.4895210764807</v>
      </c>
      <c r="H1043" s="2122">
        <f>'Part VII-Pro Forma'!H15</f>
        <v>7023.1993114980105</v>
      </c>
      <c r="I1043" s="2122">
        <f>'Part VII-Pro Forma'!I15</f>
        <v>7163.6632977279696</v>
      </c>
      <c r="J1043" s="2122">
        <f>'Part VII-Pro Forma'!J15</f>
        <v>7306.9365636825296</v>
      </c>
      <c r="K1043" s="2122">
        <f>'Part VII-Pro Forma'!K15</f>
        <v>7453.0752949561802</v>
      </c>
      <c r="N1043" s="1910"/>
      <c r="O1043" s="1910"/>
      <c r="S1043" s="1918"/>
    </row>
    <row r="1044" spans="1:19" ht="13.35" customHeight="1">
      <c r="A1044" s="1995" t="s">
        <v>2342</v>
      </c>
      <c r="B1044" s="2122">
        <f>'Part VII-Pro Forma'!B16</f>
        <v>-22263.948000000004</v>
      </c>
      <c r="C1044" s="2122">
        <f>'Part VII-Pro Forma'!C16</f>
        <v>-22709.226960000007</v>
      </c>
      <c r="D1044" s="2122">
        <f>'Part VII-Pro Forma'!D16</f>
        <v>-23163.4114992</v>
      </c>
      <c r="E1044" s="2122">
        <f>'Part VII-Pro Forma'!E16</f>
        <v>-23626.679729184001</v>
      </c>
      <c r="F1044" s="2122">
        <f>'Part VII-Pro Forma'!F16</f>
        <v>-24099.213323767683</v>
      </c>
      <c r="G1044" s="2122">
        <f>'Part VII-Pro Forma'!G16</f>
        <v>-24581.197590243039</v>
      </c>
      <c r="H1044" s="2122">
        <f>'Part VII-Pro Forma'!H16</f>
        <v>-25072.821542047899</v>
      </c>
      <c r="I1044" s="2122">
        <f>'Part VII-Pro Forma'!I16</f>
        <v>-25574.277972888853</v>
      </c>
      <c r="J1044" s="2122">
        <f>'Part VII-Pro Forma'!J16</f>
        <v>-26085.763532346627</v>
      </c>
      <c r="K1044" s="2122">
        <f>'Part VII-Pro Forma'!K16</f>
        <v>-26607.478802993563</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295792.45200000005</v>
      </c>
      <c r="C1047" s="2122">
        <f>'Part VII-Pro Forma'!C19</f>
        <v>301708.30104000005</v>
      </c>
      <c r="D1047" s="2122">
        <f>'Part VII-Pro Forma'!D19</f>
        <v>307742.4670608</v>
      </c>
      <c r="E1047" s="2122">
        <f>'Part VII-Pro Forma'!E19</f>
        <v>313897.31640201597</v>
      </c>
      <c r="F1047" s="2122">
        <f>'Part VII-Pro Forma'!F19</f>
        <v>320175.2627300563</v>
      </c>
      <c r="G1047" s="2122">
        <f>'Part VII-Pro Forma'!G19</f>
        <v>326578.76798465749</v>
      </c>
      <c r="H1047" s="2122">
        <f>'Part VII-Pro Forma'!H19</f>
        <v>333110.34334435064</v>
      </c>
      <c r="I1047" s="2122">
        <f>'Part VII-Pro Forma'!I19</f>
        <v>339772.55021123757</v>
      </c>
      <c r="J1047" s="2122">
        <f>'Part VII-Pro Forma'!J19</f>
        <v>346568.00121546228</v>
      </c>
      <c r="K1047" s="2122">
        <f>'Part VII-Pro Forma'!K19</f>
        <v>353499.36123977159</v>
      </c>
      <c r="N1047" s="1910"/>
      <c r="O1047" s="1910"/>
    </row>
    <row r="1048" spans="1:19" ht="13.35" customHeight="1">
      <c r="A1048" s="1995" t="s">
        <v>597</v>
      </c>
      <c r="B1048" s="2122">
        <f>'Part VII-Pro Forma'!B20</f>
        <v>-198227</v>
      </c>
      <c r="C1048" s="2122">
        <f>'Part VII-Pro Forma'!C20</f>
        <v>-204173.81</v>
      </c>
      <c r="D1048" s="2122">
        <f>'Part VII-Pro Forma'!D20</f>
        <v>-210299.02429999999</v>
      </c>
      <c r="E1048" s="2122">
        <f>'Part VII-Pro Forma'!E20</f>
        <v>-216607.99502900001</v>
      </c>
      <c r="F1048" s="2122">
        <f>'Part VII-Pro Forma'!F20</f>
        <v>-223106.23487987</v>
      </c>
      <c r="G1048" s="2122">
        <f>'Part VII-Pro Forma'!G20</f>
        <v>-229799.42192626608</v>
      </c>
      <c r="H1048" s="2122">
        <f>'Part VII-Pro Forma'!H20</f>
        <v>-236693.40458405408</v>
      </c>
      <c r="I1048" s="2122">
        <f>'Part VII-Pro Forma'!I20</f>
        <v>-243794.2067215757</v>
      </c>
      <c r="J1048" s="2122">
        <f>'Part VII-Pro Forma'!J20</f>
        <v>-251108.03292322296</v>
      </c>
      <c r="K1048" s="2122">
        <f>'Part VII-Pro Forma'!K20</f>
        <v>-258641.27391091964</v>
      </c>
      <c r="N1048" s="1910"/>
      <c r="O1048" s="1910"/>
      <c r="Q1048" s="1874">
        <v>1</v>
      </c>
      <c r="R1048" s="1900">
        <f>'Part VII-Pro Forma'!R20</f>
        <v>9380</v>
      </c>
      <c r="S1048" s="1900">
        <f>'Part VII-Pro Forma'!S20</f>
        <v>57525.452000000048</v>
      </c>
    </row>
    <row r="1049" spans="1:19" ht="13.35" customHeight="1">
      <c r="A1049" s="1995" t="s">
        <v>1093</v>
      </c>
      <c r="B1049" s="2122">
        <f>'Part VII-Pro Forma'!B21</f>
        <v>-23040</v>
      </c>
      <c r="C1049" s="2122">
        <f>'Part VII-Pro Forma'!C21</f>
        <v>-23731</v>
      </c>
      <c r="D1049" s="2122">
        <f>'Part VII-Pro Forma'!D21</f>
        <v>-24443</v>
      </c>
      <c r="E1049" s="2122">
        <f>'Part VII-Pro Forma'!E21</f>
        <v>-25176</v>
      </c>
      <c r="F1049" s="2122">
        <f>'Part VII-Pro Forma'!F21</f>
        <v>-25932</v>
      </c>
      <c r="G1049" s="2122">
        <f>'Part VII-Pro Forma'!G21</f>
        <v>-26710</v>
      </c>
      <c r="H1049" s="2122">
        <f>'Part VII-Pro Forma'!H21</f>
        <v>-27511</v>
      </c>
      <c r="I1049" s="2122">
        <f>'Part VII-Pro Forma'!I21</f>
        <v>-28336</v>
      </c>
      <c r="J1049" s="2122">
        <f>'Part VII-Pro Forma'!J21</f>
        <v>-29186</v>
      </c>
      <c r="K1049" s="2122">
        <f>'Part VII-Pro Forma'!K21</f>
        <v>-30062</v>
      </c>
      <c r="N1049" s="1910"/>
      <c r="O1049" s="1910"/>
      <c r="Q1049" s="1874">
        <v>2</v>
      </c>
      <c r="R1049" s="1900">
        <f>'Part VII-Pro Forma'!R21</f>
        <v>9380</v>
      </c>
      <c r="S1049" s="1900">
        <f>'Part VII-Pro Forma'!S21</f>
        <v>113968.9430400001</v>
      </c>
    </row>
    <row r="1050" spans="1:19" ht="13.35" customHeight="1">
      <c r="A1050" s="1995" t="s">
        <v>1176</v>
      </c>
      <c r="B1050" s="2122">
        <f>'Part VII-Pro Forma'!B22</f>
        <v>-12000</v>
      </c>
      <c r="C1050" s="2122">
        <f>'Part VII-Pro Forma'!C22</f>
        <v>-12360</v>
      </c>
      <c r="D1050" s="2122">
        <f>'Part VII-Pro Forma'!D22</f>
        <v>-12730.8</v>
      </c>
      <c r="E1050" s="2122">
        <f>'Part VII-Pro Forma'!E22</f>
        <v>-13112.724</v>
      </c>
      <c r="F1050" s="2122">
        <f>'Part VII-Pro Forma'!F22</f>
        <v>-13506.10572</v>
      </c>
      <c r="G1050" s="2122">
        <f>'Part VII-Pro Forma'!G22</f>
        <v>-13911.288891599997</v>
      </c>
      <c r="H1050" s="2122">
        <f>'Part VII-Pro Forma'!H22</f>
        <v>-14328.627558347998</v>
      </c>
      <c r="I1050" s="2122">
        <f>'Part VII-Pro Forma'!I22</f>
        <v>-14758.48638509844</v>
      </c>
      <c r="J1050" s="2122">
        <f>'Part VII-Pro Forma'!J22</f>
        <v>-15201.240976651392</v>
      </c>
      <c r="K1050" s="2122">
        <f>'Part VII-Pro Forma'!K22</f>
        <v>-15657.278205950934</v>
      </c>
      <c r="N1050" s="1910"/>
      <c r="O1050" s="1910"/>
      <c r="Q1050" s="1874">
        <v>3</v>
      </c>
      <c r="R1050" s="1900">
        <f>'Part VII-Pro Forma'!R22</f>
        <v>9380</v>
      </c>
      <c r="S1050" s="1900">
        <f>'Part VII-Pro Forma'!S22</f>
        <v>169238.58580080012</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9380</v>
      </c>
      <c r="S1051" s="1900">
        <f>'Part VII-Pro Forma'!S23</f>
        <v>223239.18317381607</v>
      </c>
    </row>
    <row r="1052" spans="1:19" ht="13.35" customHeight="1">
      <c r="A1052" s="1995" t="s">
        <v>1177</v>
      </c>
      <c r="B1052" s="2122">
        <f>'Part VII-Pro Forma'!B24</f>
        <v>62525.452000000048</v>
      </c>
      <c r="C1052" s="2122">
        <f>'Part VII-Pro Forma'!C24</f>
        <v>61443.491040000052</v>
      </c>
      <c r="D1052" s="2122">
        <f>'Part VII-Pro Forma'!D24</f>
        <v>60269.642760800009</v>
      </c>
      <c r="E1052" s="2122">
        <f>'Part VII-Pro Forma'!E24</f>
        <v>59000.59737301596</v>
      </c>
      <c r="F1052" s="2122">
        <f>'Part VII-Pro Forma'!F24</f>
        <v>57630.922130186307</v>
      </c>
      <c r="G1052" s="2122">
        <f>'Part VII-Pro Forma'!G24</f>
        <v>56158.057166791419</v>
      </c>
      <c r="H1052" s="2122">
        <f>'Part VII-Pro Forma'!H24</f>
        <v>54577.311201948556</v>
      </c>
      <c r="I1052" s="2122">
        <f>'Part VII-Pro Forma'!I24</f>
        <v>52883.857104563431</v>
      </c>
      <c r="J1052" s="2122">
        <f>'Part VII-Pro Forma'!J24</f>
        <v>51072.727315587937</v>
      </c>
      <c r="K1052" s="2122">
        <f>'Part VII-Pro Forma'!K24</f>
        <v>49138.809122901017</v>
      </c>
      <c r="N1052" s="1910"/>
      <c r="O1052" s="1910"/>
      <c r="Q1052" s="1874">
        <v>5</v>
      </c>
      <c r="R1052" s="1900">
        <f>'Part VII-Pro Forma'!R24</f>
        <v>9380</v>
      </c>
      <c r="S1052" s="1900">
        <f>'Part VII-Pro Forma'!S24</f>
        <v>275870.10530400235</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9380</v>
      </c>
      <c r="S1053" s="1900">
        <f>'Part VII-Pro Forma'!S25</f>
        <v>327028.16247079376</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9380</v>
      </c>
      <c r="S1054" s="1900">
        <f>'Part VII-Pro Forma'!S26</f>
        <v>376605.47367274232</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9380</v>
      </c>
      <c r="S1055" s="1900">
        <f>'Part VII-Pro Forma'!S27</f>
        <v>424489.33077730576</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9380</v>
      </c>
      <c r="S1056" s="1900">
        <f>'Part VII-Pro Forma'!S28</f>
        <v>470562.05809289368</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9380</v>
      </c>
      <c r="S1057" s="1900">
        <f>'Part VII-Pro Forma'!S29</f>
        <v>514700.86721579469</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9380</v>
      </c>
      <c r="S1058" s="1900">
        <f>'Part VII-Pro Forma'!S30</f>
        <v>556778.70699998492</v>
      </c>
    </row>
    <row r="1059" spans="1:19" ht="13.35" customHeight="1">
      <c r="A1059" s="1995" t="s">
        <v>3770</v>
      </c>
      <c r="B1059" s="2122">
        <f>'Part VII-Pro Forma'!B31</f>
        <v>-9380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9380</v>
      </c>
      <c r="S1059" s="1900">
        <f>'Part VII-Pro Forma'!S31</f>
        <v>596663.10849305533</v>
      </c>
    </row>
    <row r="1060" spans="1:19" ht="13.35" customHeight="1">
      <c r="A1060" s="1995" t="s">
        <v>1142</v>
      </c>
      <c r="B1060" s="2122">
        <f>'Part VII-Pro Forma'!B32</f>
        <v>48145.452000000048</v>
      </c>
      <c r="C1060" s="2122">
        <f>'Part VII-Pro Forma'!C32</f>
        <v>56443.491040000052</v>
      </c>
      <c r="D1060" s="2122">
        <f>'Part VII-Pro Forma'!D32</f>
        <v>55269.642760800009</v>
      </c>
      <c r="E1060" s="2122">
        <f>'Part VII-Pro Forma'!E32</f>
        <v>54000.59737301596</v>
      </c>
      <c r="F1060" s="2122">
        <f>'Part VII-Pro Forma'!F32</f>
        <v>52630.922130186307</v>
      </c>
      <c r="G1060" s="2122">
        <f>'Part VII-Pro Forma'!G32</f>
        <v>51158.057166791419</v>
      </c>
      <c r="H1060" s="2122">
        <f>'Part VII-Pro Forma'!H32</f>
        <v>49577.311201948556</v>
      </c>
      <c r="I1060" s="2122">
        <f>'Part VII-Pro Forma'!I32</f>
        <v>47883.857104563431</v>
      </c>
      <c r="J1060" s="2122">
        <f>'Part VII-Pro Forma'!J32</f>
        <v>46072.727315587937</v>
      </c>
      <c r="K1060" s="2122">
        <f>'Part VII-Pro Forma'!K32</f>
        <v>44138.809122901017</v>
      </c>
      <c r="N1060" s="1910"/>
      <c r="O1060" s="1910"/>
      <c r="Q1060" s="1874">
        <v>13</v>
      </c>
      <c r="R1060" s="1900">
        <f>'Part VII-Pro Forma'!R32</f>
        <v>9380</v>
      </c>
      <c r="S1060" s="1900">
        <f>'Part VII-Pro Forma'!S32</f>
        <v>634216.02467657928</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9380</v>
      </c>
      <c r="S1061" s="1900">
        <f>'Part VII-Pro Forma'!S33</f>
        <v>669294.66484418348</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9380</v>
      </c>
      <c r="S1062" s="1900">
        <f>'Part VII-Pro Forma'!S34</f>
        <v>701749.32344536204</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9380</v>
      </c>
      <c r="S1063" s="1900">
        <f>'Part VII-Pro Forma'!S35</f>
        <v>731424.20321769291</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9380</v>
      </c>
      <c r="S1064" s="1900">
        <f>'Part VII-Pro Forma'!S36</f>
        <v>758159.23242457316</v>
      </c>
    </row>
    <row r="1065" spans="1:19" ht="13.35" customHeight="1">
      <c r="A1065" s="1995" t="s">
        <v>3532</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9380</v>
      </c>
      <c r="S1065" s="1900">
        <f>'Part VII-Pro Forma'!S37</f>
        <v>781784.87600986706</v>
      </c>
    </row>
    <row r="1066" spans="1:19" ht="13.35" customHeight="1">
      <c r="A1066" s="1995" t="s">
        <v>752</v>
      </c>
      <c r="B1066" s="2122">
        <f>'Part VII-Pro Forma'!B38</f>
        <v>1.2680424234889636</v>
      </c>
      <c r="C1066" s="2122">
        <f>'Part VII-Pro Forma'!C38</f>
        <v>1.2557323772882099</v>
      </c>
      <c r="D1066" s="2122">
        <f>'Part VII-Pro Forma'!D38</f>
        <v>1.2435404490625519</v>
      </c>
      <c r="E1066" s="2122">
        <f>'Part VII-Pro Forma'!E38</f>
        <v>1.2314686418788443</v>
      </c>
      <c r="F1066" s="2122">
        <f>'Part VII-Pro Forma'!F38</f>
        <v>1.219509291262989</v>
      </c>
      <c r="G1066" s="2122">
        <f>'Part VII-Pro Forma'!G38</f>
        <v>1.2076692165956735</v>
      </c>
      <c r="H1066" s="2122">
        <f>'Part VII-Pro Forma'!H38</f>
        <v>1.1959455608627616</v>
      </c>
      <c r="I1066" s="2122">
        <f>'Part VII-Pro Forma'!I38</f>
        <v>1.184335801219254</v>
      </c>
      <c r="J1066" s="2122">
        <f>'Part VII-Pro Forma'!J38</f>
        <v>1.1728377129066823</v>
      </c>
      <c r="K1066" s="2122">
        <f>'Part VII-Pro Forma'!K38</f>
        <v>1.1614493362596883</v>
      </c>
      <c r="N1066" s="1910"/>
      <c r="O1066" s="1910"/>
      <c r="Q1066" s="1874">
        <v>19</v>
      </c>
      <c r="R1066" s="1900">
        <f>'Part VII-Pro Forma'!R38</f>
        <v>9380</v>
      </c>
      <c r="S1066" s="1900">
        <f>'Part VII-Pro Forma'!S38</f>
        <v>802127.94047497062</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9380</v>
      </c>
      <c r="S1067" s="1900">
        <f>'Part VII-Pro Forma'!S39</f>
        <v>819006.37227772351</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380106.84004276514</v>
      </c>
      <c r="C1074" s="2122">
        <f>'Part VII-Pro Forma'!C46</f>
        <v>387708.97684362042</v>
      </c>
      <c r="D1074" s="2122">
        <f>'Part VII-Pro Forma'!D46</f>
        <v>395463.15638049284</v>
      </c>
      <c r="E1074" s="2122">
        <f>'Part VII-Pro Forma'!E46</f>
        <v>403372.4195081027</v>
      </c>
      <c r="F1074" s="2122">
        <f>'Part VII-Pro Forma'!F46</f>
        <v>411439.86789826478</v>
      </c>
      <c r="G1074" s="2122">
        <f>'Part VII-Pro Forma'!G46</f>
        <v>419668.66525622999</v>
      </c>
      <c r="H1074" s="2122">
        <f>'Part VII-Pro Forma'!H46</f>
        <v>428062.03856135462</v>
      </c>
      <c r="I1074" s="2122">
        <f>'Part VII-Pro Forma'!I46</f>
        <v>436623.27933258179</v>
      </c>
      <c r="J1074" s="2122">
        <f>'Part VII-Pro Forma'!J46</f>
        <v>445355.74491923337</v>
      </c>
      <c r="K1074" s="2122">
        <f>'Part VII-Pro Forma'!K46</f>
        <v>454262.85981761804</v>
      </c>
      <c r="N1074" s="1910"/>
      <c r="O1074" s="1910"/>
    </row>
    <row r="1075" spans="1:19" ht="13.35" customHeight="1">
      <c r="A1075" s="1995" t="s">
        <v>994</v>
      </c>
      <c r="B1075" s="2122">
        <f>'Part VII-Pro Forma'!B47</f>
        <v>7602.1368008553036</v>
      </c>
      <c r="C1075" s="2122">
        <f>'Part VII-Pro Forma'!C47</f>
        <v>7754.1795368724088</v>
      </c>
      <c r="D1075" s="2122">
        <f>'Part VII-Pro Forma'!D47</f>
        <v>7909.2631276098582</v>
      </c>
      <c r="E1075" s="2122">
        <f>'Part VII-Pro Forma'!E47</f>
        <v>8067.4483901620542</v>
      </c>
      <c r="F1075" s="2122">
        <f>'Part VII-Pro Forma'!F47</f>
        <v>8228.7973579652971</v>
      </c>
      <c r="G1075" s="2122">
        <f>'Part VII-Pro Forma'!G47</f>
        <v>8393.3733051245999</v>
      </c>
      <c r="H1075" s="2122">
        <f>'Part VII-Pro Forma'!H47</f>
        <v>8561.2407712270942</v>
      </c>
      <c r="I1075" s="2122">
        <f>'Part VII-Pro Forma'!I47</f>
        <v>8732.4655866516368</v>
      </c>
      <c r="J1075" s="2122">
        <f>'Part VII-Pro Forma'!J47</f>
        <v>8907.1148983846688</v>
      </c>
      <c r="K1075" s="2122">
        <f>'Part VII-Pro Forma'!K47</f>
        <v>9085.2571963523606</v>
      </c>
      <c r="N1075" s="1910"/>
      <c r="O1075" s="1910"/>
    </row>
    <row r="1076" spans="1:19" ht="13.35" customHeight="1">
      <c r="A1076" s="1995" t="s">
        <v>2342</v>
      </c>
      <c r="B1076" s="2122">
        <f>'Part VII-Pro Forma'!B48</f>
        <v>-27139.628379053433</v>
      </c>
      <c r="C1076" s="2122">
        <f>'Part VII-Pro Forma'!C48</f>
        <v>-27682.420946634502</v>
      </c>
      <c r="D1076" s="2122">
        <f>'Part VII-Pro Forma'!D48</f>
        <v>-28236.069365567193</v>
      </c>
      <c r="E1076" s="2122">
        <f>'Part VII-Pro Forma'!E48</f>
        <v>-28800.790752878533</v>
      </c>
      <c r="F1076" s="2122">
        <f>'Part VII-Pro Forma'!F48</f>
        <v>-29376.80656793611</v>
      </c>
      <c r="G1076" s="2122">
        <f>'Part VII-Pro Forma'!G48</f>
        <v>-29964.342699294823</v>
      </c>
      <c r="H1076" s="2122">
        <f>'Part VII-Pro Forma'!H48</f>
        <v>-30563.629553280723</v>
      </c>
      <c r="I1076" s="2122">
        <f>'Part VII-Pro Forma'!I48</f>
        <v>-31174.902144346343</v>
      </c>
      <c r="J1076" s="2122">
        <f>'Part VII-Pro Forma'!J48</f>
        <v>-31798.400187233266</v>
      </c>
      <c r="K1076" s="2122">
        <f>'Part VII-Pro Forma'!K48</f>
        <v>-32434.36819097793</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4377</v>
      </c>
      <c r="B1079" s="2122">
        <f>'Part VII-Pro Forma'!B51</f>
        <v>360569.34846456698</v>
      </c>
      <c r="C1079" s="2122">
        <f>'Part VII-Pro Forma'!C51</f>
        <v>367780.73543385835</v>
      </c>
      <c r="D1079" s="2122">
        <f>'Part VII-Pro Forma'!D51</f>
        <v>375136.35014253552</v>
      </c>
      <c r="E1079" s="2122">
        <f>'Part VII-Pro Forma'!E51</f>
        <v>382639.0771453862</v>
      </c>
      <c r="F1079" s="2122">
        <f>'Part VII-Pro Forma'!F51</f>
        <v>390291.85868829401</v>
      </c>
      <c r="G1079" s="2122">
        <f>'Part VII-Pro Forma'!G51</f>
        <v>398097.69586205971</v>
      </c>
      <c r="H1079" s="2122">
        <f>'Part VII-Pro Forma'!H51</f>
        <v>406059.64977930102</v>
      </c>
      <c r="I1079" s="2122">
        <f>'Part VII-Pro Forma'!I51</f>
        <v>414180.8427748871</v>
      </c>
      <c r="J1079" s="2122">
        <f>'Part VII-Pro Forma'!J51</f>
        <v>422464.45963038475</v>
      </c>
      <c r="K1079" s="2122">
        <f>'Part VII-Pro Forma'!K51</f>
        <v>430913.74882299243</v>
      </c>
      <c r="N1079" s="1910"/>
      <c r="O1079" s="1910"/>
    </row>
    <row r="1080" spans="1:19" ht="13.35" customHeight="1">
      <c r="A1080" s="1995" t="s">
        <v>597</v>
      </c>
      <c r="B1080" s="2122">
        <f>'Part VII-Pro Forma'!B52</f>
        <v>-266400.51212824724</v>
      </c>
      <c r="C1080" s="2122">
        <f>'Part VII-Pro Forma'!C52</f>
        <v>-274392.52749209467</v>
      </c>
      <c r="D1080" s="2122">
        <f>'Part VII-Pro Forma'!D52</f>
        <v>-282624.30331685743</v>
      </c>
      <c r="E1080" s="2122">
        <f>'Part VII-Pro Forma'!E52</f>
        <v>-291103.03241636319</v>
      </c>
      <c r="F1080" s="2122">
        <f>'Part VII-Pro Forma'!F52</f>
        <v>-299836.12338885409</v>
      </c>
      <c r="G1080" s="2122">
        <f>'Part VII-Pro Forma'!G52</f>
        <v>-308831.20709051972</v>
      </c>
      <c r="H1080" s="2122">
        <f>'Part VII-Pro Forma'!H52</f>
        <v>-318096.14330323529</v>
      </c>
      <c r="I1080" s="2122">
        <f>'Part VII-Pro Forma'!I52</f>
        <v>-327639.02760233229</v>
      </c>
      <c r="J1080" s="2122">
        <f>'Part VII-Pro Forma'!J52</f>
        <v>-337468.19843040232</v>
      </c>
      <c r="K1080" s="2122">
        <f>'Part VII-Pro Forma'!K52</f>
        <v>-347592.24438331433</v>
      </c>
      <c r="N1080" s="1910"/>
      <c r="O1080" s="1910"/>
    </row>
    <row r="1081" spans="1:19" ht="13.35" customHeight="1">
      <c r="A1081" s="1995" t="s">
        <v>1093</v>
      </c>
      <c r="B1081" s="2122">
        <f>'Part VII-Pro Forma'!B53</f>
        <v>-30964</v>
      </c>
      <c r="C1081" s="2122">
        <f>'Part VII-Pro Forma'!C53</f>
        <v>-31893</v>
      </c>
      <c r="D1081" s="2122">
        <f>'Part VII-Pro Forma'!D53</f>
        <v>-32850</v>
      </c>
      <c r="E1081" s="2122">
        <f>'Part VII-Pro Forma'!E53</f>
        <v>-33835</v>
      </c>
      <c r="F1081" s="2122">
        <f>'Part VII-Pro Forma'!F53</f>
        <v>-34850</v>
      </c>
      <c r="G1081" s="2122">
        <f>'Part VII-Pro Forma'!G53</f>
        <v>-35896</v>
      </c>
      <c r="H1081" s="2122">
        <f>'Part VII-Pro Forma'!H53</f>
        <v>-36972</v>
      </c>
      <c r="I1081" s="2122">
        <f>'Part VII-Pro Forma'!I53</f>
        <v>-38082</v>
      </c>
      <c r="J1081" s="2122">
        <f>'Part VII-Pro Forma'!J53</f>
        <v>-39224</v>
      </c>
      <c r="K1081" s="2122">
        <f>'Part VII-Pro Forma'!K53</f>
        <v>-40401</v>
      </c>
      <c r="N1081" s="1910"/>
      <c r="O1081" s="1910"/>
    </row>
    <row r="1082" spans="1:19" ht="13.35" customHeight="1">
      <c r="A1082" s="1995" t="s">
        <v>1176</v>
      </c>
      <c r="B1082" s="2122">
        <f>'Part VII-Pro Forma'!B54</f>
        <v>-16126.996552129462</v>
      </c>
      <c r="C1082" s="2122">
        <f>'Part VII-Pro Forma'!C54</f>
        <v>-16610.806448693347</v>
      </c>
      <c r="D1082" s="2122">
        <f>'Part VII-Pro Forma'!D54</f>
        <v>-17109.130642154145</v>
      </c>
      <c r="E1082" s="2122">
        <f>'Part VII-Pro Forma'!E54</f>
        <v>-17622.404561418767</v>
      </c>
      <c r="F1082" s="2122">
        <f>'Part VII-Pro Forma'!F54</f>
        <v>-18151.076698261331</v>
      </c>
      <c r="G1082" s="2122">
        <f>'Part VII-Pro Forma'!G54</f>
        <v>-18695.608999209173</v>
      </c>
      <c r="H1082" s="2122">
        <f>'Part VII-Pro Forma'!H54</f>
        <v>-19256.477269185445</v>
      </c>
      <c r="I1082" s="2122">
        <f>'Part VII-Pro Forma'!I54</f>
        <v>-19834.171587261008</v>
      </c>
      <c r="J1082" s="2122">
        <f>'Part VII-Pro Forma'!J54</f>
        <v>-20429.196734878838</v>
      </c>
      <c r="K1082" s="2122">
        <f>'Part VII-Pro Forma'!K54</f>
        <v>-21042.072636925204</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47077.839784190277</v>
      </c>
      <c r="C1084" s="2122">
        <f>'Part VII-Pro Forma'!C56</f>
        <v>44884.401493070342</v>
      </c>
      <c r="D1084" s="2122">
        <f>'Part VII-Pro Forma'!D56</f>
        <v>42552.916183523943</v>
      </c>
      <c r="E1084" s="2122">
        <f>'Part VII-Pro Forma'!E56</f>
        <v>40078.640167604244</v>
      </c>
      <c r="F1084" s="2122">
        <f>'Part VII-Pro Forma'!F56</f>
        <v>37454.658601178598</v>
      </c>
      <c r="G1084" s="2122">
        <f>'Part VII-Pro Forma'!G56</f>
        <v>34674.879772330823</v>
      </c>
      <c r="H1084" s="2122">
        <f>'Part VII-Pro Forma'!H56</f>
        <v>31735.029206880281</v>
      </c>
      <c r="I1084" s="2122">
        <f>'Part VII-Pro Forma'!I56</f>
        <v>28625.643585293801</v>
      </c>
      <c r="J1084" s="2122">
        <f>'Part VII-Pro Forma'!J56</f>
        <v>25343.064465103591</v>
      </c>
      <c r="K1084" s="2122">
        <f>'Part VII-Pro Forma'!K56</f>
        <v>21878.431802752897</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42077.839784190277</v>
      </c>
      <c r="C1092" s="2122">
        <f>'Part VII-Pro Forma'!C64</f>
        <v>39884.401493070342</v>
      </c>
      <c r="D1092" s="2122">
        <f>'Part VII-Pro Forma'!D64</f>
        <v>37552.916183523943</v>
      </c>
      <c r="E1092" s="2122">
        <f>'Part VII-Pro Forma'!E64</f>
        <v>35078.640167604244</v>
      </c>
      <c r="F1092" s="2122">
        <f>'Part VII-Pro Forma'!F64</f>
        <v>32454.658601178598</v>
      </c>
      <c r="G1092" s="2122">
        <f>'Part VII-Pro Forma'!G64</f>
        <v>29674.879772330823</v>
      </c>
      <c r="H1092" s="2122">
        <f>'Part VII-Pro Forma'!H64</f>
        <v>26735.029206880281</v>
      </c>
      <c r="I1092" s="2122">
        <f>'Part VII-Pro Forma'!I64</f>
        <v>23625.643585293801</v>
      </c>
      <c r="J1092" s="2122">
        <f>'Part VII-Pro Forma'!J64</f>
        <v>20343.064465103591</v>
      </c>
      <c r="K1092" s="2122">
        <f>'Part VII-Pro Forma'!K64</f>
        <v>16878.431802752897</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1.1501726154636902</v>
      </c>
      <c r="C1098" s="2122">
        <f>'Part VII-Pro Forma'!C70</f>
        <v>1.1390056088444198</v>
      </c>
      <c r="D1098" s="2122">
        <f>'Part VII-Pro Forma'!D70</f>
        <v>1.1279465897533798</v>
      </c>
      <c r="E1098" s="2122">
        <f>'Part VII-Pro Forma'!E70</f>
        <v>1.1169972823516794</v>
      </c>
      <c r="F1098" s="2122">
        <f>'Part VII-Pro Forma'!F70</f>
        <v>1.1061528052935776</v>
      </c>
      <c r="G1098" s="2122">
        <f>'Part VII-Pro Forma'!G70</f>
        <v>1.0954119505908226</v>
      </c>
      <c r="H1098" s="2122">
        <f>'Part VII-Pro Forma'!H70</f>
        <v>1.0847794333120562</v>
      </c>
      <c r="I1098" s="2122">
        <f>'Part VII-Pro Forma'!I70</f>
        <v>1.0742452537158431</v>
      </c>
      <c r="J1098" s="2122">
        <f>'Part VII-Pro Forma'!J70</f>
        <v>1.0638169204017727</v>
      </c>
      <c r="K1098" s="2122">
        <f>'Part VII-Pro Forma'!K70</f>
        <v>1.0534878796338027</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463348.11701397039</v>
      </c>
      <c r="C1106" s="2122">
        <f>'Part VII-Pro Forma'!C78</f>
        <v>472615.07935424981</v>
      </c>
      <c r="D1106" s="2122">
        <f>'Part VII-Pro Forma'!D78</f>
        <v>482067.38094133482</v>
      </c>
      <c r="E1106" s="2122">
        <f>'Part VII-Pro Forma'!E78</f>
        <v>491708.72856016143</v>
      </c>
      <c r="F1106" s="2122">
        <f>'Part VII-Pro Forma'!F78</f>
        <v>501542.90313136467</v>
      </c>
      <c r="G1106" s="2122">
        <f>'Part VII-Pro Forma'!G78</f>
        <v>511573.76119399199</v>
      </c>
      <c r="H1106" s="2122">
        <f>'Part VII-Pro Forma'!H78</f>
        <v>521805.23641787184</v>
      </c>
      <c r="I1106" s="2122">
        <f>'Part VII-Pro Forma'!I78</f>
        <v>532241.34114622918</v>
      </c>
      <c r="J1106" s="2122">
        <f>'Part VII-Pro Forma'!J78</f>
        <v>542886.16796915384</v>
      </c>
      <c r="K1106" s="2122">
        <f>'Part VII-Pro Forma'!K78</f>
        <v>553743.89132853691</v>
      </c>
      <c r="N1106" s="1910"/>
      <c r="O1106" s="1910"/>
    </row>
    <row r="1107" spans="1:19" ht="13.35" customHeight="1">
      <c r="A1107" s="1995" t="s">
        <v>994</v>
      </c>
      <c r="B1107" s="2122">
        <f>'Part VII-Pro Forma'!B79</f>
        <v>9266.9623402794095</v>
      </c>
      <c r="C1107" s="2122">
        <f>'Part VII-Pro Forma'!C79</f>
        <v>9452.3015870849958</v>
      </c>
      <c r="D1107" s="2122">
        <f>'Part VII-Pro Forma'!D79</f>
        <v>9641.3476188266977</v>
      </c>
      <c r="E1107" s="2122">
        <f>'Part VII-Pro Forma'!E79</f>
        <v>9834.1745712032298</v>
      </c>
      <c r="F1107" s="2122">
        <f>'Part VII-Pro Forma'!F79</f>
        <v>10030.858062627294</v>
      </c>
      <c r="G1107" s="2122">
        <f>'Part VII-Pro Forma'!G79</f>
        <v>10231.475223879841</v>
      </c>
      <c r="H1107" s="2122">
        <f>'Part VII-Pro Forma'!H79</f>
        <v>10436.104728357439</v>
      </c>
      <c r="I1107" s="2122">
        <f>'Part VII-Pro Forma'!I79</f>
        <v>10644.826822924584</v>
      </c>
      <c r="J1107" s="2122">
        <f>'Part VII-Pro Forma'!J79</f>
        <v>10857.723359383079</v>
      </c>
      <c r="K1107" s="2122">
        <f>'Part VII-Pro Forma'!K79</f>
        <v>11074.877826570739</v>
      </c>
      <c r="N1107" s="1910"/>
      <c r="O1107" s="1910"/>
    </row>
    <row r="1108" spans="1:19" ht="13.35" customHeight="1">
      <c r="A1108" s="1995" t="s">
        <v>2342</v>
      </c>
      <c r="B1108" s="2122">
        <f>'Part VII-Pro Forma'!B80</f>
        <v>-33083.055554797487</v>
      </c>
      <c r="C1108" s="2122">
        <f>'Part VII-Pro Forma'!C80</f>
        <v>-33744.716665893444</v>
      </c>
      <c r="D1108" s="2122">
        <f>'Part VII-Pro Forma'!D80</f>
        <v>-34419.610999211312</v>
      </c>
      <c r="E1108" s="2122">
        <f>'Part VII-Pro Forma'!E80</f>
        <v>-35108.003219195532</v>
      </c>
      <c r="F1108" s="2122">
        <f>'Part VII-Pro Forma'!F80</f>
        <v>-35810.163283579444</v>
      </c>
      <c r="G1108" s="2122">
        <f>'Part VII-Pro Forma'!G80</f>
        <v>-36526.366549251034</v>
      </c>
      <c r="H1108" s="2122">
        <f>'Part VII-Pro Forma'!H80</f>
        <v>-37256.893880236057</v>
      </c>
      <c r="I1108" s="2122">
        <f>'Part VII-Pro Forma'!I80</f>
        <v>-38002.031757840763</v>
      </c>
      <c r="J1108" s="2122">
        <f>'Part VII-Pro Forma'!J80</f>
        <v>-38762.072392997587</v>
      </c>
      <c r="K1108" s="2122">
        <f>'Part VII-Pro Forma'!K80</f>
        <v>-39537.31384085754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439532.02379945235</v>
      </c>
      <c r="C1111" s="2122">
        <f>'Part VII-Pro Forma'!C83</f>
        <v>448322.66427544138</v>
      </c>
      <c r="D1111" s="2122">
        <f>'Part VII-Pro Forma'!D83</f>
        <v>457289.11756095022</v>
      </c>
      <c r="E1111" s="2122">
        <f>'Part VII-Pro Forma'!E83</f>
        <v>466434.89991216914</v>
      </c>
      <c r="F1111" s="2122">
        <f>'Part VII-Pro Forma'!F83</f>
        <v>475763.59791041253</v>
      </c>
      <c r="G1111" s="2122">
        <f>'Part VII-Pro Forma'!G83</f>
        <v>485278.86986862082</v>
      </c>
      <c r="H1111" s="2122">
        <f>'Part VII-Pro Forma'!H83</f>
        <v>494984.44726599322</v>
      </c>
      <c r="I1111" s="2122">
        <f>'Part VII-Pro Forma'!I83</f>
        <v>504884.13621131296</v>
      </c>
      <c r="J1111" s="2122">
        <f>'Part VII-Pro Forma'!J83</f>
        <v>514981.81893553934</v>
      </c>
      <c r="K1111" s="2122">
        <f>'Part VII-Pro Forma'!K83</f>
        <v>525281.45531425008</v>
      </c>
      <c r="N1111" s="1910"/>
      <c r="O1111" s="1910"/>
    </row>
    <row r="1112" spans="1:19" ht="13.35" customHeight="1">
      <c r="A1112" s="1995" t="s">
        <v>597</v>
      </c>
      <c r="B1112" s="2122">
        <f>'Part VII-Pro Forma'!B84</f>
        <v>-358020.01171481377</v>
      </c>
      <c r="C1112" s="2122">
        <f>'Part VII-Pro Forma'!C84</f>
        <v>-368760.61206625815</v>
      </c>
      <c r="D1112" s="2122">
        <f>'Part VII-Pro Forma'!D84</f>
        <v>-379823.43042824592</v>
      </c>
      <c r="E1112" s="2122">
        <f>'Part VII-Pro Forma'!E84</f>
        <v>-391218.13334109331</v>
      </c>
      <c r="F1112" s="2122">
        <f>'Part VII-Pro Forma'!F84</f>
        <v>-402954.67734132608</v>
      </c>
      <c r="G1112" s="2122">
        <f>'Part VII-Pro Forma'!G84</f>
        <v>-415043.31766156584</v>
      </c>
      <c r="H1112" s="2122">
        <f>'Part VII-Pro Forma'!H84</f>
        <v>-427494.61719141289</v>
      </c>
      <c r="I1112" s="2122">
        <f>'Part VII-Pro Forma'!I84</f>
        <v>-440319.45570715523</v>
      </c>
      <c r="J1112" s="2122">
        <f>'Part VII-Pro Forma'!J84</f>
        <v>-453529.03937836987</v>
      </c>
      <c r="K1112" s="2122">
        <f>'Part VII-Pro Forma'!K84</f>
        <v>-467134.91055972094</v>
      </c>
      <c r="N1112" s="1910"/>
      <c r="O1112" s="1910"/>
    </row>
    <row r="1113" spans="1:19" ht="13.35" customHeight="1">
      <c r="A1113" s="1995" t="s">
        <v>1093</v>
      </c>
      <c r="B1113" s="2122">
        <f>'Part VII-Pro Forma'!B85</f>
        <v>-41613</v>
      </c>
      <c r="C1113" s="2122">
        <f>'Part VII-Pro Forma'!C85</f>
        <v>-42861</v>
      </c>
      <c r="D1113" s="2122">
        <f>'Part VII-Pro Forma'!D85</f>
        <v>-44147</v>
      </c>
      <c r="E1113" s="2122">
        <f>'Part VII-Pro Forma'!E85</f>
        <v>-45471</v>
      </c>
      <c r="F1113" s="2122">
        <f>'Part VII-Pro Forma'!F85</f>
        <v>-46836</v>
      </c>
      <c r="G1113" s="2122">
        <f>'Part VII-Pro Forma'!G85</f>
        <v>-48241</v>
      </c>
      <c r="H1113" s="2122">
        <f>'Part VII-Pro Forma'!H85</f>
        <v>-49688</v>
      </c>
      <c r="I1113" s="2122">
        <f>'Part VII-Pro Forma'!I85</f>
        <v>-51178</v>
      </c>
      <c r="J1113" s="2122">
        <f>'Part VII-Pro Forma'!J85</f>
        <v>-52714</v>
      </c>
      <c r="K1113" s="2122">
        <f>'Part VII-Pro Forma'!K85</f>
        <v>-54295</v>
      </c>
      <c r="N1113" s="1910"/>
      <c r="O1113" s="1910"/>
    </row>
    <row r="1114" spans="1:19" ht="13.35" customHeight="1">
      <c r="A1114" s="1995" t="s">
        <v>1176</v>
      </c>
      <c r="B1114" s="2122">
        <f>'Part VII-Pro Forma'!B86</f>
        <v>-21673.334816032959</v>
      </c>
      <c r="C1114" s="2122">
        <f>'Part VII-Pro Forma'!C86</f>
        <v>-22323.534860513944</v>
      </c>
      <c r="D1114" s="2122">
        <f>'Part VII-Pro Forma'!D86</f>
        <v>-22993.240906329367</v>
      </c>
      <c r="E1114" s="2122">
        <f>'Part VII-Pro Forma'!E86</f>
        <v>-23683.038133519247</v>
      </c>
      <c r="F1114" s="2122">
        <f>'Part VII-Pro Forma'!F86</f>
        <v>-24393.529277524824</v>
      </c>
      <c r="G1114" s="2122">
        <f>'Part VII-Pro Forma'!G86</f>
        <v>-25125.335155850567</v>
      </c>
      <c r="H1114" s="2122">
        <f>'Part VII-Pro Forma'!H86</f>
        <v>-25879.095210526088</v>
      </c>
      <c r="I1114" s="2122">
        <f>'Part VII-Pro Forma'!I86</f>
        <v>-26655.468066841866</v>
      </c>
      <c r="J1114" s="2122">
        <f>'Part VII-Pro Forma'!J86</f>
        <v>-27455.132108847123</v>
      </c>
      <c r="K1114" s="2122">
        <f>'Part VII-Pro Forma'!K86</f>
        <v>-28278.786072112533</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18225.677268605625</v>
      </c>
      <c r="C1116" s="2122">
        <f>'Part VII-Pro Forma'!C88</f>
        <v>14377.51734866928</v>
      </c>
      <c r="D1116" s="2122">
        <f>'Part VII-Pro Forma'!D88</f>
        <v>10325.446226374937</v>
      </c>
      <c r="E1116" s="2122">
        <f>'Part VII-Pro Forma'!E88</f>
        <v>6062.7284375565832</v>
      </c>
      <c r="F1116" s="2122">
        <f>'Part VII-Pro Forma'!F88</f>
        <v>1579.3912915616238</v>
      </c>
      <c r="G1116" s="2122">
        <f>'Part VII-Pro Forma'!G88</f>
        <v>-3130.7829487955896</v>
      </c>
      <c r="H1116" s="2122">
        <f>'Part VII-Pro Forma'!H88</f>
        <v>-8077.2651359457595</v>
      </c>
      <c r="I1116" s="2122">
        <f>'Part VII-Pro Forma'!I88</f>
        <v>-13268.787562684134</v>
      </c>
      <c r="J1116" s="2122">
        <f>'Part VII-Pro Forma'!J88</f>
        <v>-18716.35255167765</v>
      </c>
      <c r="K1116" s="2122">
        <f>'Part VII-Pro Forma'!K88</f>
        <v>-24427.241317583394</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13225.677268605625</v>
      </c>
      <c r="C1123" s="2122">
        <f>'Part VII-Pro Forma'!C95</f>
        <v>9377.5173486692802</v>
      </c>
      <c r="D1123" s="2122">
        <f>'Part VII-Pro Forma'!D95</f>
        <v>5325.4462263749374</v>
      </c>
      <c r="E1123" s="2122">
        <f>'Part VII-Pro Forma'!E95</f>
        <v>1062.7284375565832</v>
      </c>
      <c r="F1123" s="2122">
        <f>'Part VII-Pro Forma'!F95</f>
        <v>-3420.6087084383762</v>
      </c>
      <c r="G1123" s="2122">
        <f>'Part VII-Pro Forma'!G95</f>
        <v>-8130.7829487955896</v>
      </c>
      <c r="H1123" s="2122">
        <f>'Part VII-Pro Forma'!H95</f>
        <v>-13077.26513594576</v>
      </c>
      <c r="I1123" s="2122">
        <f>'Part VII-Pro Forma'!I95</f>
        <v>-18268.787562684134</v>
      </c>
      <c r="J1123" s="2122">
        <f>'Part VII-Pro Forma'!J95</f>
        <v>-23716.35255167765</v>
      </c>
      <c r="K1123" s="2122">
        <f>'Part VII-Pro Forma'!K95</f>
        <v>-29427.241317583394</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1.0432599162549554</v>
      </c>
      <c r="C1129" s="2122">
        <f>'Part VII-Pro Forma'!C101</f>
        <v>1.0331321077110593</v>
      </c>
      <c r="D1129" s="2122">
        <f>'Part VII-Pro Forma'!D101</f>
        <v>1.0231013097676249</v>
      </c>
      <c r="E1129" s="2122">
        <f>'Part VII-Pro Forma'!E101</f>
        <v>1.0131691896539643</v>
      </c>
      <c r="F1129" s="2122">
        <f>'Part VII-Pro Forma'!F101</f>
        <v>1.0033307547352186</v>
      </c>
      <c r="G1129" s="2122">
        <f>'Part VII-Pro Forma'!G101</f>
        <v>0.99358984219346302</v>
      </c>
      <c r="H1129" s="2122">
        <f>'Part VII-Pro Forma'!H101</f>
        <v>0.98394378873045274</v>
      </c>
      <c r="I1129" s="2122">
        <f>'Part VII-Pro Forma'!I101</f>
        <v>0.9743921399380705</v>
      </c>
      <c r="J1129" s="2122">
        <f>'Part VII-Pro Forma'!J101</f>
        <v>0.9649308287875108</v>
      </c>
      <c r="K1129" s="2122">
        <f>'Part VII-Pro Forma'!K101</f>
        <v>0.9555632984028567</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564818.76915510767</v>
      </c>
      <c r="C1136" s="2122">
        <f>'Part VII-Pro Forma'!C108</f>
        <v>576115.14453820966</v>
      </c>
      <c r="D1136" s="2122">
        <f>'Part VII-Pro Forma'!D108</f>
        <v>587637.44742897397</v>
      </c>
      <c r="E1136" s="2122">
        <f>'Part VII-Pro Forma'!E108</f>
        <v>599390.19637755351</v>
      </c>
      <c r="F1136" s="2122">
        <f>'Part VII-Pro Forma'!F108</f>
        <v>611378.00030510454</v>
      </c>
      <c r="G1136" s="2122"/>
      <c r="H1136" s="2122"/>
      <c r="I1136" s="2122"/>
      <c r="J1136" s="2122"/>
      <c r="K1136" s="2122"/>
      <c r="N1136" s="1910"/>
      <c r="O1136" s="1910"/>
    </row>
    <row r="1137" spans="1:19" ht="13.35" customHeight="1">
      <c r="A1137" s="1995" t="s">
        <v>994</v>
      </c>
      <c r="B1137" s="2122">
        <f>'Part VII-Pro Forma'!B109</f>
        <v>11296.375383102155</v>
      </c>
      <c r="C1137" s="2122">
        <f>'Part VII-Pro Forma'!C109</f>
        <v>11522.302890764195</v>
      </c>
      <c r="D1137" s="2122">
        <f>'Part VII-Pro Forma'!D109</f>
        <v>11752.748948579481</v>
      </c>
      <c r="E1137" s="2122">
        <f>'Part VII-Pro Forma'!E109</f>
        <v>11987.803927551071</v>
      </c>
      <c r="F1137" s="2122">
        <f>'Part VII-Pro Forma'!F109</f>
        <v>12227.560006102092</v>
      </c>
      <c r="G1137" s="2122"/>
      <c r="H1137" s="2122"/>
      <c r="I1137" s="2122"/>
      <c r="J1137" s="2122"/>
      <c r="K1137" s="2122"/>
      <c r="N1137" s="1910"/>
      <c r="O1137" s="1910"/>
    </row>
    <row r="1138" spans="1:19" ht="13.35" customHeight="1">
      <c r="A1138" s="1995" t="s">
        <v>2342</v>
      </c>
      <c r="B1138" s="2122">
        <f>'Part VII-Pro Forma'!B110</f>
        <v>-40328.060117674686</v>
      </c>
      <c r="C1138" s="2122">
        <f>'Part VII-Pro Forma'!C110</f>
        <v>-41134.621320028171</v>
      </c>
      <c r="D1138" s="2122">
        <f>'Part VII-Pro Forma'!D110</f>
        <v>-41957.31374642875</v>
      </c>
      <c r="E1138" s="2122">
        <f>'Part VII-Pro Forma'!E110</f>
        <v>-42796.460021357321</v>
      </c>
      <c r="F1138" s="2122">
        <f>'Part VII-Pro Forma'!F110</f>
        <v>-43652.38922178447</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535787.08442053513</v>
      </c>
      <c r="C1141" s="2122">
        <f>'Part VII-Pro Forma'!C113</f>
        <v>546502.82610894565</v>
      </c>
      <c r="D1141" s="2122">
        <f>'Part VII-Pro Forma'!D113</f>
        <v>557432.88263112481</v>
      </c>
      <c r="E1141" s="2122">
        <f>'Part VII-Pro Forma'!E113</f>
        <v>568581.54028374725</v>
      </c>
      <c r="F1141" s="2122">
        <f>'Part VII-Pro Forma'!F113</f>
        <v>579953.17108942219</v>
      </c>
      <c r="G1141" s="2122"/>
      <c r="H1141" s="2122"/>
      <c r="I1141" s="2122"/>
      <c r="J1141" s="2122"/>
      <c r="K1141" s="2122"/>
      <c r="N1141" s="1910"/>
      <c r="O1141" s="1910"/>
    </row>
    <row r="1142" spans="1:19" ht="13.35" customHeight="1">
      <c r="A1142" s="1995" t="s">
        <v>597</v>
      </c>
      <c r="B1142" s="2122">
        <f>'Part VII-Pro Forma'!B114</f>
        <v>-481148.95787651255</v>
      </c>
      <c r="C1142" s="2122">
        <f>'Part VII-Pro Forma'!C114</f>
        <v>-495583.42661280802</v>
      </c>
      <c r="D1142" s="2122">
        <f>'Part VII-Pro Forma'!D114</f>
        <v>-510450.92941119213</v>
      </c>
      <c r="E1142" s="2122">
        <f>'Part VII-Pro Forma'!E114</f>
        <v>-525764.4572935279</v>
      </c>
      <c r="F1142" s="2122">
        <f>'Part VII-Pro Forma'!F114</f>
        <v>-541537.39101233368</v>
      </c>
      <c r="G1142" s="2122"/>
      <c r="H1142" s="2122"/>
      <c r="I1142" s="2122"/>
      <c r="J1142" s="2122"/>
      <c r="K1142" s="2122"/>
      <c r="N1142" s="1910"/>
      <c r="O1142" s="1910"/>
    </row>
    <row r="1143" spans="1:19" ht="13.35" customHeight="1">
      <c r="A1143" s="1995" t="s">
        <v>1093</v>
      </c>
      <c r="B1143" s="2122">
        <f>'Part VII-Pro Forma'!B115</f>
        <v>-55924</v>
      </c>
      <c r="C1143" s="2122">
        <f>'Part VII-Pro Forma'!C115</f>
        <v>-57602</v>
      </c>
      <c r="D1143" s="2122">
        <f>'Part VII-Pro Forma'!D115</f>
        <v>-59330</v>
      </c>
      <c r="E1143" s="2122">
        <f>'Part VII-Pro Forma'!E115</f>
        <v>-61110</v>
      </c>
      <c r="F1143" s="2122">
        <f>'Part VII-Pro Forma'!F115</f>
        <v>-62943</v>
      </c>
      <c r="G1143" s="2122"/>
      <c r="H1143" s="2122"/>
      <c r="I1143" s="2122"/>
      <c r="J1143" s="2122"/>
      <c r="K1143" s="2122"/>
      <c r="N1143" s="1910"/>
      <c r="O1143" s="1910"/>
    </row>
    <row r="1144" spans="1:19" ht="13.35" customHeight="1">
      <c r="A1144" s="1995" t="s">
        <v>1176</v>
      </c>
      <c r="B1144" s="2122">
        <f>'Part VII-Pro Forma'!B116</f>
        <v>-29127.149654275909</v>
      </c>
      <c r="C1144" s="2122">
        <f>'Part VII-Pro Forma'!C116</f>
        <v>-30000.964143904192</v>
      </c>
      <c r="D1144" s="2122">
        <f>'Part VII-Pro Forma'!D116</f>
        <v>-30900.993068221313</v>
      </c>
      <c r="E1144" s="2122">
        <f>'Part VII-Pro Forma'!E116</f>
        <v>-31828.022860267953</v>
      </c>
      <c r="F1144" s="2122">
        <f>'Part VII-Pro Forma'!F116</f>
        <v>-32782.863546075983</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-30413.023110253325</v>
      </c>
      <c r="C1146" s="2122">
        <f>'Part VII-Pro Forma'!C118</f>
        <v>-36683.564647766558</v>
      </c>
      <c r="D1146" s="2122">
        <f>'Part VII-Pro Forma'!D118</f>
        <v>-43249.039848288638</v>
      </c>
      <c r="E1146" s="2122">
        <f>'Part VII-Pro Forma'!E118</f>
        <v>-50120.939870048605</v>
      </c>
      <c r="F1146" s="2122">
        <f>'Part VII-Pro Forma'!F118</f>
        <v>-57310.083468987475</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-35413.023110253329</v>
      </c>
      <c r="C1153" s="2122">
        <f>'Part VII-Pro Forma'!C125</f>
        <v>-41683.564647766558</v>
      </c>
      <c r="D1153" s="2122">
        <f>'Part VII-Pro Forma'!D125</f>
        <v>-48249.039848288638</v>
      </c>
      <c r="E1153" s="2122">
        <f>'Part VII-Pro Forma'!E125</f>
        <v>-55120.939870048605</v>
      </c>
      <c r="F1153" s="2122">
        <f>'Part VII-Pro Forma'!F125</f>
        <v>-62310.083468987475</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0.94628573413225725</v>
      </c>
      <c r="C1159" s="2122">
        <f>'Part VII-Pro Forma'!C131</f>
        <v>0.93709804407443764</v>
      </c>
      <c r="D1159" s="2122">
        <f>'Part VII-Pro Forma'!D131</f>
        <v>0.92800009750622903</v>
      </c>
      <c r="E1159" s="2122">
        <f>'Part VII-Pro Forma'!E131</f>
        <v>0.91899023928659607</v>
      </c>
      <c r="F1159" s="2122">
        <f>'Part VII-Pro Forma'!F131</f>
        <v>0.91006843238011514</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No Debt Service Indicated</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2020-059 Dulles Park II,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3"/>
      <c r="S1182" s="2253"/>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3"/>
      <c r="S1183" s="2253"/>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belives that the proposed project is feasible, viable and in conformance with the plan. The overall development and construction costs are considered reasonable and were evaluated by an experienced General Contractor and Engineer. The Residential Square footages as defined in the Core application and Q&amp;A which include patios and balconies available for the exclusive use of tenants are:  1BR/1BA = 757 Sq.ft.  and 2BR/2BA = 961 Sq. ft.</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f>'Part VIII-Threshold Criteria'!Q38</f>
        <v>0</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2633</v>
      </c>
      <c r="F1210" s="1945" t="s">
        <v>3337</v>
      </c>
      <c r="G1210" s="1945" t="s">
        <v>4454</v>
      </c>
      <c r="H1210" s="1945"/>
      <c r="I1210" s="1945"/>
      <c r="K1210" s="1945" t="s">
        <v>3337</v>
      </c>
      <c r="L1210" s="1945" t="s">
        <v>4453</v>
      </c>
      <c r="M1210" s="1945"/>
      <c r="N1210" s="1945"/>
      <c r="P1210" s="1849"/>
      <c r="Q1210" s="1849"/>
      <c r="R1210" s="2252"/>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172377.60000000001</v>
      </c>
      <c r="H1211" s="1908" t="str">
        <f>'Part VIII-Threshold Criteria'!H41</f>
        <v xml:space="preserve">x  units = </v>
      </c>
      <c r="I1211" s="1875" t="str">
        <f>IF(F1211="","",F1211*G1211)</f>
        <v/>
      </c>
      <c r="J1211" s="1815"/>
      <c r="K1211" s="1934" t="str">
        <f>'Part VIII-Threshold Criteria'!K41</f>
        <v/>
      </c>
      <c r="L1211" s="2126">
        <f>'Part VIII-Threshold Criteria'!L41</f>
        <v>189615.36000000002</v>
      </c>
      <c r="M1211" s="1908" t="str">
        <f>'Part VIII-Threshold Criteria'!M41</f>
        <v xml:space="preserve">x  units = </v>
      </c>
      <c r="N1211" s="1875" t="str">
        <f>IF(K1211="","",K1211*L1211)</f>
        <v/>
      </c>
      <c r="O1211" s="1939"/>
      <c r="P1211" s="1849"/>
      <c r="Q1211" s="1849"/>
      <c r="R1211" s="2252"/>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213757.4</v>
      </c>
      <c r="H1212" s="1908" t="str">
        <f>'Part VIII-Threshold Criteria'!H42</f>
        <v xml:space="preserve">x  units = </v>
      </c>
      <c r="I1212" s="1875" t="str">
        <f>IF(F1212="","",F1212*G1212)</f>
        <v/>
      </c>
      <c r="J1212" s="1815"/>
      <c r="K1212" s="1934" t="str">
        <f>'Part VIII-Threshold Criteria'!K42</f>
        <v/>
      </c>
      <c r="L1212" s="2126">
        <f>'Part VIII-Threshold Criteria'!L42</f>
        <v>235133.14</v>
      </c>
      <c r="M1212" s="1908" t="str">
        <f>'Part VIII-Threshold Criteria'!M42</f>
        <v xml:space="preserve">x  units = </v>
      </c>
      <c r="N1212" s="1875" t="str">
        <f>IF(K1212="","",K1212*L1212)</f>
        <v/>
      </c>
      <c r="O1212" s="1939"/>
      <c r="P1212" s="2103" t="str">
        <f>'Part VIII-Threshold Criteria'!P42</f>
        <v>Macon</v>
      </c>
      <c r="Q1212" s="2103"/>
      <c r="R1212" s="2252"/>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255794.49999999997</v>
      </c>
      <c r="H1213" s="1908" t="str">
        <f>'Part VIII-Threshold Criteria'!H43</f>
        <v xml:space="preserve">x  units = </v>
      </c>
      <c r="I1213" s="1875" t="str">
        <f>IF(F1213="","",F1213*G1213)</f>
        <v/>
      </c>
      <c r="J1213" s="1815"/>
      <c r="K1213" s="1934" t="str">
        <f>'Part VIII-Threshold Criteria'!K43</f>
        <v/>
      </c>
      <c r="L1213" s="2126">
        <f>'Part VIII-Threshold Criteria'!L43</f>
        <v>281373.95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291740.90000000002</v>
      </c>
      <c r="H1214" s="1908" t="str">
        <f>'Part VIII-Threshold Criteria'!H44</f>
        <v xml:space="preserve">x  units = </v>
      </c>
      <c r="I1214" s="1875" t="str">
        <f>IF(F1214="","",F1214*G1214)</f>
        <v/>
      </c>
      <c r="J1214" s="1815"/>
      <c r="K1214" s="1934" t="str">
        <f>'Part VIII-Threshold Criteria'!K44</f>
        <v/>
      </c>
      <c r="L1214" s="2126">
        <f>'Part VIII-Threshold Criteria'!L44</f>
        <v>320914.99000000005</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343805</v>
      </c>
      <c r="H1215" s="1908" t="str">
        <f>'Part VIII-Threshold Criteria'!H45</f>
        <v xml:space="preserve">x  units = </v>
      </c>
      <c r="I1215" s="1875" t="str">
        <f>IF(F1215="","",F1215*G1215)</f>
        <v/>
      </c>
      <c r="J1215" s="1815"/>
      <c r="K1215" s="1934" t="str">
        <f>'Part VIII-Threshold Criteria'!K45</f>
        <v/>
      </c>
      <c r="L1215" s="2126">
        <f>'Part VIII-Threshold Criteria'!L45</f>
        <v>378185.50000000006</v>
      </c>
      <c r="M1215" s="1908" t="str">
        <f>'Part VIII-Threshold Criteria'!M45</f>
        <v xml:space="preserve">x  units = </v>
      </c>
      <c r="N1215" s="1875" t="str">
        <f>IF(K1215="","",K1215*L1215)</f>
        <v/>
      </c>
      <c r="O1215" s="1939"/>
      <c r="P1215" s="2127">
        <f>'Part IV-A-Uses of Funds'!$G$132</f>
        <v>10740700</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2"/>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148159.19999999998</v>
      </c>
      <c r="H1218" s="1908" t="str">
        <f>'Part VIII-Threshold Criteria'!H48</f>
        <v xml:space="preserve">x  units = </v>
      </c>
      <c r="I1218" s="1875" t="str">
        <f>IF(F1218="","",F1218*G1218)</f>
        <v/>
      </c>
      <c r="J1218" s="1815"/>
      <c r="K1218" s="1934" t="s">
        <v>4485</v>
      </c>
      <c r="L1218" s="2126">
        <v>159979.19999999998</v>
      </c>
      <c r="M1218" s="1908" t="s">
        <v>6814</v>
      </c>
      <c r="N1218" s="1875" t="str">
        <f>IF(K1218="","",K1218*L1218)</f>
        <v/>
      </c>
      <c r="P1218" s="2127">
        <f>'Part VIII-Threshold Criteria'!P48</f>
        <v>10235437</v>
      </c>
      <c r="Q1218" s="2127"/>
      <c r="AC1218" s="450"/>
      <c r="AD1218" s="450"/>
      <c r="AE1218" s="450"/>
      <c r="AF1218" s="450"/>
    </row>
    <row r="1219" spans="1:32" ht="10.5" customHeight="1">
      <c r="A1219" s="1956"/>
      <c r="B1219" s="1956"/>
      <c r="C1219" s="1956"/>
      <c r="D1219" s="1933" t="s">
        <v>2376</v>
      </c>
      <c r="E1219" s="1229">
        <v>1</v>
      </c>
      <c r="F1219" s="1934">
        <f>'Part VIII-Threshold Criteria'!F49</f>
        <v>14</v>
      </c>
      <c r="G1219" s="2126">
        <f>'Part VIII-Threshold Criteria'!G49</f>
        <v>185459.34999999998</v>
      </c>
      <c r="H1219" s="1908" t="str">
        <f>'Part VIII-Threshold Criteria'!H49</f>
        <v xml:space="preserve">x 14 units = </v>
      </c>
      <c r="I1219" s="1875">
        <f>IF(F1219="","",F1219*G1219)</f>
        <v>2596430.8999999994</v>
      </c>
      <c r="J1219" s="1815"/>
      <c r="K1219" s="1934" t="s">
        <v>4485</v>
      </c>
      <c r="L1219" s="2126">
        <v>198564.74999999997</v>
      </c>
      <c r="M1219" s="1908" t="s">
        <v>6814</v>
      </c>
      <c r="N1219" s="1875" t="str">
        <f>IF(K1219="","",K1219*L1219)</f>
        <v/>
      </c>
      <c r="P1219" s="1822" t="s">
        <v>3774</v>
      </c>
      <c r="Q1219" s="1822"/>
      <c r="AC1219" s="450"/>
      <c r="AD1219" s="450"/>
      <c r="AE1219" s="450"/>
      <c r="AF1219" s="450"/>
    </row>
    <row r="1220" spans="1:32" ht="10.5" customHeight="1">
      <c r="A1220" s="1956"/>
      <c r="B1220" s="1956"/>
      <c r="C1220" s="1956"/>
      <c r="D1220" s="1933" t="s">
        <v>2377</v>
      </c>
      <c r="E1220" s="1229">
        <v>2</v>
      </c>
      <c r="F1220" s="1934">
        <f>'Part VIII-Threshold Criteria'!F50</f>
        <v>34</v>
      </c>
      <c r="G1220" s="2126">
        <f>'Part VIII-Threshold Criteria'!G50</f>
        <v>224804.3</v>
      </c>
      <c r="H1220" s="1908" t="str">
        <f>'Part VIII-Threshold Criteria'!H50</f>
        <v xml:space="preserve">x 34 units = </v>
      </c>
      <c r="I1220" s="1875">
        <f>IF(F1220="","",F1220*G1220)</f>
        <v>7643346.1999999993</v>
      </c>
      <c r="J1220" s="1815"/>
      <c r="K1220" s="1934" t="s">
        <v>4485</v>
      </c>
      <c r="L1220" s="2126">
        <v>237737.19999999998</v>
      </c>
      <c r="M1220" s="1908" t="s">
        <v>6814</v>
      </c>
      <c r="N1220" s="1875" t="str">
        <f>IF(K1220="","",K1220*L1220)</f>
        <v/>
      </c>
      <c r="O1220" s="1896"/>
      <c r="P1220" s="2132"/>
      <c r="Q1220" s="2132"/>
      <c r="R1220" s="2252"/>
      <c r="S1220" s="1952" t="s">
        <v>6928</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262540.30000000005</v>
      </c>
      <c r="H1221" s="1908" t="str">
        <f>'Part VIII-Threshold Criteria'!H51</f>
        <v xml:space="preserve">x  units = </v>
      </c>
      <c r="I1221" s="1875" t="str">
        <f>IF(F1221="","",F1221*G1221)</f>
        <v/>
      </c>
      <c r="J1221" s="1815"/>
      <c r="K1221" s="1934" t="s">
        <v>4485</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311483.7</v>
      </c>
      <c r="H1222" s="1908" t="str">
        <f>'Part VIII-Threshold Criteria'!H52</f>
        <v xml:space="preserve">x  units = </v>
      </c>
      <c r="I1222" s="1875" t="str">
        <f>IF(F1222="","",F1222*G1222)</f>
        <v/>
      </c>
      <c r="J1222" s="1815"/>
      <c r="K1222" s="1934" t="s">
        <v>4485</v>
      </c>
      <c r="L1222" s="2126">
        <v>319916.30000000005</v>
      </c>
      <c r="M1222" s="1908" t="s">
        <v>6814</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3261</v>
      </c>
      <c r="E1223" s="1910"/>
      <c r="F1223" s="2129">
        <f>SUM(F1218:F1222)</f>
        <v>48</v>
      </c>
      <c r="G1223" s="2130"/>
      <c r="H1223" s="1938"/>
      <c r="I1223" s="2131">
        <f>SUM(I1218:I1222)</f>
        <v>10239777.099999998</v>
      </c>
      <c r="J1223" s="1910"/>
      <c r="K1223" s="2129">
        <f>SUM(K1218:K1222)</f>
        <v>0</v>
      </c>
      <c r="L1223" s="1910"/>
      <c r="M1223" s="1938"/>
      <c r="N1223" s="2131">
        <f>SUM(N1218:N1222)</f>
        <v>0</v>
      </c>
      <c r="O1223" s="1896"/>
      <c r="P1223" s="1898" t="s">
        <v>3140</v>
      </c>
      <c r="Q1223" s="1898" t="s">
        <v>251</v>
      </c>
      <c r="R1223" s="2252"/>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2"/>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130016.4</v>
      </c>
      <c r="H1225" s="1908" t="str">
        <f>'Part VIII-Threshold Criteria'!H55</f>
        <v xml:space="preserve">x  units = </v>
      </c>
      <c r="I1225" s="1875" t="str">
        <f>IF(F1225="","",F1225*G1225)</f>
        <v/>
      </c>
      <c r="J1225" s="1815"/>
      <c r="K1225" s="1934" t="str">
        <f>'Part VIII-Threshold Criteria'!K55</f>
        <v/>
      </c>
      <c r="L1225" s="2126">
        <f>'Part VIII-Threshold Criteria'!L55</f>
        <v>143018.04</v>
      </c>
      <c r="M1225" s="1908" t="str">
        <f>'Part VIII-Threshold Criteria'!M55</f>
        <v xml:space="preserve">x  units = </v>
      </c>
      <c r="N1225" s="1875" t="str">
        <f>IF(K1225="","",K1225*L1225)</f>
        <v/>
      </c>
      <c r="O1225" s="1896"/>
      <c r="P1225" s="1916">
        <f>'Part VIII-Threshold Criteria'!P55</f>
        <v>0</v>
      </c>
      <c r="Q1225" s="1916">
        <f>'Part VIII-Threshold Criteria'!Q55</f>
        <v>0</v>
      </c>
      <c r="R1225" s="2252"/>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170090.75</v>
      </c>
      <c r="H1226" s="1908" t="str">
        <f>'Part VIII-Threshold Criteria'!H56</f>
        <v xml:space="preserve">x  units = </v>
      </c>
      <c r="I1226" s="1875" t="str">
        <f>IF(F1226="","",F1226*G1226)</f>
        <v/>
      </c>
      <c r="J1226" s="1815"/>
      <c r="K1226" s="1934" t="str">
        <f>'Part VIII-Threshold Criteria'!K56</f>
        <v/>
      </c>
      <c r="L1226" s="2126">
        <f>'Part VIII-Threshold Criteria'!L56</f>
        <v>187099.82500000001</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215255.84999999998</v>
      </c>
      <c r="H1227" s="1908" t="str">
        <f>'Part VIII-Threshold Criteria'!H57</f>
        <v xml:space="preserve">x  units = </v>
      </c>
      <c r="I1227" s="1875" t="str">
        <f>IF(F1227="","",F1227*G1227)</f>
        <v/>
      </c>
      <c r="J1227" s="1815"/>
      <c r="K1227" s="1934" t="str">
        <f>'Part VIII-Threshold Criteria'!K57</f>
        <v/>
      </c>
      <c r="L1227" s="2126">
        <f>'Part VIII-Threshold Criteria'!L57</f>
        <v>236781.435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271257.80000000005</v>
      </c>
      <c r="H1228" s="1908" t="str">
        <f>'Part VIII-Threshold Criteria'!H58</f>
        <v xml:space="preserve">x  units = </v>
      </c>
      <c r="I1228" s="1875" t="str">
        <f>IF(F1228="","",F1228*G1228)</f>
        <v/>
      </c>
      <c r="J1228" s="1815"/>
      <c r="K1228" s="1934" t="str">
        <f>'Part VIII-Threshold Criteria'!K58</f>
        <v/>
      </c>
      <c r="L1228" s="2126">
        <f>'Part VIII-Threshold Criteria'!L58</f>
        <v>298383.58000000007</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336185.30000000005</v>
      </c>
      <c r="H1229" s="1908" t="str">
        <f>'Part VIII-Threshold Criteria'!H59</f>
        <v xml:space="preserve">x  units = </v>
      </c>
      <c r="I1229" s="1875" t="str">
        <f>IF(F1229="","",F1229*G1229)</f>
        <v/>
      </c>
      <c r="J1229" s="1815"/>
      <c r="K1229" s="1934" t="str">
        <f>'Part VIII-Threshold Criteria'!K59</f>
        <v/>
      </c>
      <c r="L1229" s="2126">
        <f>'Part VIII-Threshold Criteria'!L59</f>
        <v>369803.83000000007</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2"/>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134386.79999999999</v>
      </c>
      <c r="H1232" s="1908" t="str">
        <f>'Part VIII-Threshold Criteria'!H62</f>
        <v xml:space="preserve">x  units = </v>
      </c>
      <c r="I1232" s="1875" t="str">
        <f>IF(F1232="","",F1232*G1232)</f>
        <v/>
      </c>
      <c r="J1232" s="1815"/>
      <c r="K1232" s="1934" t="str">
        <f>'Part VIII-Threshold Criteria'!K62</f>
        <v/>
      </c>
      <c r="L1232" s="2126">
        <f>'Part VIII-Threshold Criteria'!L62</f>
        <v>147825.48000000001</v>
      </c>
      <c r="M1232" s="1908" t="str">
        <f>'Part VIII-Threshold Criteria'!M62</f>
        <v xml:space="preserve">x  units = </v>
      </c>
      <c r="N1232" s="1875" t="str">
        <f>IF(K1232="","",K1232*L1232)</f>
        <v/>
      </c>
      <c r="O1232" s="1896"/>
      <c r="R1232" s="2252"/>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180301.59999999998</v>
      </c>
      <c r="H1233" s="1908" t="str">
        <f>'Part VIII-Threshold Criteria'!H63</f>
        <v xml:space="preserve">x  units = </v>
      </c>
      <c r="I1233" s="1875" t="str">
        <f>IF(F1233="","",F1233*G1233)</f>
        <v/>
      </c>
      <c r="J1233" s="1815"/>
      <c r="K1233" s="1934" t="str">
        <f>'Part VIII-Threshold Criteria'!K63</f>
        <v/>
      </c>
      <c r="L1233" s="2126">
        <f>'Part VIII-Threshold Criteria'!L63</f>
        <v>198331.75999999998</v>
      </c>
      <c r="M1233" s="1908" t="str">
        <f>'Part VIII-Threshold Criteria'!M63</f>
        <v xml:space="preserve">x  units = </v>
      </c>
      <c r="N1233" s="1875" t="str">
        <f>IF(K1233="","",K1233*L1233)</f>
        <v/>
      </c>
      <c r="O1233" s="1896"/>
      <c r="P1233" s="2133">
        <f>'Part VIII-Threshold Criteria'!P63</f>
        <v>10239777.099999998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231815.84999999998</v>
      </c>
      <c r="H1234" s="1908" t="str">
        <f>'Part VIII-Threshold Criteria'!H64</f>
        <v xml:space="preserve">x  units = </v>
      </c>
      <c r="I1234" s="1875" t="str">
        <f>IF(F1234="","",F1234*G1234)</f>
        <v/>
      </c>
      <c r="J1234" s="1815"/>
      <c r="K1234" s="1934" t="str">
        <f>'Part VIII-Threshold Criteria'!K64</f>
        <v/>
      </c>
      <c r="L1234" s="2126">
        <f>'Part VIII-Threshold Criteria'!L64</f>
        <v>254997.435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295650.30000000005</v>
      </c>
      <c r="H1235" s="1908" t="str">
        <f>'Part VIII-Threshold Criteria'!H65</f>
        <v xml:space="preserve">x  units = </v>
      </c>
      <c r="I1235" s="1875" t="str">
        <f>IF(F1235="","",F1235*G1235)</f>
        <v/>
      </c>
      <c r="J1235" s="1815"/>
      <c r="K1235" s="1934" t="str">
        <f>'Part VIII-Threshold Criteria'!K65</f>
        <v/>
      </c>
      <c r="L1235" s="2126">
        <f>'Part VIII-Threshold Criteria'!L65</f>
        <v>325215.33000000007</v>
      </c>
      <c r="M1235" s="1908" t="str">
        <f>'Part VIII-Threshold Criteria'!M65</f>
        <v xml:space="preserve">x  units = </v>
      </c>
      <c r="N1235" s="1875" t="str">
        <f>IF(K1235="","",K1235*L1235)</f>
        <v/>
      </c>
      <c r="P1235" s="1986" t="s">
        <v>6811</v>
      </c>
      <c r="Q1235" s="1986"/>
      <c r="R1235" s="2252"/>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369562.60000000003</v>
      </c>
      <c r="H1236" s="1908" t="str">
        <f>'Part VIII-Threshold Criteria'!H66</f>
        <v xml:space="preserve">x  units = </v>
      </c>
      <c r="I1236" s="1875" t="str">
        <f>IF(F1236="","",F1236*G1236)</f>
        <v/>
      </c>
      <c r="J1236" s="1815"/>
      <c r="K1236" s="1934" t="str">
        <f>'Part VIII-Threshold Criteria'!K66</f>
        <v/>
      </c>
      <c r="L1236" s="2126">
        <f>'Part VIII-Threshold Criteria'!L66</f>
        <v>406518.86000000004</v>
      </c>
      <c r="M1236" s="1908" t="str">
        <f>'Part VIII-Threshold Criteria'!M66</f>
        <v xml:space="preserve">x  units = </v>
      </c>
      <c r="N1236" s="1875" t="str">
        <f>IF(K1236="","",K1236*L1236)</f>
        <v/>
      </c>
      <c r="O1236" s="1896"/>
      <c r="P1236" s="1986"/>
      <c r="Q1236" s="1986"/>
      <c r="R1236" s="2252"/>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2"/>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2"/>
      <c r="S1238" s="2252"/>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48</v>
      </c>
      <c r="G1239" s="1849"/>
      <c r="H1239" s="1858">
        <f>I1216+I1223+I1230+I1237</f>
        <v>10239777.099999998</v>
      </c>
      <c r="I1239" s="1858"/>
      <c r="J1239" s="1858"/>
      <c r="K1239" s="2134">
        <f>K1216+K1223+K1230+K1237</f>
        <v>0</v>
      </c>
      <c r="L1239" s="2135"/>
      <c r="M1239" s="1858">
        <f>N1216+N1223+N1230+N1237</f>
        <v>0</v>
      </c>
      <c r="N1239" s="1858"/>
      <c r="O1239" s="1858"/>
      <c r="P1239" s="1986"/>
      <c r="Q1239" s="1986"/>
      <c r="R1239" s="2252"/>
      <c r="S1239" s="2252"/>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total development cost for the project is below the cost limits for the Macon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HFOP</v>
      </c>
      <c r="K1243" s="449"/>
      <c r="L1243" s="449"/>
      <c r="O1243" s="1942" t="s">
        <v>1820</v>
      </c>
      <c r="P1243" s="1897"/>
      <c r="Q1243" s="1897"/>
    </row>
    <row r="1244" spans="1:32" ht="10.5" customHeight="1">
      <c r="B1244" s="1908" t="s">
        <v>3566</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HFOP 55+ tenancy for the proposed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4251</v>
      </c>
      <c r="M1247" s="1229" t="s">
        <v>4252</v>
      </c>
      <c r="O1247" s="1942" t="s">
        <v>1820</v>
      </c>
      <c r="P1247" s="1897"/>
      <c r="Q1247" s="1897"/>
    </row>
    <row r="1248" spans="1:32" ht="1.5" customHeight="1"/>
    <row r="1249" spans="1:31" ht="12" customHeight="1">
      <c r="A1249" s="1942" t="s">
        <v>1935</v>
      </c>
      <c r="B1249" s="1936" t="s">
        <v>4244</v>
      </c>
      <c r="C1249" s="1936"/>
      <c r="D1249" s="1936"/>
      <c r="E1249" s="1936"/>
      <c r="F1249" s="1936"/>
      <c r="G1249" s="1936"/>
      <c r="H1249" s="1936"/>
      <c r="I1249" s="1936"/>
      <c r="J1249" s="1936"/>
      <c r="L1249" s="1938" t="s">
        <v>2807</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1937</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4701</v>
      </c>
      <c r="O1252" s="1936"/>
      <c r="P1252" s="1229">
        <f>'Part VIII-Threshold Criteria'!P82</f>
        <v>0</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2304</v>
      </c>
      <c r="C1255" s="1939" t="s">
        <v>4258</v>
      </c>
      <c r="D1255" s="449"/>
      <c r="E1255" s="449"/>
      <c r="F1255" s="449"/>
      <c r="G1255" s="449"/>
      <c r="H1255" s="449"/>
      <c r="I1255" s="1815"/>
      <c r="J1255" s="1815"/>
      <c r="N1255" s="1936" t="s">
        <v>4704</v>
      </c>
      <c r="O1255" s="1936"/>
      <c r="P1255" s="1229">
        <f>'Part VIII-Threshold Criteria'!P85</f>
        <v>0</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4310</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4556</v>
      </c>
      <c r="D1265" s="449"/>
      <c r="E1265" s="449"/>
      <c r="F1265" s="449"/>
      <c r="L1265" s="1940" t="s">
        <v>1937</v>
      </c>
      <c r="M1265" s="449" t="str">
        <f>'Part VIII-Threshold Criteria'!M95</f>
        <v>Three to Four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0.99199999999999999</v>
      </c>
      <c r="N1266" s="2136"/>
      <c r="O1266" s="2136"/>
      <c r="P1266" s="2225"/>
      <c r="Q1266" s="1229"/>
    </row>
    <row r="1267" spans="1:31" ht="10.5" customHeight="1">
      <c r="A1267" s="1940" t="s">
        <v>2064</v>
      </c>
      <c r="B1267" s="449" t="s">
        <v>3666</v>
      </c>
      <c r="D1267" s="449"/>
      <c r="E1267" s="449"/>
      <c r="F1267" s="449"/>
      <c r="L1267" s="1940" t="s">
        <v>3667</v>
      </c>
      <c r="M1267" s="2226">
        <f>'Part VIII-Threshold Criteria'!M97</f>
        <v>0.14299999999999999</v>
      </c>
      <c r="N1267" s="2136"/>
      <c r="O1267" s="1941" t="s">
        <v>3806</v>
      </c>
      <c r="P1267" s="1985" t="str">
        <f>'Part VIII-Threshold Criteria'!P97</f>
        <v>N/A</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2003-049</v>
      </c>
      <c r="E1270" s="449" t="str">
        <f>'Part VIII-Threshold Criteria'!E100</f>
        <v>Dulles Park</v>
      </c>
      <c r="F1270" s="449"/>
      <c r="G1270" s="449"/>
      <c r="H1270" s="1940" t="s">
        <v>1696</v>
      </c>
      <c r="I1270" s="1229" t="str">
        <f>'Part VIII-Threshold Criteria'!I100</f>
        <v>2004-031</v>
      </c>
      <c r="J1270" s="449" t="str">
        <f>'Part VIII-Threshold Criteria'!J100</f>
        <v>Pecan Hills of Milledgeville</v>
      </c>
      <c r="K1270" s="449"/>
      <c r="L1270" s="449"/>
      <c r="M1270" s="1940" t="s">
        <v>1516</v>
      </c>
      <c r="N1270" s="1229" t="str">
        <f>'Part VIII-Threshold Criteria'!N100</f>
        <v>2008-064</v>
      </c>
      <c r="O1270" s="449" t="str">
        <f>'Part VIII-Threshold Criteria'!O100</f>
        <v>Prairie Summit</v>
      </c>
      <c r="P1270" s="449"/>
      <c r="Q1270" s="449"/>
    </row>
    <row r="1271" spans="1:31" ht="10.5" customHeight="1">
      <c r="C1271" s="1940" t="s">
        <v>1695</v>
      </c>
      <c r="D1271" s="1229" t="str">
        <f>'Part VIII-Threshold Criteria'!D101</f>
        <v>2014-018</v>
      </c>
      <c r="E1271" s="449" t="str">
        <f>'Part VIII-Threshold Criteria'!E101</f>
        <v>Water Tower Park Senior Village</v>
      </c>
      <c r="F1271" s="449"/>
      <c r="G1271" s="449"/>
      <c r="H1271" s="1940" t="s">
        <v>2304</v>
      </c>
      <c r="I1271" s="1229" t="str">
        <f>'Part VIII-Threshold Criteria'!I101</f>
        <v>2008-049</v>
      </c>
      <c r="J1271" s="449" t="str">
        <f>'Part VIII-Threshold Criteria'!J101</f>
        <v>Bladwin Park</v>
      </c>
      <c r="K1271" s="449"/>
      <c r="L1271" s="449"/>
      <c r="M1271" s="1940" t="s">
        <v>1517</v>
      </c>
      <c r="N1271" s="1229" t="str">
        <f>'Part VIII-Threshold Criteria'!N101</f>
        <v>2012-220</v>
      </c>
      <c r="O1271" s="449" t="str">
        <f>'Part VIII-Threshold Criteria'!O101</f>
        <v>Heritage Vista</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35" customHeight="1">
      <c r="A1273" s="1942" t="s">
        <v>1899</v>
      </c>
      <c r="B1273" s="1936" t="s">
        <v>6870</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LIHTC comparables are experiencing a weighted average vacancy rate of 99.4% and three of the LIHTC senior properties (Baldwin Park, Water Tower Senior Village and Dulles Park) reporting vacancy at 0%. Futhermore, all three of those properties maintain waiting listsup to 75+ households. Please see Tab 5 of the Application for the Market Study.
Additional DCA funded projects in the PMA: 2001-009 Waterford Place Apartments, 1995-063 Edgewood Park, 2009-007 First Neighborhood, 2014-038 Hunt School and 2002-301 Grove Park Village.</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4706</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2304</v>
      </c>
      <c r="C1285" s="1908" t="s">
        <v>4260</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4558</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There is not an identity of interest between the buyer and seller. An appraisal is not included in the application.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57</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0.1198</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Yes</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4406</v>
      </c>
      <c r="I1320" s="1945" t="s">
        <v>2568</v>
      </c>
      <c r="L1320" s="1229" t="str">
        <f>'Part VIII-Threshold Criteria'!L150</f>
        <v>No</v>
      </c>
      <c r="M1320" s="1229"/>
      <c r="N1320" s="1940" t="s">
        <v>4410</v>
      </c>
      <c r="O1320" s="449" t="s">
        <v>1519</v>
      </c>
      <c r="P1320" s="1229" t="str">
        <f>'Part VIII-Threshold Criteria'!P150</f>
        <v>Yes</v>
      </c>
      <c r="Q1320" s="1229"/>
    </row>
    <row r="1321" spans="1:17" ht="12" customHeight="1">
      <c r="A1321" s="449"/>
      <c r="B1321" s="1908" t="s">
        <v>1695</v>
      </c>
      <c r="C1321" s="449" t="s">
        <v>2709</v>
      </c>
      <c r="E1321" s="449"/>
      <c r="F1321" s="1229" t="str">
        <f>'Part VIII-Threshold Criteria'!F151</f>
        <v>No</v>
      </c>
      <c r="G1321" s="1229"/>
      <c r="H1321" s="1940" t="s">
        <v>4407</v>
      </c>
      <c r="I1321" s="1945" t="s">
        <v>2569</v>
      </c>
      <c r="L1321" s="1229" t="str">
        <f>'Part VIII-Threshold Criteria'!L151</f>
        <v>No</v>
      </c>
      <c r="M1321" s="1229"/>
      <c r="N1321" s="1940" t="s">
        <v>4411</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Yes</v>
      </c>
      <c r="G1322" s="1229"/>
      <c r="H1322" s="1940" t="s">
        <v>4408</v>
      </c>
      <c r="I1322" s="1945" t="s">
        <v>3631</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4409</v>
      </c>
      <c r="I1323" s="449" t="s">
        <v>2708</v>
      </c>
      <c r="L1323" s="1229" t="str">
        <f>'Part VIII-Threshold Criteria'!L153</f>
        <v>Yes</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 xml:space="preserve">There will be a crossing over wetlands but the disturbance is not expected to exceed 0.1 acres              
</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4392</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6929</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Project did not receive HOME Funds.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6871</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Dulles Park II,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08 for site control through December 31,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3557</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4261</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4353</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 xml:space="preserve">The site is legally accessible by paved roads and documentation reflecting this is included in the application.  There is both an entry through Dulles Park that is documented via an easement in tab 9 and an alternate access directly to Old Clinton Rd.                
</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evidence the project is in compliance with zoning regulations.</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3566</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Operating Utiities Confirmed by Georgia Power</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Gray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Gray</v>
      </c>
      <c r="K1386" s="449"/>
      <c r="L1386" s="449"/>
      <c r="M1386" s="449"/>
      <c r="N1386" s="449"/>
      <c r="O1386" s="1942" t="s">
        <v>1695</v>
      </c>
      <c r="P1386" s="1229" t="str">
        <f>'Part VIII-Threshold Criteria'!P216</f>
        <v>Yes</v>
      </c>
      <c r="Q1386" s="1229"/>
    </row>
    <row r="1387" spans="1:31" ht="12" customHeight="1">
      <c r="A1387" s="1942" t="s">
        <v>1937</v>
      </c>
      <c r="B1387" s="449" t="s">
        <v>3673</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Availability and Capacity confirmed by the City of Gray.</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6974</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4248</v>
      </c>
      <c r="E1400" s="1908"/>
      <c r="F1400" s="1908"/>
      <c r="G1400" s="1908"/>
      <c r="H1400" s="1908"/>
      <c r="I1400" s="1815"/>
      <c r="J1400" s="1940" t="s">
        <v>4247</v>
      </c>
      <c r="K1400" s="449" t="str">
        <f>'Part VIII-Threshold Criteria'!K230</f>
        <v>W&amp;D installed in each unit</v>
      </c>
      <c r="L1400" s="449"/>
      <c r="M1400" s="449"/>
      <c r="N1400" s="449"/>
      <c r="Q1400" s="1229"/>
      <c r="R1400" s="1815"/>
    </row>
    <row r="1401" spans="1:18" ht="11.25" customHeight="1">
      <c r="A1401" s="1940" t="s">
        <v>1937</v>
      </c>
      <c r="B1401" s="449" t="s">
        <v>6931</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3451</v>
      </c>
      <c r="O1402" s="2139">
        <f>'Part VI-Revenues &amp; Expenses'!$P$67</f>
        <v>48</v>
      </c>
      <c r="P1402" s="1945" t="s">
        <v>4403</v>
      </c>
      <c r="Q1402" s="1945"/>
    </row>
    <row r="1403" spans="1:18" ht="11.1" customHeight="1">
      <c r="A1403" s="1940"/>
      <c r="B1403" s="1908" t="s">
        <v>1694</v>
      </c>
      <c r="C1403" s="449" t="s">
        <v>4404</v>
      </c>
      <c r="D1403" s="449"/>
      <c r="E1403" s="449"/>
      <c r="F1403" s="449"/>
      <c r="H1403" s="1940" t="s">
        <v>4405</v>
      </c>
      <c r="I1403" s="449" t="s">
        <v>6827</v>
      </c>
      <c r="M1403" s="1815"/>
      <c r="N1403" s="1815"/>
      <c r="O1403" s="1816"/>
      <c r="P1403" s="1898" t="s">
        <v>755</v>
      </c>
      <c r="Q1403" s="1898" t="s">
        <v>4402</v>
      </c>
    </row>
    <row r="1404" spans="1:18" s="1951" customFormat="1" ht="11.4" customHeight="1">
      <c r="A1404" s="1229"/>
      <c r="B1404" s="1940" t="s">
        <v>2065</v>
      </c>
      <c r="C1404" s="1936" t="str">
        <f>'Part VIII-Threshold Criteria'!C234</f>
        <v xml:space="preserve">Equipped Computer Center and WiFi </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Wellness Center</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Fenced community gardens</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f>'Part VIII-Threshold Criteria'!P245</f>
        <v>0</v>
      </c>
      <c r="Q1415" s="1229"/>
    </row>
    <row r="1416" spans="1:31" ht="11.25" customHeight="1">
      <c r="A1416" s="1940" t="s">
        <v>2064</v>
      </c>
      <c r="B1416" s="449" t="s">
        <v>4561</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No</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t="str">
        <f>'Part VIII-Threshold Criteria'!P248</f>
        <v>No</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Applicant agrees to provide the above required amenities in conformance with DCA Amentities Guidebook. All buildings will be single-story.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4563</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4354</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2064</v>
      </c>
      <c r="B1434" s="449" t="s">
        <v>3675</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3572</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2304</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3570</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20.100000000000001"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4748</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All site relevant site information available in tab 15.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4393</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4551</v>
      </c>
      <c r="D1461" s="1815"/>
      <c r="E1461" s="1815"/>
      <c r="O1461" s="1940" t="s">
        <v>1937</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 xml:space="preserve">Applicant Worksheet exceeds requirements for Earthcraft MF designation and applicant has attended the appropriate Earthcraft Training. Documentation is included in Tab16 of the application.      
</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6875</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3803</v>
      </c>
      <c r="J1476" s="1819"/>
      <c r="K1476" s="2228">
        <f>'Part VIII-Threshold Criteria'!K306</f>
        <v>3</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3804</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3573</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retain a DCA qualified consultant to monitor the project for accessibility compliance who will not be a member of the project team nor have an identity of interest with any members of the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6879</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 xml:space="preserve">Applicant agrees to meet all DCA requirements per the 2020 QAP and Architectural Standards                
</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1820</v>
      </c>
      <c r="P1509" s="1897"/>
      <c r="Q1509" s="1897"/>
    </row>
    <row r="1510" spans="1:31" ht="11.4" customHeight="1">
      <c r="A1510" s="1940" t="s">
        <v>1935</v>
      </c>
      <c r="B1510" s="1945" t="s">
        <v>4711</v>
      </c>
      <c r="O1510" s="1942" t="s">
        <v>1935</v>
      </c>
      <c r="P1510" s="1229" t="str">
        <f>'Part VIII-Threshold Criteria'!P340</f>
        <v>Yes</v>
      </c>
      <c r="Q1510" s="1229"/>
    </row>
    <row r="1511" spans="1:31" ht="11.4" customHeight="1">
      <c r="A1511" s="1942" t="s">
        <v>1937</v>
      </c>
      <c r="B1511" s="1945" t="s">
        <v>3775</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3628</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Probationary Certifying GP/Dev</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project team has not changed since application. The qualification determination letter is included in Tab 19.</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3767</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3768</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3760</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3763</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3764</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4695</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2304</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3692</v>
      </c>
      <c r="E1553" s="449"/>
      <c r="F1553" s="449"/>
      <c r="G1553" s="449"/>
      <c r="H1553" s="449"/>
      <c r="M1553" s="449"/>
      <c r="N1553" s="449"/>
      <c r="O1553" s="1940" t="s">
        <v>2304</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4534</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4715</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3645</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35" customHeight="1">
      <c r="A1603" s="1942" t="s">
        <v>1937</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N/A, site is vacant.</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2719</v>
      </c>
      <c r="C1611" s="1815"/>
      <c r="D1611" s="449"/>
      <c r="E1611" s="1939"/>
      <c r="F1611" s="1939"/>
      <c r="G1611" s="1939"/>
      <c r="H1611" s="1939"/>
      <c r="O1611" s="1942" t="s">
        <v>1820</v>
      </c>
      <c r="P1611" s="1897"/>
      <c r="Q1611" s="1897"/>
    </row>
    <row r="1612" spans="1:31" ht="14.1" customHeight="1">
      <c r="B1612" s="449" t="s">
        <v>4460</v>
      </c>
      <c r="C1612" s="1815"/>
      <c r="D1612" s="449"/>
      <c r="E1612" s="1939"/>
      <c r="F1612" s="1939"/>
      <c r="G1612" s="1939"/>
      <c r="H1612" s="1939"/>
    </row>
    <row r="1613" spans="1:31" s="1910" customFormat="1" ht="21.75" customHeight="1">
      <c r="A1613" s="1942" t="s">
        <v>1935</v>
      </c>
      <c r="B1613" s="1936" t="s">
        <v>3694</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3693</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4419</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4501</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will prepare and submit an AFFH Marketing plan if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2638</v>
      </c>
      <c r="D1628" s="1945"/>
      <c r="E1628" s="449"/>
      <c r="J1628" s="1908"/>
      <c r="M1628" s="1896"/>
      <c r="N1628" s="1896"/>
      <c r="O1628" s="1942" t="s">
        <v>1820</v>
      </c>
      <c r="P1628" s="1897"/>
      <c r="Q1628" s="1897"/>
    </row>
    <row r="1629" spans="1:31" s="1950" customFormat="1" ht="15" customHeight="1">
      <c r="A1629" s="1942" t="s">
        <v>1935</v>
      </c>
      <c r="B1629" s="1936" t="s">
        <v>4585</v>
      </c>
      <c r="C1629" s="1936"/>
      <c r="D1629" s="1936"/>
      <c r="E1629" s="1936"/>
      <c r="F1629" s="1936"/>
      <c r="G1629" s="1936"/>
      <c r="H1629" s="1936"/>
      <c r="I1629" s="1936"/>
      <c r="J1629" s="1945" t="s">
        <v>4456</v>
      </c>
      <c r="K1629" s="1945"/>
      <c r="L1629" s="1843" t="s">
        <v>4587</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4457</v>
      </c>
      <c r="M1630" s="1947"/>
      <c r="N1630" s="1926">
        <f>'Part VI-Revenues &amp; Expenses'!$P$63</f>
        <v>48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48</v>
      </c>
      <c r="P1631" s="1936"/>
      <c r="Q1631" s="1936"/>
    </row>
    <row r="1632" spans="1:31" s="1936" customFormat="1" ht="22.5" customHeight="1">
      <c r="A1632" s="1942" t="s">
        <v>1937</v>
      </c>
      <c r="B1632" s="1936" t="s">
        <v>4591</v>
      </c>
      <c r="J1632" s="449" t="s">
        <v>4586</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4360</v>
      </c>
      <c r="J1633" s="449" t="s">
        <v>4280</v>
      </c>
      <c r="K1633" s="1958">
        <f>'Part VI-Revenues &amp; Expenses'!$P$115</f>
        <v>48</v>
      </c>
      <c r="L1633" s="1908" t="s">
        <v>4279</v>
      </c>
      <c r="M1633" s="1947"/>
      <c r="N1633" s="1926">
        <f>ROUNDUP(N1631*0.1,0)</f>
        <v>5</v>
      </c>
      <c r="O1633" s="1949" t="s">
        <v>731</v>
      </c>
      <c r="P1633" s="1936" t="str">
        <f>'Part VIII-Threshold Criteria'!P463</f>
        <v>Yes</v>
      </c>
      <c r="R1633" s="1822"/>
      <c r="S1633" s="1822"/>
    </row>
    <row r="1634" spans="1:31" s="1936" customFormat="1" ht="12" customHeight="1">
      <c r="J1634" s="449" t="s">
        <v>4281</v>
      </c>
      <c r="K1634" s="2147">
        <f>IF(N1631=0,"",K1633/N1631)</f>
        <v>1</v>
      </c>
      <c r="L1634" s="1908" t="s">
        <v>4455</v>
      </c>
      <c r="M1634" s="449"/>
      <c r="N1634" s="2148">
        <f>'Part VI-Revenues &amp; Expenses'!$L$67/'Part VI-Revenues &amp; Expenses'!$P$67</f>
        <v>0.29166666666666669</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4282</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1940</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agrees to accept 811 PBRA or other DCA sponsored RA for 10% of the total restricted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 and will provide much desired housing to the City of Gray and the surrounding area.</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4696</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2020-059 Dulles Park II,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3" t="s">
        <v>1200</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6934</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The project is within two miles of numerous desirables, including but not limited to, grocery store, public school, restaurants, pharmacy, place of worship, bank and others. The project is eligible for 10 points in this scoring section and there are no undesirables.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Please see tab 28 of the application for documentation regarding Jones County Transit Services. Service is publicized to the general public, available to all residents of the proposed development and has a local route.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TMBB Consulting, Inc. will provide monthly preventive healthcare services and will act as the Health Service Coordinator for the services to ensure the services are carried out on a monthly basis and will monitor the progress of the program for reporting purposes.  In addition, TMC Management &amp; Realthy, Inc. will provide a Healthy Eating Initiative through its community garden and healthy eating education for its residents.  The cost for the Preventive Healthcare is estimated at $20,000 per year and the cost for associated with providing Healthy Eating Inititative is $3,500 per year, captured in the Revenues and Expenses tab within this core application.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1</v>
      </c>
      <c r="F1669" s="1986" t="str">
        <f>'Part IX Scoring Criteria'!F14</f>
        <v>The project falls within the school boundaries of Gray Elementary School, Gray Station Middle School and Jones County Hgh School. Gray Elementary School has an average 2017-2019 CCRPI score above the minimum and is therefore eligible for one point.</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N/A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5</v>
      </c>
      <c r="F1672" s="1986" t="str">
        <f>'Part IX Scoring Criteria'!F17</f>
        <v xml:space="preserve">The proposed development is located in an area reporting an 8.05% poverty level, which is below the 10% poverty threshold .  The immediate area reports an Upper Income designation.  Further, the applicant is claiming 10 points for desirable activites.  Finally, the site is located in a census tract that is eligible for the Opportunity360 points.  Documentation to support the points claimed in this category may be found in Tab 33 Stable Communities folder.  </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3598</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4</v>
      </c>
      <c r="F1675" s="1986" t="str">
        <f>'Part IX Scoring Criteria'!F20</f>
        <v>There has only been one 9% development awarded within the City of Gray Ploitical Jurisdiction within the last 15 years.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1</v>
      </c>
      <c r="F1676" s="1986" t="str">
        <f>'Part IX Scoring Criteria'!F21</f>
        <v xml:space="preserve">Please see Tab 40 for documentation of the GICH support letter signed by the primary contact, Donald Black, stating support for the project and that the property lies within the GICH community boundaries. Also in Tab 40, there is the local government letter agreeing to the issuance of the letter from the GICH Team.            
</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4285</v>
      </c>
      <c r="D1682" s="1897"/>
      <c r="E1682" s="1897"/>
      <c r="F1682" s="1229"/>
      <c r="M1682" s="1896"/>
      <c r="N1682" s="1940" t="s">
        <v>1935</v>
      </c>
    </row>
    <row r="1683" spans="1:20" s="1951" customFormat="1" ht="11.25" customHeight="1">
      <c r="A1683" s="1904"/>
      <c r="B1683" s="2151" t="s">
        <v>1938</v>
      </c>
      <c r="C1683" s="1897" t="s">
        <v>4288</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6828</v>
      </c>
      <c r="D1684" s="1897"/>
      <c r="E1684" s="1897"/>
      <c r="F1684" s="1229"/>
      <c r="H1684" s="1822" t="s">
        <v>4286</v>
      </c>
      <c r="J1684" s="449"/>
      <c r="M1684" s="1896"/>
      <c r="N1684" s="1949" t="s">
        <v>1940</v>
      </c>
      <c r="O1684" s="1916">
        <f>'Part IX Scoring Criteria'!O29</f>
        <v>0</v>
      </c>
      <c r="P1684" s="1916">
        <f>J1691</f>
        <v>0</v>
      </c>
    </row>
    <row r="1685" spans="1:20" s="1951" customFormat="1" ht="11.25" customHeight="1">
      <c r="A1685" s="1904"/>
      <c r="B1685" s="2151" t="s">
        <v>2467</v>
      </c>
      <c r="C1685" s="1897" t="s">
        <v>4287</v>
      </c>
      <c r="D1685" s="1897"/>
      <c r="E1685" s="1897"/>
      <c r="F1685" s="1229"/>
      <c r="H1685" s="1822" t="s">
        <v>4291</v>
      </c>
      <c r="J1685" s="449"/>
      <c r="M1685" s="1896"/>
      <c r="N1685" s="1949" t="s">
        <v>2467</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6935</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4294</v>
      </c>
      <c r="D1710" s="449"/>
      <c r="H1710" s="449" t="s">
        <v>4295</v>
      </c>
      <c r="I1710" s="1822"/>
      <c r="K1710" s="2157">
        <f>'Part IX Scoring Criteria'!K55</f>
        <v>57.916666666666664</v>
      </c>
      <c r="L1710" s="1849" t="str">
        <f>IF(AND(O1710&gt;0,O1711&gt;0), "CHOOSE EITHER A OR B, NOT BOTH!", "")</f>
        <v/>
      </c>
      <c r="M1710" s="1732">
        <v>2</v>
      </c>
      <c r="N1710" s="1960" t="s">
        <v>1938</v>
      </c>
      <c r="O1710" s="1923">
        <f>'Part IX Scoring Criteria'!O55</f>
        <v>2</v>
      </c>
      <c r="P1710" s="1923"/>
      <c r="Q1710" s="1843" t="str">
        <f>IF(OR($O1710=$M1710,$O1710=0,$O1710=""),"","*CHECK!*")</f>
        <v/>
      </c>
      <c r="R1710" s="1823" t="s">
        <v>4767</v>
      </c>
    </row>
    <row r="1711" spans="1:18" s="1947" customFormat="1" ht="13.5" customHeight="1">
      <c r="A1711" s="1940" t="s">
        <v>3237</v>
      </c>
      <c r="B1711" s="2156" t="s">
        <v>1940</v>
      </c>
      <c r="C1711" s="1959" t="s">
        <v>4296</v>
      </c>
      <c r="D1711" s="449"/>
      <c r="I1711" s="1822"/>
      <c r="K1711" s="449"/>
      <c r="L1711" s="1849"/>
      <c r="M1711" s="1732">
        <v>2</v>
      </c>
      <c r="N1711" s="1960" t="s">
        <v>1940</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6937</v>
      </c>
      <c r="E1713" s="1945"/>
      <c r="H1713" s="1822" t="s">
        <v>4297</v>
      </c>
      <c r="I1713" s="1822"/>
      <c r="J1713" s="1961" t="s">
        <v>4298</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48</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3707</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6938</v>
      </c>
      <c r="J1722" s="1956"/>
      <c r="K1722" s="1956"/>
      <c r="L1722" s="1956"/>
      <c r="M1722" s="1896">
        <v>10</v>
      </c>
      <c r="N1722" s="1960" t="s">
        <v>1935</v>
      </c>
      <c r="O1722" s="1923">
        <f>'Part IX Scoring Criteria'!O67</f>
        <v>10</v>
      </c>
      <c r="P1722" s="1923"/>
      <c r="Q1722" s="1843" t="str">
        <f>IF(OR($O1722=$M1722,$O1722=0,$O1722=""),"","*CHECK!*")</f>
        <v/>
      </c>
      <c r="R1722" s="1823" t="s">
        <v>4767</v>
      </c>
    </row>
    <row r="1723" spans="1:18" s="1947" customFormat="1" ht="12.6" customHeight="1">
      <c r="A1723" s="1904" t="s">
        <v>1937</v>
      </c>
      <c r="B1723" s="1897" t="s">
        <v>3629</v>
      </c>
      <c r="D1723" s="1962"/>
      <c r="F1723" s="1963"/>
      <c r="H1723" s="1863" t="s">
        <v>3729</v>
      </c>
      <c r="I1723" s="1956"/>
      <c r="J1723" s="1956"/>
      <c r="K1723" s="1956"/>
      <c r="L1723" s="1956"/>
      <c r="M1723" s="1229" t="s">
        <v>1212</v>
      </c>
      <c r="N1723" s="1940" t="s">
        <v>1937</v>
      </c>
      <c r="O1723" s="1923">
        <f>'Part IX Scoring Criteria'!O68</f>
        <v>0</v>
      </c>
      <c r="P1723" s="1923"/>
      <c r="R1723" s="1823" t="s">
        <v>4767</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project is within two miles of numerous desirables, including but not limited to, grocery store, public school, restaurants, pharmacy, place of worship, bank and others. The project is eligible for 10 points in this scoring section and there are no undesirables.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3708</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3535</v>
      </c>
      <c r="G1736" s="1897"/>
      <c r="H1736" s="1897"/>
      <c r="I1736" s="1897"/>
      <c r="J1736" s="1897" t="s">
        <v>3536</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3713</v>
      </c>
      <c r="D1737" s="1855"/>
      <c r="E1737" s="1849"/>
      <c r="F1737" s="1965" t="str">
        <f>'Part IX Scoring Criteria'!F82</f>
        <v xml:space="preserve">33.00714 
</v>
      </c>
      <c r="G1737" s="1965"/>
      <c r="H1737" s="1965"/>
      <c r="I1737" s="1965"/>
      <c r="J1737" s="1965">
        <f>'Part IX Scoring Criteria'!J82</f>
        <v>-83.544801000000007</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33.00714</v>
      </c>
      <c r="G1738" s="1965"/>
      <c r="H1738" s="1965"/>
      <c r="I1738" s="1965"/>
      <c r="J1738" s="1965">
        <f>'Part IX Scoring Criteria'!J83</f>
        <v>-83.544801000000007</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3560</v>
      </c>
      <c r="D1744" s="2163"/>
      <c r="F1744" s="449" t="s">
        <v>6911</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6939</v>
      </c>
      <c r="D1745" s="1936"/>
      <c r="E1745" s="1936"/>
      <c r="F1745" s="1936"/>
      <c r="G1745" s="1936"/>
      <c r="H1745" s="1936"/>
      <c r="I1745" s="1963" t="s">
        <v>6940</v>
      </c>
      <c r="J1745" s="1963"/>
      <c r="K1745" s="1963"/>
      <c r="L1745" s="1963"/>
      <c r="M1745" s="1967">
        <v>5</v>
      </c>
      <c r="N1745" s="1968" t="s">
        <v>1938</v>
      </c>
      <c r="O1745" s="2166">
        <f>'Part IX Scoring Criteria'!O90</f>
        <v>0</v>
      </c>
      <c r="P1745" s="2166"/>
      <c r="Q1745" s="1843" t="str">
        <f>IF(OR($O1745=$M1745,$O1745=0,$O1745=""),"","*CHECK!*")</f>
        <v/>
      </c>
      <c r="R1745" s="1823" t="s">
        <v>4767</v>
      </c>
    </row>
    <row r="1746" spans="1:21" s="1950" customFormat="1" ht="12" customHeight="1">
      <c r="A1746" s="1229" t="s">
        <v>1326</v>
      </c>
      <c r="B1746" s="1968" t="s">
        <v>1940</v>
      </c>
      <c r="C1746" s="1936" t="s">
        <v>6941</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4767</v>
      </c>
    </row>
    <row r="1747" spans="1:21" s="1950" customFormat="1" ht="12" customHeight="1">
      <c r="B1747" s="1968" t="s">
        <v>2467</v>
      </c>
      <c r="C1747" s="1936" t="s">
        <v>3561</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4767</v>
      </c>
    </row>
    <row r="1748" spans="1:21" s="1950" customFormat="1" ht="12" customHeight="1">
      <c r="B1748" s="1968"/>
      <c r="C1748" s="1863" t="s">
        <v>3777</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3562</v>
      </c>
      <c r="C1750" s="1772"/>
      <c r="D1750" s="1772"/>
      <c r="E1750" s="1772"/>
      <c r="F1750" s="1936" t="s">
        <v>6912</v>
      </c>
      <c r="I1750" s="1956" t="str">
        <f>'Part IX Scoring Criteria'!I95</f>
        <v xml:space="preserve">Jones County Transit  
</v>
      </c>
      <c r="J1750" s="1956"/>
      <c r="K1750" s="1956"/>
      <c r="L1750" s="2230" t="str">
        <f>'Part IX Scoring Criteria'!L95</f>
        <v xml:space="preserve">(478) 986-6432
</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 xml:space="preserve">jonestransit@mgcaa.org   
</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1938</v>
      </c>
      <c r="C1753" s="449" t="s">
        <v>6942</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4767</v>
      </c>
    </row>
    <row r="1754" spans="1:21" s="1951" customFormat="1" ht="12" customHeight="1">
      <c r="A1754" s="1229" t="s">
        <v>1326</v>
      </c>
      <c r="B1754" s="2167" t="s">
        <v>1940</v>
      </c>
      <c r="C1754" s="449" t="s">
        <v>6943</v>
      </c>
      <c r="D1754" s="449"/>
      <c r="E1754" s="449"/>
      <c r="F1754" s="449"/>
      <c r="G1754" s="449"/>
      <c r="H1754" s="449"/>
      <c r="I1754" s="1956" t="str">
        <f>'Part IX Scoring Criteria'!I99</f>
        <v xml:space="preserve">http://www.jonescountyga.org/county-directory/transit/   
</v>
      </c>
      <c r="J1754" s="1956"/>
      <c r="K1754" s="1956"/>
      <c r="L1754" s="1956"/>
      <c r="M1754" s="1896">
        <v>2</v>
      </c>
      <c r="N1754" s="1969" t="s">
        <v>1940</v>
      </c>
      <c r="O1754" s="1923">
        <f>'Part IX Scoring Criteria'!O99</f>
        <v>0</v>
      </c>
      <c r="P1754" s="1923"/>
      <c r="Q1754" s="1993" t="str">
        <f>IF(OR($O1754=$M1754,$O1754=0,$O1754=""),"","*CHECK!*")</f>
        <v/>
      </c>
      <c r="R1754" s="1823" t="s">
        <v>4767</v>
      </c>
    </row>
    <row r="1755" spans="1:21" s="1951" customFormat="1" ht="14.25" customHeight="1">
      <c r="A1755" s="1229" t="s">
        <v>1326</v>
      </c>
      <c r="B1755" s="2167" t="s">
        <v>2467</v>
      </c>
      <c r="C1755" s="449" t="s">
        <v>6944</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 xml:space="preserve">http://www.jonescountyga.org/county-directory/transit/   
</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Please see tab 28 of the application for documentation regarding Jones County Transit Services. Service is publicized to the general public, available to all residents of the proposed development and has a local route.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3728</v>
      </c>
      <c r="D1769" s="1962"/>
      <c r="E1769" s="449" t="s">
        <v>3783</v>
      </c>
      <c r="G1769" s="1908"/>
      <c r="I1769" s="1940" t="s">
        <v>3777</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4728</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3730</v>
      </c>
      <c r="L1774" s="1732" t="str">
        <f>IF(OR($O1774=$M1774,$O1774=0,$O1774=""),"","* * Check Score! * *")</f>
        <v/>
      </c>
      <c r="M1774" s="1732">
        <v>3</v>
      </c>
      <c r="N1774" s="1940" t="s">
        <v>1937</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4612</v>
      </c>
      <c r="D1776" s="1956" t="s">
        <v>4307</v>
      </c>
      <c r="E1776" s="1956"/>
      <c r="F1776" s="1956"/>
      <c r="G1776" s="1956" t="str">
        <f>'Part IX Scoring Criteria'!G121</f>
        <v xml:space="preserve">TMMB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t="str">
        <f>'Part IX Scoring Criteria'!C125</f>
        <v xml:space="preserve">Health screening and wellness education services         
</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 xml:space="preserve">Blood pressure checks, biometric screenings, BMI height and weight checks, glucose monitoring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 xml:space="preserve">Healthy eating, appropriate exercise, lifestyle changes and disease risk education appropriate to the resident population 
</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f>'Part IX Scoring Criteria'!L128</f>
        <v>0</v>
      </c>
      <c r="M1783" s="1936"/>
      <c r="N1783" s="1936"/>
      <c r="O1783" s="2231">
        <f>'Part IX Scoring Criteria'!O128</f>
        <v>0</v>
      </c>
      <c r="P1783" s="2231"/>
      <c r="Q1783" s="449" t="str">
        <f>IF(O1783&gt;15, "Too much!","")</f>
        <v/>
      </c>
    </row>
    <row r="1784" spans="1:21" s="1947" customFormat="1" ht="10.5" customHeight="1">
      <c r="B1784" s="2167" t="s">
        <v>1940</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6945</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2375</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6946</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 xml:space="preserve">Healthy Eating Education   
</v>
      </c>
      <c r="D1796" s="1956"/>
      <c r="E1796" s="1956"/>
      <c r="F1796" s="1956"/>
      <c r="G1796" s="1956" t="str">
        <f>'Part IX Scoring Criteria'!G141</f>
        <v xml:space="preserve">TMC Management and Realty, Inc. will provide healthy eating monthly newsletters to residents free of charge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Active Lifestyle Education</v>
      </c>
      <c r="D1797" s="1956"/>
      <c r="E1797" s="1956"/>
      <c r="F1797" s="1956"/>
      <c r="G1797" s="1956" t="str">
        <f>'Part IX Scoring Criteria'!G142</f>
        <v xml:space="preserve">TMC Management and Realty, Inc. will provide healthy eating monthly newsletters to residents free of charge         
</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TMBB Consulting, Inc. will provide monthly preventive healthcare services and will act as the Health Service Coordinator for the services to ensure the services are carried out on a monthly basis and will monitor the progress of the program for reporting purposes.  In addition, TMC Management &amp; Realthy, Inc. will provide a Healthy Eating Initiative through its community garden and healthy eating education for its residents.  The cost for the Preventive Healthcare is estimated at $20,000 per year and the cost for associated with providing Healthy Eating Inititative is $3,500 per year, captured in the Revenues and Expenses tab within this core application.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35"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1</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3731</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4767</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3620</v>
      </c>
      <c r="F1810" s="1947"/>
      <c r="G1810" s="449"/>
      <c r="H1810" s="1947"/>
      <c r="I1810" s="449" t="str">
        <f>'Part IX Scoring Criteria'!I155</f>
        <v>Jones County - 684</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HFOP</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4505</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3648</v>
      </c>
      <c r="I1816" s="449"/>
      <c r="J1816" s="449"/>
      <c r="K1816" s="1955" t="s">
        <v>3619</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6830</v>
      </c>
      <c r="C1817" s="1908"/>
      <c r="E1817" s="2164" t="s">
        <v>4787</v>
      </c>
      <c r="F1817" s="1817" t="s">
        <v>4761</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 xml:space="preserve">Gray Elementary School - 1550  
</v>
      </c>
      <c r="C1818" s="1822"/>
      <c r="D1818" s="1822"/>
      <c r="E1818" s="1983" t="str">
        <f>'Part IX Scoring Criteria'!E163</f>
        <v>No</v>
      </c>
      <c r="F1818" s="1229" t="str">
        <f>'Part IX Scoring Criteria'!F163</f>
        <v>Yes</v>
      </c>
      <c r="G1818" s="1983" t="str">
        <f>'Part IX Scoring Criteria'!G163</f>
        <v>PK-5</v>
      </c>
      <c r="H1818" s="2170">
        <f>'Part IX Scoring Criteria'!H163</f>
        <v>82.2</v>
      </c>
      <c r="I1818" s="2170">
        <f>'Part IX Scoring Criteria'!I163</f>
        <v>73.7</v>
      </c>
      <c r="J1818" s="2170">
        <f>'Part IX Scoring Criteria'!J163</f>
        <v>71.900000000000006</v>
      </c>
      <c r="K1818" s="2170">
        <f t="shared" ref="K1818:K1827" si="399">IF(H1818+I1818+J1818=0,"",AVERAGE(H1818,I1818,J1818))</f>
        <v>75.933333333333337</v>
      </c>
      <c r="L1818" s="2170">
        <f>'Part IX Scoring Criteria'!L163</f>
        <v>75.930000000000007</v>
      </c>
      <c r="M1818" s="1229" t="str">
        <f>IF(OR(K1818="",L1818=""),"",IF(K1818&gt;L1818,"Yes",IF(K1818&lt;L1818,"No","")))</f>
        <v>Yes</v>
      </c>
      <c r="O1818" s="1229" t="str">
        <f>'Part IX Scoring Criteria'!O163</f>
        <v>No</v>
      </c>
      <c r="P1818" s="1229"/>
      <c r="Q1818" s="2252">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8</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Check</v>
      </c>
      <c r="B1819" s="1822" t="str">
        <f>'Part IX Scoring Criteria'!B164</f>
        <v xml:space="preserve">Gray Station Middle School - 0106  
</v>
      </c>
      <c r="C1819" s="1822"/>
      <c r="D1819" s="1822"/>
      <c r="E1819" s="1983" t="str">
        <f>'Part IX Scoring Criteria'!E164</f>
        <v>No</v>
      </c>
      <c r="F1819" s="1229" t="str">
        <f>'Part IX Scoring Criteria'!F164</f>
        <v>Yes</v>
      </c>
      <c r="G1819" s="1983" t="str">
        <f>'Part IX Scoring Criteria'!G164</f>
        <v>6-8</v>
      </c>
      <c r="H1819" s="2170">
        <f>'Part IX Scoring Criteria'!H164</f>
        <v>74.8</v>
      </c>
      <c r="I1819" s="2170">
        <f>'Part IX Scoring Criteria'!I164</f>
        <v>71.400000000000006</v>
      </c>
      <c r="J1819" s="2170">
        <f>'Part IX Scoring Criteria'!J164</f>
        <v>70.400000000000006</v>
      </c>
      <c r="K1819" s="2170">
        <f t="shared" si="399"/>
        <v>72.2</v>
      </c>
      <c r="L1819" s="2170">
        <f>'Part IX Scoring Criteria'!L164</f>
        <v>73.77</v>
      </c>
      <c r="M1819" s="1229" t="str">
        <f>IF(L1819="","",IF(K1819&gt;L1819,"Yes",IF(K1819&lt;L1819,"No","")))</f>
        <v>No</v>
      </c>
      <c r="O1819" s="1229" t="str">
        <f>'Part IX Scoring Criteria'!O164</f>
        <v>No</v>
      </c>
      <c r="P1819" s="1229"/>
      <c r="Q1819" s="2252">
        <f t="shared" ref="Q1819:Q1827" si="403">IF(AND(B1819="",F1819="",G1819="",H1819="",I1819="",J1819="",L1819="",O1819=""),0,1)</f>
        <v>1</v>
      </c>
      <c r="R1819" s="1973"/>
      <c r="S1819" s="1732">
        <f t="shared" si="400"/>
        <v>1</v>
      </c>
      <c r="T1819" s="1973"/>
      <c r="U1819" s="1732">
        <f t="shared" si="401"/>
        <v>0</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 xml:space="preserve">Jones County High School - 0192  
</v>
      </c>
      <c r="C1820" s="1822"/>
      <c r="D1820" s="1822"/>
      <c r="E1820" s="1983" t="str">
        <f>'Part IX Scoring Criteria'!E165</f>
        <v>No</v>
      </c>
      <c r="F1820" s="1229" t="str">
        <f>'Part IX Scoring Criteria'!F165</f>
        <v>Yes</v>
      </c>
      <c r="G1820" s="1983" t="str">
        <f>'Part IX Scoring Criteria'!G165</f>
        <v>9-12</v>
      </c>
      <c r="H1820" s="2170">
        <f>'Part IX Scoring Criteria'!H165</f>
        <v>77.3</v>
      </c>
      <c r="I1820" s="2170">
        <f>'Part IX Scoring Criteria'!I165</f>
        <v>67.7</v>
      </c>
      <c r="J1820" s="2170">
        <f>'Part IX Scoring Criteria'!J165</f>
        <v>79.900000000000006</v>
      </c>
      <c r="K1820" s="2170">
        <f t="shared" si="399"/>
        <v>74.966666666666669</v>
      </c>
      <c r="L1820" s="2170">
        <f>'Part IX Scoring Criteria'!L165</f>
        <v>76.430000000000007</v>
      </c>
      <c r="M1820" s="1229" t="str">
        <f t="shared" ref="M1820:M1827" si="404">IF(L1820="","",IF(K1820&gt;L1820,"Yes",IF(K1820&lt;L1820,"No","")))</f>
        <v>No</v>
      </c>
      <c r="O1820" s="1229" t="str">
        <f>'Part IX Scoring Criteria'!O165</f>
        <v>No</v>
      </c>
      <c r="P1820" s="1229"/>
      <c r="Q1820" s="2252">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2">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2">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2">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2">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2">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2">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2">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3732</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3486</v>
      </c>
      <c r="G1831" s="1918" t="s">
        <v>3284</v>
      </c>
      <c r="H1831" s="1918"/>
      <c r="I1831" s="1918"/>
      <c r="J1831" s="1918"/>
      <c r="K1831" s="1918"/>
      <c r="L1831" s="1918"/>
      <c r="M1831" s="1918"/>
      <c r="N1831" s="1918"/>
      <c r="P1831" s="1936"/>
      <c r="R1831" s="449" t="s">
        <v>2734</v>
      </c>
      <c r="S1831" s="449"/>
      <c r="T1831" s="449" t="str">
        <f>'Part I-Project Information'!$F$38</f>
        <v>Gray</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3487</v>
      </c>
      <c r="R1832" s="449" t="s">
        <v>2735</v>
      </c>
      <c r="S1832" s="449"/>
      <c r="T1832" s="449" t="str">
        <f>'Part I-Project Information'!$J$39</f>
        <v>Jones</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Macon</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6000</v>
      </c>
      <c r="J1836" s="1925"/>
      <c r="K1836" s="1918" t="b">
        <f>IF(I1836="","",IF(I1836&lt;E1833,"Minimum Jobs Threshold entered is below lowest in chart!"))</f>
        <v>0</v>
      </c>
      <c r="R1836" s="449" t="s">
        <v>3460</v>
      </c>
      <c r="S1836" s="449"/>
      <c r="T1836" s="449" t="str">
        <f>'Part I-Project Information'!$K$40</f>
        <v>Rural</v>
      </c>
      <c r="U1836" s="449"/>
      <c r="V1836" s="449"/>
      <c r="W1836" s="449"/>
      <c r="X1836" s="449"/>
    </row>
    <row r="1837" spans="1:24" s="1945" customFormat="1" ht="12" customHeight="1">
      <c r="A1837" s="1955"/>
      <c r="B1837" s="1944" t="s">
        <v>3459</v>
      </c>
      <c r="H1837" s="1943" t="str">
        <f>IF(I1837&lt;I1836,"Threshold not met!","")</f>
        <v>Threshold not met!</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3821</v>
      </c>
      <c r="H1839" s="1975" t="s">
        <v>1938</v>
      </c>
      <c r="I1839" s="1985" t="str">
        <f>'Part IX Scoring Criteria'!I184</f>
        <v/>
      </c>
      <c r="J1839" s="1985" t="str">
        <f>IF(OR(J1836="",J1837=""),"",IF(J1837&gt;=J1836,"Yes","No"))</f>
        <v/>
      </c>
    </row>
    <row r="1840" spans="1:24" s="1945" customFormat="1" ht="11.25" customHeight="1">
      <c r="A1840" s="1945" t="s">
        <v>1326</v>
      </c>
      <c r="B1840" s="1960" t="s">
        <v>1940</v>
      </c>
      <c r="C1840" s="449" t="s">
        <v>3736</v>
      </c>
      <c r="D1840" s="1944"/>
      <c r="E1840" s="1944"/>
      <c r="F1840" s="1944"/>
      <c r="H1840" s="1975" t="s">
        <v>1940</v>
      </c>
      <c r="I1840" s="1817" t="str">
        <f>'Part IX Scoring Criteria'!I185</f>
        <v/>
      </c>
      <c r="J1840" s="1817" t="str">
        <f>IF(OR(J1836="",J1837=""),"",IF(J1837&gt;=HLOOKUP(J1836,$E$178:$P$179,2),"Yes","No"))</f>
        <v/>
      </c>
    </row>
    <row r="1841" spans="1:21" s="1945" customFormat="1" ht="11.25" customHeight="1">
      <c r="B1841" s="1904"/>
      <c r="C1841" s="1944" t="s">
        <v>3660</v>
      </c>
      <c r="D1841" s="1944"/>
      <c r="E1841" s="1944"/>
      <c r="F1841" s="1944"/>
      <c r="G1841" s="1944"/>
      <c r="I1841" s="2138">
        <f>IF(I1837="",0,(I1837/I1836) - 1)</f>
        <v>-1</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The project falls within the school boundaries of Gray Elementary School, Gray Station Middle School and Jones County Hgh School. Gray Elementary School has an average 2017-2019 CCRPI score above the minimum and is therefore eligible for one point.</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4600</v>
      </c>
      <c r="C1851" s="1897"/>
      <c r="D1851" s="1897"/>
      <c r="E1851" s="1897"/>
      <c r="F1851" s="1897"/>
      <c r="G1851" s="1897" t="s">
        <v>6882</v>
      </c>
      <c r="H1851" s="1897"/>
      <c r="I1851" s="1897"/>
      <c r="J1851" s="1897"/>
      <c r="K1851" s="1817" t="s">
        <v>4755</v>
      </c>
      <c r="L1851" s="1817" t="s">
        <v>4755</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4382</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4601</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4598</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4381</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6914</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4311</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4594</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3499999999999996"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1938</v>
      </c>
      <c r="C1865" s="1936" t="s">
        <v>6883</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6951</v>
      </c>
      <c r="D1866" s="1936"/>
      <c r="E1866" s="1936"/>
      <c r="F1866" s="1936"/>
      <c r="G1866" s="1936"/>
      <c r="H1866" s="1936"/>
      <c r="I1866" s="1936"/>
      <c r="J1866" s="1908" t="s">
        <v>3589</v>
      </c>
      <c r="K1866" s="1815"/>
      <c r="L1866" s="1908" t="str">
        <f>'Part I-Project Information'!$N$39</f>
        <v>No</v>
      </c>
      <c r="M1866" s="1229">
        <v>2</v>
      </c>
      <c r="N1866" s="1969" t="s">
        <v>1940</v>
      </c>
      <c r="O1866" s="1958">
        <f>'Part IX Scoring Criteria'!O211</f>
        <v>0</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3438</v>
      </c>
      <c r="K1867" s="449"/>
      <c r="L1867" s="1977" t="str">
        <f>'Part I-Project Information'!$O$38</f>
        <v>13169030301</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4313</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4767</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4570</v>
      </c>
      <c r="D1873" s="1815"/>
      <c r="E1873" s="1815"/>
      <c r="F1873" s="1815"/>
      <c r="G1873" s="1815"/>
      <c r="H1873" s="1815"/>
      <c r="I1873" s="1815"/>
      <c r="J1873" s="1229">
        <f>'Part IX Scoring Criteria'!J218</f>
        <v>0</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4317</v>
      </c>
      <c r="D1875" s="1815"/>
      <c r="E1875" s="1815"/>
      <c r="F1875" s="1815"/>
      <c r="G1875" s="1815"/>
      <c r="H1875" s="1815"/>
      <c r="I1875" s="1815"/>
      <c r="J1875" s="1229">
        <f>'Part IX Scoring Criteria'!J220</f>
        <v>0</v>
      </c>
      <c r="L1875" s="1940" t="s">
        <v>4316</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6812</v>
      </c>
      <c r="D1881" s="1939"/>
      <c r="G1881" s="1979">
        <f>'Part IV-A-Uses of Funds'!$G$132</f>
        <v>10740700</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6952</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4572</v>
      </c>
      <c r="N1892" s="1940" t="s">
        <v>2373</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4758</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6884</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3740</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3742</v>
      </c>
      <c r="D1903" s="1936"/>
      <c r="E1903" s="1936"/>
      <c r="F1903" s="1936"/>
      <c r="G1903" s="1944" t="s">
        <v>3593</v>
      </c>
      <c r="H1903" s="1936"/>
      <c r="I1903" s="1936"/>
      <c r="J1903" s="1936"/>
      <c r="K1903" s="1936"/>
      <c r="L1903" s="1936"/>
      <c r="M1903" s="1936"/>
      <c r="N1903" s="1936"/>
      <c r="O1903" s="1229" t="s">
        <v>2443</v>
      </c>
      <c r="P1903" s="1229" t="s">
        <v>2443</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3745</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4318</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6885</v>
      </c>
      <c r="D1912" s="1815"/>
      <c r="G1912" s="1944" t="s">
        <v>3593</v>
      </c>
      <c r="O1912" s="1229" t="s">
        <v>2443</v>
      </c>
      <c r="P1912" s="1229" t="s">
        <v>2443</v>
      </c>
      <c r="Q1912" s="1843"/>
    </row>
    <row r="1913" spans="1:24" ht="22.5" customHeight="1">
      <c r="B1913" s="2172" t="s">
        <v>1938</v>
      </c>
      <c r="C1913" s="449" t="s">
        <v>4574</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4575</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35"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4749</v>
      </c>
      <c r="M1920" s="1896">
        <v>5</v>
      </c>
      <c r="N1920" s="1896"/>
      <c r="O1920" s="1916">
        <f>'Part IX Scoring Criteria'!O265</f>
        <v>5</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4320</v>
      </c>
      <c r="D1922" s="449"/>
      <c r="E1922" s="449"/>
      <c r="G1922" s="1944" t="s">
        <v>4730</v>
      </c>
      <c r="I1922" s="1983" t="str">
        <f>'Part I-Project Information'!$O$38</f>
        <v>13169030301</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v>
      </c>
      <c r="J1925" s="1945" t="s">
        <v>2654</v>
      </c>
      <c r="L1925" s="449" t="s">
        <v>2652</v>
      </c>
      <c r="M1925" s="449" t="str">
        <f>IF(O1925&gt;I1925,"CHECK ACTUAL PERCENT!!!","")</f>
        <v/>
      </c>
      <c r="N1925" s="1960" t="s">
        <v>1940</v>
      </c>
      <c r="O1925" s="2236">
        <f>'Part IX Scoring Criteria'!O270</f>
        <v>8.0500000000000002E-2</v>
      </c>
      <c r="P1925" s="1985"/>
      <c r="Q1925" s="1973"/>
      <c r="R1925" s="1973"/>
      <c r="S1925" s="1963"/>
      <c r="T1925" s="1963"/>
      <c r="U1925" s="1963"/>
    </row>
    <row r="1926" spans="1:24" ht="11.4" customHeight="1">
      <c r="B1926" s="1992" t="s">
        <v>2467</v>
      </c>
      <c r="C1926" s="1945" t="s">
        <v>2327</v>
      </c>
      <c r="G1926" s="1945" t="s">
        <v>2328</v>
      </c>
      <c r="J1926" s="2177" t="s">
        <v>4470</v>
      </c>
      <c r="L1926" s="1908" t="s">
        <v>2647</v>
      </c>
      <c r="M1926" s="1815"/>
      <c r="N1926" s="1960" t="s">
        <v>2467</v>
      </c>
      <c r="O1926" s="1229" t="str">
        <f>'Part IX Scoring Criteria'!O271</f>
        <v>Upper</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2"/>
      <c r="O1930" s="1896"/>
      <c r="P1930" s="1896"/>
      <c r="S1930" s="1963"/>
      <c r="T1930" s="1963"/>
      <c r="U1930" s="1963"/>
    </row>
    <row r="1931" spans="1:24" ht="11.4" customHeight="1">
      <c r="A1931" s="2252" t="s">
        <v>1937</v>
      </c>
      <c r="B1931" s="1992" t="s">
        <v>4321</v>
      </c>
      <c r="C1931" s="1945"/>
      <c r="G1931" s="1944" t="s">
        <v>6800</v>
      </c>
      <c r="I1931" s="2160">
        <f>'Part IX Scoring Criteria'!I276</f>
        <v>2019</v>
      </c>
      <c r="K1931" s="1943" t="s">
        <v>4611</v>
      </c>
      <c r="L1931" s="2142">
        <f>'Part IX Scoring Criteria'!L276</f>
        <v>13169030301</v>
      </c>
      <c r="M1931" s="1896">
        <v>2</v>
      </c>
      <c r="N1931" s="1904" t="s">
        <v>1937</v>
      </c>
      <c r="O1931" s="1923">
        <f>'Part IX Scoring Criteria'!O276</f>
        <v>2</v>
      </c>
      <c r="P1931" s="1923"/>
      <c r="Q1931" s="1993" t="str">
        <f>IF(O1931&lt;=M1931,"","*CHECK!*")</f>
        <v/>
      </c>
      <c r="R1931" s="1823" t="s">
        <v>4767</v>
      </c>
      <c r="S1931" s="1963"/>
      <c r="T1931" s="1963"/>
      <c r="U1931" s="1963"/>
    </row>
    <row r="1932" spans="1:24" ht="11.4" customHeight="1">
      <c r="A1932" s="1918"/>
      <c r="B1932" s="1992" t="s">
        <v>1938</v>
      </c>
      <c r="C1932" s="449" t="s">
        <v>4466</v>
      </c>
      <c r="D1932" s="449"/>
      <c r="E1932" s="1987"/>
      <c r="F1932" s="1988"/>
      <c r="G1932" s="449" t="s">
        <v>4322</v>
      </c>
      <c r="H1932" s="449"/>
      <c r="I1932" s="449"/>
      <c r="J1932" s="1815"/>
      <c r="K1932" s="1815"/>
      <c r="L1932" s="1822" t="s">
        <v>6801</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4467</v>
      </c>
      <c r="D1933" s="449"/>
      <c r="E1933" s="1987"/>
      <c r="F1933" s="1229"/>
      <c r="G1933" s="449" t="s">
        <v>4323</v>
      </c>
      <c r="H1933" s="449"/>
      <c r="I1933" s="449"/>
      <c r="J1933" s="1815"/>
      <c r="K1933" s="1815"/>
      <c r="L1933" s="1822" t="s">
        <v>6801</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52"/>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 xml:space="preserve">The proposed development is located in an area reporting an 8.05% poverty level, which is below the 10% poverty threshold .  The immediate area reports an Upper Income designation.  Further, the applicant is claiming 10 points for desirable activites.  Finally, the site is located in a census tract that is eligible for the Opportunity360 points.  Documentation to support the points claimed in this category may be found in Tab 33 Stable Communities folder.  </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2"/>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35"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3606</v>
      </c>
      <c r="H1941" s="1229" t="s">
        <v>3452</v>
      </c>
      <c r="I1941" s="1985">
        <f>IF('Part VI-Revenues &amp; Expenses'!$P$67=0,0,'Part VI-Revenues &amp; Expenses'!$P$64/'Part VI-Revenues &amp; Expenses'!$P$67)</f>
        <v>0</v>
      </c>
      <c r="J1941" s="1943" t="s">
        <v>4605</v>
      </c>
      <c r="K1941" s="2136" t="str">
        <f>'Part I-Project Information'!$K$94</f>
        <v>Income Averaging</v>
      </c>
      <c r="L1941" s="2136"/>
      <c r="M1941" s="1896">
        <v>1</v>
      </c>
      <c r="N1941" s="2252"/>
      <c r="O1941" s="1923">
        <f>'Part IX Scoring Criteria'!O286</f>
        <v>1</v>
      </c>
      <c r="P1941" s="1923">
        <f>'Part IX Scoring Criteria'!P286</f>
        <v>0</v>
      </c>
      <c r="Q1941" s="1896" t="s">
        <v>433</v>
      </c>
    </row>
    <row r="1942" spans="1:22" ht="13.8">
      <c r="A1942" s="1732" t="s">
        <v>1935</v>
      </c>
      <c r="B1942" s="1945" t="s">
        <v>4603</v>
      </c>
      <c r="C1942" s="1945"/>
      <c r="D1942" s="1945" t="s">
        <v>4604</v>
      </c>
      <c r="M1942" s="1896">
        <v>1</v>
      </c>
      <c r="N1942" s="1940" t="s">
        <v>1935</v>
      </c>
      <c r="O1942" s="1923">
        <f>'Part IX Scoring Criteria'!O287</f>
        <v>0</v>
      </c>
      <c r="P1942" s="1923"/>
      <c r="Q1942" s="1993" t="str">
        <f>IF(OR($O1942=$M1942,$O1942=0,$O1942=""),"","*CHECK!*")</f>
        <v/>
      </c>
      <c r="R1942" s="1823" t="s">
        <v>4767</v>
      </c>
    </row>
    <row r="1943" spans="1:22" ht="13.8">
      <c r="A1943" s="1732" t="s">
        <v>1937</v>
      </c>
      <c r="B1943" s="1945" t="s">
        <v>4294</v>
      </c>
      <c r="C1943" s="1945"/>
      <c r="D1943" s="1945" t="s">
        <v>4723</v>
      </c>
      <c r="M1943" s="1874">
        <v>1</v>
      </c>
      <c r="N1943" s="1940" t="s">
        <v>1937</v>
      </c>
      <c r="O1943" s="1923">
        <f>'Part IX Scoring Criteria'!O288</f>
        <v>1</v>
      </c>
      <c r="P1943" s="1923"/>
      <c r="Q1943" s="1993" t="str">
        <f>IF(OR($O1943=$M1943,$O1943=0,$O1943=""),"","*CHECK!*")</f>
        <v/>
      </c>
      <c r="R1943" s="1823" t="s">
        <v>4767</v>
      </c>
    </row>
    <row r="1944" spans="1:22" ht="2.25" customHeight="1">
      <c r="A1944" s="1918"/>
      <c r="B1944" s="1992"/>
      <c r="C1944" s="1945"/>
      <c r="M1944" s="1896"/>
      <c r="N1944" s="2252"/>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35"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1935</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3600</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6886</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4623</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3280</v>
      </c>
      <c r="H1971" s="1908" t="s">
        <v>4624</v>
      </c>
      <c r="I1971" s="1815"/>
      <c r="J1971" s="449">
        <f>'Part I-Project Information'!F1692</f>
        <v>0</v>
      </c>
      <c r="M1971" s="1896">
        <v>5</v>
      </c>
      <c r="N1971" s="1896"/>
      <c r="O1971" s="1923">
        <f>'Part IX Scoring Criteria'!O316</f>
        <v>4</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1935</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6888</v>
      </c>
      <c r="L1974" s="1732" t="str">
        <f>IF(OR($O1974=$M1974,$O1974=0,$O1974=""),"","* * Check Score! * *")</f>
        <v/>
      </c>
      <c r="M1974" s="1896">
        <v>5</v>
      </c>
      <c r="N1974" s="1969" t="s">
        <v>1938</v>
      </c>
      <c r="O1974" s="1923">
        <f>'Part IX Scoring Criteria'!O319</f>
        <v>0</v>
      </c>
      <c r="P1974" s="1923"/>
      <c r="Q1974" s="1993" t="str">
        <f>IF(OR($O1974=$M1974,$O1974=0,$O1974=""),"","*CHECK!*")</f>
        <v/>
      </c>
      <c r="R1974" s="1823" t="s">
        <v>4767</v>
      </c>
    </row>
    <row r="1975" spans="1:24" ht="11.25" customHeight="1">
      <c r="A1975" s="1229"/>
      <c r="B1975" s="2172" t="s">
        <v>1940</v>
      </c>
      <c r="C1975" s="1945" t="s">
        <v>6889</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4767</v>
      </c>
    </row>
    <row r="1976" spans="1:24" s="1815" customFormat="1" ht="11.25" customHeight="1">
      <c r="A1976" s="1732" t="s">
        <v>1937</v>
      </c>
      <c r="B1976" s="1897" t="s">
        <v>6890</v>
      </c>
      <c r="F1976" s="1843" t="s">
        <v>4625</v>
      </c>
      <c r="H1976" s="449" t="s">
        <v>2702</v>
      </c>
      <c r="I1976" s="1951"/>
      <c r="J1976" s="449" t="str">
        <f>'Part I-Project Information'!$H$105</f>
        <v>Rural</v>
      </c>
    </row>
    <row r="1977" spans="1:24" s="1815" customFormat="1" ht="11.25" customHeight="1">
      <c r="A1977" s="1732"/>
      <c r="B1977" s="1897" t="s">
        <v>6955</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6891</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4767</v>
      </c>
    </row>
    <row r="1979" spans="1:24" ht="11.25" customHeight="1">
      <c r="A1979" s="1229"/>
      <c r="B1979" s="2172" t="s">
        <v>1940</v>
      </c>
      <c r="C1979" s="1945" t="s">
        <v>6892</v>
      </c>
      <c r="D1979" s="1815"/>
      <c r="E1979" s="1815"/>
      <c r="F1979" s="1815"/>
      <c r="G1979" s="1908"/>
      <c r="H1979" s="1908"/>
      <c r="I1979" s="1908"/>
      <c r="J1979" s="1955" t="s">
        <v>4630</v>
      </c>
      <c r="K1979" s="1815"/>
      <c r="L1979" s="1815"/>
      <c r="M1979" s="1874">
        <v>2</v>
      </c>
      <c r="N1979" s="1969" t="s">
        <v>1940</v>
      </c>
      <c r="O1979" s="1923">
        <f>'Part IX Scoring Criteria'!O324</f>
        <v>0</v>
      </c>
      <c r="P1979" s="1923"/>
      <c r="Q1979" s="1993" t="str">
        <f>IF(OR($O1979=$M1979,$O1979=0,$O1979=""),"","*CHECK!*")</f>
        <v/>
      </c>
      <c r="R1979" s="1823" t="s">
        <v>4767</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6893</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4767</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There has only been one 9% development awarded within the City of Gray Ploitical Jurisdiction within the last 15 years.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4329</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4330</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4331</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4578</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4449</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3749</v>
      </c>
      <c r="C2002" s="1945"/>
      <c r="D2002" s="1945"/>
      <c r="E2002" s="449"/>
      <c r="G2002" s="1912">
        <f>'Part VIII-Threshold Criteria'!I2005</f>
        <v>0</v>
      </c>
      <c r="L2002" s="1940" t="s">
        <v>4816</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4384</v>
      </c>
      <c r="D2003" s="1815"/>
      <c r="N2003" s="1969" t="s">
        <v>4385</v>
      </c>
      <c r="O2003" s="1229">
        <f>'Part IX Scoring Criteria'!O348</f>
        <v>0</v>
      </c>
      <c r="P2003" s="1229"/>
      <c r="R2003" s="1732"/>
    </row>
    <row r="2004" spans="1:18" s="1947" customFormat="1" ht="10.5" customHeight="1">
      <c r="A2004" s="1904"/>
      <c r="B2004" s="1969"/>
      <c r="C2004" s="449" t="s">
        <v>4741</v>
      </c>
      <c r="D2004" s="1815"/>
      <c r="N2004" s="1969" t="s">
        <v>4386</v>
      </c>
      <c r="O2004" s="1229">
        <f>'Part IX Scoring Criteria'!O349</f>
        <v>0</v>
      </c>
      <c r="P2004" s="1229"/>
      <c r="R2004" s="1732"/>
    </row>
    <row r="2005" spans="1:18" s="1947" customFormat="1" ht="10.5" customHeight="1">
      <c r="A2005" s="1904"/>
      <c r="B2005" s="1969" t="s">
        <v>1940</v>
      </c>
      <c r="C2005" s="449" t="s">
        <v>3757</v>
      </c>
      <c r="D2005" s="1815"/>
      <c r="N2005" s="1969" t="s">
        <v>1940</v>
      </c>
      <c r="O2005" s="1229">
        <f>'Part IX Scoring Criteria'!O350</f>
        <v>0</v>
      </c>
      <c r="P2005" s="1229"/>
      <c r="R2005" s="1732"/>
    </row>
    <row r="2006" spans="1:18" s="1947" customFormat="1" ht="10.5" customHeight="1">
      <c r="A2006" s="1904"/>
      <c r="B2006" s="1969" t="s">
        <v>2467</v>
      </c>
      <c r="C2006" s="449" t="s">
        <v>4387</v>
      </c>
      <c r="D2006" s="1815"/>
      <c r="N2006" s="1969" t="s">
        <v>2467</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1833</v>
      </c>
      <c r="C2009" s="449" t="s">
        <v>3758</v>
      </c>
      <c r="D2009" s="1815"/>
      <c r="N2009" s="1969" t="s">
        <v>1833</v>
      </c>
      <c r="O2009" s="1229">
        <f>'Part IX Scoring Criteria'!O354</f>
        <v>0</v>
      </c>
      <c r="P2009" s="1229"/>
      <c r="R2009" s="1732"/>
    </row>
    <row r="2010" spans="1:18" s="1951" customFormat="1" ht="12" customHeight="1">
      <c r="A2010" s="1904" t="s">
        <v>1937</v>
      </c>
      <c r="B2010" s="1897" t="s">
        <v>3750</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4384</v>
      </c>
      <c r="D2011" s="449"/>
      <c r="E2011" s="449"/>
      <c r="M2011" s="1896"/>
      <c r="N2011" s="1969" t="s">
        <v>4385</v>
      </c>
      <c r="O2011" s="1229">
        <f>'Part IX Scoring Criteria'!O356</f>
        <v>0</v>
      </c>
      <c r="P2011" s="1229"/>
      <c r="Q2011" s="1896"/>
    </row>
    <row r="2012" spans="1:18" s="1947" customFormat="1" ht="10.5" customHeight="1">
      <c r="A2012" s="1904"/>
      <c r="B2012" s="1969"/>
      <c r="C2012" s="449" t="s">
        <v>4769</v>
      </c>
      <c r="D2012" s="1815"/>
      <c r="N2012" s="1969" t="s">
        <v>4386</v>
      </c>
      <c r="O2012" s="1229">
        <f>'Part IX Scoring Criteria'!O357</f>
        <v>0</v>
      </c>
      <c r="P2012" s="1229"/>
      <c r="R2012" s="1732"/>
    </row>
    <row r="2013" spans="1:18" s="1947" customFormat="1" ht="10.5" customHeight="1">
      <c r="A2013" s="1904"/>
      <c r="B2013" s="1969" t="s">
        <v>1940</v>
      </c>
      <c r="C2013" s="449" t="s">
        <v>3769</v>
      </c>
      <c r="D2013" s="1815"/>
      <c r="N2013" s="1969" t="s">
        <v>1940</v>
      </c>
      <c r="O2013" s="1229">
        <f>'Part IX Scoring Criteria'!O358</f>
        <v>0</v>
      </c>
      <c r="P2013" s="1229"/>
      <c r="R2013" s="1732"/>
    </row>
    <row r="2014" spans="1:18" s="1947" customFormat="1" ht="10.5" customHeight="1">
      <c r="B2014" s="1969" t="s">
        <v>2467</v>
      </c>
      <c r="C2014" s="449" t="s">
        <v>3758</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4767</v>
      </c>
      <c r="S2019" s="1844"/>
    </row>
    <row r="2020" spans="1:19" s="1951" customFormat="1" ht="11.25" customHeight="1">
      <c r="A2020" s="1904"/>
      <c r="B2020" s="1908" t="s">
        <v>3453</v>
      </c>
      <c r="D2020" s="1945"/>
      <c r="E2020" s="1945"/>
      <c r="G2020" s="449"/>
      <c r="I2020" s="449" t="str">
        <f>'Part IX Scoring Criteria'!I365</f>
        <v>Gray / Jones County</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6802</v>
      </c>
      <c r="D2021" s="1945"/>
      <c r="E2021" s="1945" t="s">
        <v>4347</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2020</v>
      </c>
      <c r="N2022" s="1229"/>
      <c r="O2022" s="1229" t="str">
        <f>'Part IX Scoring Criteria'!O367</f>
        <v>Yes</v>
      </c>
      <c r="P2022" s="1229"/>
      <c r="Q2022" s="1908"/>
      <c r="R2022" s="1844"/>
      <c r="S2022" s="1844"/>
    </row>
    <row r="2023" spans="1:19" s="1951" customFormat="1" ht="11.25" customHeight="1">
      <c r="B2023" s="1969" t="s">
        <v>1940</v>
      </c>
      <c r="C2023" s="1908" t="s">
        <v>6959</v>
      </c>
      <c r="D2023" s="1947"/>
      <c r="E2023" s="1945"/>
      <c r="F2023" s="449"/>
      <c r="G2023" s="449"/>
      <c r="N2023" s="1940"/>
      <c r="O2023" s="1817" t="s">
        <v>2443</v>
      </c>
      <c r="P2023" s="1817" t="s">
        <v>2443</v>
      </c>
    </row>
    <row r="2024" spans="1:19" s="449" customFormat="1" ht="10.5" customHeight="1">
      <c r="B2024" s="1940" t="s">
        <v>2371</v>
      </c>
      <c r="C2024" s="1908" t="s">
        <v>3751</v>
      </c>
      <c r="N2024" s="1940" t="s">
        <v>2371</v>
      </c>
      <c r="O2024" s="1229" t="str">
        <f>'Part IX Scoring Criteria'!O369</f>
        <v>Yes</v>
      </c>
      <c r="P2024" s="1229"/>
    </row>
    <row r="2025" spans="1:19" s="449" customFormat="1" ht="10.5" customHeight="1">
      <c r="B2025" s="1942" t="s">
        <v>2372</v>
      </c>
      <c r="C2025" s="1908" t="s">
        <v>3752</v>
      </c>
      <c r="N2025" s="1942" t="s">
        <v>2372</v>
      </c>
      <c r="O2025" s="1229" t="str">
        <f>'Part IX Scoring Criteria'!O370</f>
        <v>Yes</v>
      </c>
      <c r="P2025" s="1229"/>
    </row>
    <row r="2026" spans="1:19" s="449" customFormat="1" ht="10.5" customHeight="1">
      <c r="B2026" s="1940" t="s">
        <v>2373</v>
      </c>
      <c r="C2026" s="1908" t="s">
        <v>4580</v>
      </c>
      <c r="N2026" s="1940" t="s">
        <v>2373</v>
      </c>
      <c r="O2026" s="1229" t="str">
        <f>'Part IX Scoring Criteria'!O371</f>
        <v>Yes</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 xml:space="preserve">Please see Tab 40 for documentation of the GICH support letter signed by the primary contact, Donald Black, stating support for the project and that the property lies within the GICH community boundaries. Also in Tab 40, there is the local government letter agreeing to the issuance of the letter from the GICH Team.            
</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3615</v>
      </c>
      <c r="L2037" s="1936"/>
      <c r="M2037" s="1936"/>
      <c r="N2037" s="1940" t="s">
        <v>2372</v>
      </c>
      <c r="O2037" s="1229">
        <f>'Part IX Scoring Criteria'!O382</f>
        <v>0</v>
      </c>
      <c r="P2037" s="1229"/>
      <c r="R2037" s="1936"/>
      <c r="S2037" s="1936"/>
    </row>
    <row r="2038" spans="1:20" s="1945" customFormat="1" ht="12.75" customHeight="1">
      <c r="B2038" s="1940" t="s">
        <v>2373</v>
      </c>
      <c r="C2038" s="449" t="s">
        <v>3614</v>
      </c>
      <c r="L2038" s="1936"/>
      <c r="M2038" s="1936"/>
      <c r="N2038" s="1940" t="s">
        <v>2373</v>
      </c>
      <c r="O2038" s="1229">
        <f>'Part IX Scoring Criteria'!O383</f>
        <v>0</v>
      </c>
      <c r="P2038" s="1229"/>
      <c r="R2038" s="1936"/>
      <c r="S2038" s="1936"/>
    </row>
    <row r="2039" spans="1:20" s="1945" customFormat="1" ht="33.75" customHeight="1">
      <c r="B2039" s="1942" t="s">
        <v>2374</v>
      </c>
      <c r="C2039" s="1936" t="s">
        <v>4335</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3755</v>
      </c>
      <c r="L2041" s="1732" t="str">
        <f>IF(O2041&lt;=M2041,"","* * Check Score! * *")</f>
        <v/>
      </c>
      <c r="M2041" s="1732">
        <v>3</v>
      </c>
      <c r="N2041" s="1940" t="s">
        <v>1935</v>
      </c>
      <c r="O2041" s="1923">
        <f>'Part IX Scoring Criteria'!O386</f>
        <v>0</v>
      </c>
      <c r="P2041" s="1923"/>
      <c r="Q2041" s="1993" t="str">
        <f>IF(O2041&lt;=M2041,"","*CHECK!*")</f>
        <v/>
      </c>
      <c r="R2041" s="1819" t="s">
        <v>4767</v>
      </c>
      <c r="S2041" s="1819"/>
      <c r="T2041" s="1844"/>
    </row>
    <row r="2042" spans="1:20" ht="12.75" customHeight="1">
      <c r="A2042" s="2180"/>
      <c r="B2042" s="2172" t="s">
        <v>1938</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4581</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6813</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4340</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4341</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6895</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6916</v>
      </c>
      <c r="D2057" s="1822"/>
      <c r="E2057" s="1822"/>
      <c r="F2057" s="1908" t="s">
        <v>4373</v>
      </c>
      <c r="H2057" s="1995"/>
      <c r="I2057" s="1926">
        <f>'Part IX Scoring Criteria'!I402</f>
        <v>0</v>
      </c>
      <c r="J2057" s="1917">
        <f>'Part IV-A-Uses of Funds'!$G$132</f>
        <v>10740700</v>
      </c>
      <c r="K2057" s="1917"/>
      <c r="L2057" s="1822"/>
      <c r="M2057" s="1819"/>
      <c r="N2057" s="1819"/>
      <c r="O2057" s="2181"/>
      <c r="P2057" s="1819"/>
    </row>
    <row r="2058" spans="1:23" ht="12.75" customHeight="1">
      <c r="C2058" s="1822"/>
      <c r="D2058" s="1822"/>
      <c r="E2058" s="1822"/>
      <c r="F2058" s="1944" t="s">
        <v>4372</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2371</v>
      </c>
      <c r="C2062" s="1936" t="s">
        <v>3756</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3607</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4343</v>
      </c>
      <c r="N2064" s="1940" t="s">
        <v>2373</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4582</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48</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4583</v>
      </c>
      <c r="C2081" s="1936"/>
      <c r="H2081" s="1936"/>
      <c r="M2081" s="1967">
        <v>2</v>
      </c>
      <c r="N2081" s="1942" t="s">
        <v>1937</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48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35"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3"/>
      <c r="G2099" s="2253"/>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53"/>
      <c r="G2100" s="2253"/>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3"/>
      <c r="I2102" s="2253"/>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"I.  The Applicant believes to have fully completed the proposed application.
II. The overall AMI percentage for each affordable unit is 57.92%.
IV. Rural Public Transportation will be available to the residents at Dulles Park II through Jones County Transit. Please see Tab 28 for community transportation documentation.
V. The proposed development will offer enriched property services including Preventive Health Care under a MOU with a local health care provider, Jones County Health Department. Additionally, the Applicant agrees to provide a Healthy Eating Initiative at the proposed. Monthly educational newsletters will be provide free of charge to the residents at Dulles Park II.
IX.   The proposed project is located in a census tract that has a poverty level of 8.05% and is designated as an Upper Income level. Additionally, the census tract scores two Opportunity360 report  points for Healthy and Well-being and Economic Security. Please see Tab 33 for the Stable Communities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VFsfAB/nC9IrMDxpXDnKaxy8paXiqf7KOaZyxdjoSgLJleiZmEHzvKSFoiCyuP5dF+54Rb0uSsTyfsHjB3rNSQ==" saltValue="g6rTkqyqesF4y3HyhbtuO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2020-059 Dulles Park II, Gray, Jones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95" t="s">
        <v>7002</v>
      </c>
      <c r="I5" s="3696"/>
      <c r="J5" s="3696"/>
      <c r="K5" s="3696"/>
      <c r="L5" s="3696"/>
      <c r="M5" s="3696"/>
      <c r="N5" s="3697"/>
      <c r="O5" s="2346" t="s">
        <v>1941</v>
      </c>
      <c r="P5" s="2346"/>
      <c r="Q5" s="3695" t="s">
        <v>6989</v>
      </c>
      <c r="R5" s="3696"/>
      <c r="S5" s="3697"/>
      <c r="Y5" s="1016"/>
      <c r="Z5" s="1017"/>
      <c r="AA5" s="2356"/>
    </row>
    <row r="6" spans="1:27" s="293" customFormat="1" ht="11.25" customHeight="1">
      <c r="D6" s="331"/>
      <c r="E6" s="2348" t="s">
        <v>999</v>
      </c>
      <c r="F6" s="305"/>
      <c r="H6" s="3509" t="s">
        <v>6987</v>
      </c>
      <c r="I6" s="3698"/>
      <c r="J6" s="3698"/>
      <c r="K6" s="3699"/>
      <c r="L6" s="3698"/>
      <c r="M6" s="3698"/>
      <c r="N6" s="3700"/>
      <c r="O6" s="2346" t="s">
        <v>1704</v>
      </c>
      <c r="Q6" s="3543" t="s">
        <v>7004</v>
      </c>
      <c r="R6" s="3609"/>
      <c r="S6" s="3610"/>
      <c r="V6" s="1016"/>
      <c r="W6" s="1016"/>
      <c r="X6" s="1016"/>
      <c r="Y6" s="1016"/>
      <c r="Z6" s="1017"/>
      <c r="AA6" s="2356"/>
    </row>
    <row r="7" spans="1:27" s="293" customFormat="1" ht="11.25" customHeight="1">
      <c r="D7" s="331"/>
      <c r="E7" s="2348" t="s">
        <v>600</v>
      </c>
      <c r="H7" s="3509" t="s">
        <v>1179</v>
      </c>
      <c r="I7" s="3699"/>
      <c r="J7" s="3613"/>
      <c r="K7" s="3701" t="s">
        <v>744</v>
      </c>
      <c r="L7" s="3546"/>
      <c r="M7" s="3698"/>
      <c r="N7" s="3700"/>
      <c r="O7" s="2346" t="s">
        <v>1679</v>
      </c>
      <c r="Q7" s="3662">
        <v>4043344590</v>
      </c>
      <c r="R7" s="3663"/>
      <c r="S7" s="3664"/>
    </row>
    <row r="8" spans="1:27" s="293" customFormat="1" ht="11.25" customHeight="1">
      <c r="D8" s="331"/>
      <c r="E8" s="2348" t="s">
        <v>1754</v>
      </c>
      <c r="H8" s="3611" t="s">
        <v>828</v>
      </c>
      <c r="I8" s="1007" t="s">
        <v>2172</v>
      </c>
      <c r="J8" s="3702">
        <v>303392063</v>
      </c>
      <c r="K8" s="3703"/>
      <c r="L8" s="293" t="s">
        <v>3509</v>
      </c>
      <c r="M8" s="3704" t="s">
        <v>7003</v>
      </c>
      <c r="N8" s="3705"/>
      <c r="O8" s="2346" t="s">
        <v>1931</v>
      </c>
      <c r="Q8" s="3662">
        <v>7703630414</v>
      </c>
      <c r="R8" s="3663"/>
      <c r="S8" s="3664"/>
    </row>
    <row r="9" spans="1:27" s="293" customFormat="1" ht="11.25" customHeight="1">
      <c r="D9" s="331"/>
      <c r="E9" s="2348" t="s">
        <v>3895</v>
      </c>
      <c r="H9" s="3706">
        <v>4043344590</v>
      </c>
      <c r="I9" s="3707"/>
      <c r="J9" s="3708"/>
      <c r="K9" s="2357" t="s">
        <v>1936</v>
      </c>
      <c r="L9" s="3709" t="s">
        <v>7139</v>
      </c>
      <c r="M9" s="3710"/>
      <c r="N9" s="3710"/>
      <c r="O9" s="3711"/>
      <c r="P9" s="3711"/>
      <c r="Q9" s="3710"/>
      <c r="R9" s="3710"/>
      <c r="S9" s="3712"/>
    </row>
    <row r="10" spans="1:27" s="293" customFormat="1" ht="11.25" customHeight="1">
      <c r="D10" s="331"/>
      <c r="E10" s="1194" t="s">
        <v>3894</v>
      </c>
      <c r="H10" s="326"/>
      <c r="K10" s="268"/>
      <c r="N10" s="363" t="s">
        <v>3433</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713" t="s">
        <v>1258</v>
      </c>
      <c r="W12" s="3713"/>
      <c r="X12" s="3713"/>
      <c r="Y12" s="3713"/>
      <c r="Z12" s="3713"/>
    </row>
    <row r="13" spans="1:27" s="293" customFormat="1" ht="11.25" customHeight="1">
      <c r="C13" s="333" t="s">
        <v>1938</v>
      </c>
      <c r="D13" s="330" t="s">
        <v>1939</v>
      </c>
      <c r="H13" s="2356"/>
      <c r="I13" s="2356"/>
      <c r="J13" s="2356"/>
      <c r="N13" s="1020"/>
      <c r="W13" s="3714"/>
      <c r="X13" s="3714"/>
      <c r="Y13" s="3714"/>
      <c r="Z13" s="3714"/>
    </row>
    <row r="14" spans="1:27" s="293" customFormat="1" ht="11.25" customHeight="1">
      <c r="D14" s="295" t="s">
        <v>2065</v>
      </c>
      <c r="E14" s="293" t="s">
        <v>1809</v>
      </c>
      <c r="H14" s="3695" t="s">
        <v>7005</v>
      </c>
      <c r="I14" s="3696"/>
      <c r="J14" s="3696"/>
      <c r="K14" s="3696"/>
      <c r="L14" s="3696"/>
      <c r="M14" s="3696"/>
      <c r="N14" s="3697"/>
      <c r="O14" s="2346" t="s">
        <v>1941</v>
      </c>
      <c r="P14" s="2346"/>
      <c r="Q14" s="3695" t="s">
        <v>6989</v>
      </c>
      <c r="R14" s="3696"/>
      <c r="S14" s="3697"/>
    </row>
    <row r="15" spans="1:27" s="293" customFormat="1" ht="11.25" customHeight="1">
      <c r="D15" s="331"/>
      <c r="E15" s="2348" t="s">
        <v>999</v>
      </c>
      <c r="F15" s="305"/>
      <c r="H15" s="3509" t="s">
        <v>6987</v>
      </c>
      <c r="I15" s="3698"/>
      <c r="J15" s="3698"/>
      <c r="K15" s="3699"/>
      <c r="L15" s="3698"/>
      <c r="M15" s="3698"/>
      <c r="N15" s="3700"/>
      <c r="O15" s="2346" t="s">
        <v>1704</v>
      </c>
      <c r="Q15" s="3543" t="s">
        <v>7004</v>
      </c>
      <c r="R15" s="3609"/>
      <c r="S15" s="3610"/>
    </row>
    <row r="16" spans="1:27" s="293" customFormat="1" ht="11.25" customHeight="1">
      <c r="D16" s="331"/>
      <c r="E16" s="2348" t="s">
        <v>600</v>
      </c>
      <c r="H16" s="3509" t="s">
        <v>1179</v>
      </c>
      <c r="I16" s="3699"/>
      <c r="J16" s="3613"/>
      <c r="K16" s="2351" t="s">
        <v>2624</v>
      </c>
      <c r="L16" s="3509"/>
      <c r="M16" s="3698"/>
      <c r="N16" s="3613"/>
      <c r="O16" s="2346" t="s">
        <v>1679</v>
      </c>
      <c r="Q16" s="3662">
        <v>4043344590</v>
      </c>
      <c r="R16" s="3663"/>
      <c r="S16" s="3664"/>
    </row>
    <row r="17" spans="3:19" s="293" customFormat="1" ht="11.25" customHeight="1">
      <c r="D17" s="295"/>
      <c r="E17" s="2348" t="s">
        <v>1754</v>
      </c>
      <c r="H17" s="3611" t="s">
        <v>828</v>
      </c>
      <c r="K17" s="1007" t="s">
        <v>2172</v>
      </c>
      <c r="L17" s="3530">
        <v>303392063</v>
      </c>
      <c r="M17" s="3715"/>
      <c r="O17" s="2346" t="s">
        <v>1931</v>
      </c>
      <c r="Q17" s="3662">
        <v>7703630414</v>
      </c>
      <c r="R17" s="3663"/>
      <c r="S17" s="3664"/>
    </row>
    <row r="18" spans="3:19" s="293" customFormat="1" ht="11.25" customHeight="1">
      <c r="D18" s="331"/>
      <c r="E18" s="2348" t="s">
        <v>3895</v>
      </c>
      <c r="H18" s="3706">
        <v>4043344590</v>
      </c>
      <c r="I18" s="3716"/>
      <c r="J18" s="3717"/>
      <c r="K18" s="2357" t="s">
        <v>1936</v>
      </c>
      <c r="L18" s="3709" t="s">
        <v>7139</v>
      </c>
      <c r="M18" s="3710"/>
      <c r="N18" s="3710"/>
      <c r="O18" s="3711"/>
      <c r="P18" s="3711"/>
      <c r="Q18" s="3710"/>
      <c r="R18" s="3710"/>
      <c r="S18" s="3712"/>
    </row>
    <row r="19" spans="3:19" ht="4.3499999999999996" customHeight="1">
      <c r="D19" s="319"/>
      <c r="H19" s="3718"/>
      <c r="I19" s="3718"/>
      <c r="J19" s="3718"/>
      <c r="K19" s="2357"/>
      <c r="L19" s="3718"/>
      <c r="M19" s="3718"/>
      <c r="N19" s="2345"/>
      <c r="O19" s="3719"/>
      <c r="P19" s="3719"/>
      <c r="Q19" s="2357"/>
      <c r="R19" s="3719"/>
      <c r="S19" s="3719"/>
    </row>
    <row r="20" spans="3:19" s="293" customFormat="1" ht="11.25" customHeight="1">
      <c r="D20" s="295" t="s">
        <v>2066</v>
      </c>
      <c r="E20" s="293" t="s">
        <v>1810</v>
      </c>
      <c r="F20" s="2356"/>
      <c r="H20" s="3695"/>
      <c r="I20" s="3696"/>
      <c r="J20" s="3696"/>
      <c r="K20" s="3696"/>
      <c r="L20" s="3696"/>
      <c r="M20" s="3696"/>
      <c r="N20" s="3697"/>
      <c r="O20" s="2346" t="s">
        <v>1941</v>
      </c>
      <c r="P20" s="2346"/>
      <c r="Q20" s="3695"/>
      <c r="R20" s="3696"/>
      <c r="S20" s="3697"/>
    </row>
    <row r="21" spans="3:19" s="293" customFormat="1" ht="11.25" customHeight="1">
      <c r="D21" s="331"/>
      <c r="E21" s="2348" t="s">
        <v>999</v>
      </c>
      <c r="F21" s="305"/>
      <c r="H21" s="3509"/>
      <c r="I21" s="3698"/>
      <c r="J21" s="3698"/>
      <c r="K21" s="3699"/>
      <c r="L21" s="3698"/>
      <c r="M21" s="3698"/>
      <c r="N21" s="3700"/>
      <c r="O21" s="2346" t="s">
        <v>1704</v>
      </c>
      <c r="Q21" s="3543"/>
      <c r="R21" s="3609"/>
      <c r="S21" s="3610"/>
    </row>
    <row r="22" spans="3:19" s="293" customFormat="1" ht="11.25" customHeight="1">
      <c r="D22" s="331"/>
      <c r="E22" s="2348" t="s">
        <v>600</v>
      </c>
      <c r="H22" s="3509"/>
      <c r="I22" s="3699"/>
      <c r="J22" s="3613"/>
      <c r="K22" s="2351" t="s">
        <v>2624</v>
      </c>
      <c r="L22" s="3509"/>
      <c r="M22" s="3698"/>
      <c r="N22" s="3613"/>
      <c r="O22" s="2346" t="s">
        <v>1679</v>
      </c>
      <c r="Q22" s="3662"/>
      <c r="R22" s="3663"/>
      <c r="S22" s="3664"/>
    </row>
    <row r="23" spans="3:19" s="293" customFormat="1" ht="11.25" customHeight="1">
      <c r="E23" s="2348" t="s">
        <v>1754</v>
      </c>
      <c r="H23" s="3611"/>
      <c r="K23" s="1007" t="s">
        <v>2172</v>
      </c>
      <c r="L23" s="3530"/>
      <c r="M23" s="3715"/>
      <c r="O23" s="2346" t="s">
        <v>1931</v>
      </c>
      <c r="Q23" s="3662"/>
      <c r="R23" s="3663"/>
      <c r="S23" s="3664"/>
    </row>
    <row r="24" spans="3:19" s="293" customFormat="1" ht="11.25" customHeight="1">
      <c r="D24" s="331"/>
      <c r="E24" s="2348" t="s">
        <v>3895</v>
      </c>
      <c r="H24" s="3706"/>
      <c r="I24" s="3716"/>
      <c r="J24" s="3717"/>
      <c r="K24" s="2357" t="s">
        <v>1936</v>
      </c>
      <c r="L24" s="3665"/>
      <c r="M24" s="3624"/>
      <c r="N24" s="3490"/>
      <c r="O24" s="3490"/>
      <c r="P24" s="3490"/>
      <c r="Q24" s="3624"/>
      <c r="R24" s="3624"/>
      <c r="S24" s="3625"/>
    </row>
    <row r="25" spans="3:19" s="293" customFormat="1" ht="4.3499999999999996" customHeight="1">
      <c r="D25" s="331"/>
      <c r="E25" s="2356"/>
      <c r="F25" s="2356"/>
      <c r="G25" s="2346"/>
      <c r="H25" s="3718"/>
      <c r="I25" s="3718"/>
      <c r="J25" s="3718"/>
      <c r="K25" s="2357"/>
      <c r="L25" s="3718"/>
      <c r="M25" s="3718"/>
      <c r="N25" s="2345"/>
      <c r="O25" s="3719"/>
      <c r="P25" s="3719"/>
      <c r="Q25" s="2357"/>
      <c r="R25" s="3719"/>
      <c r="S25" s="3719"/>
    </row>
    <row r="26" spans="3:19" s="293" customFormat="1" ht="11.25" customHeight="1">
      <c r="D26" s="295" t="s">
        <v>1691</v>
      </c>
      <c r="E26" s="293" t="s">
        <v>1810</v>
      </c>
      <c r="F26" s="2356"/>
      <c r="H26" s="3695"/>
      <c r="I26" s="3696"/>
      <c r="J26" s="3696"/>
      <c r="K26" s="3696"/>
      <c r="L26" s="3696"/>
      <c r="M26" s="3696"/>
      <c r="N26" s="3697"/>
      <c r="O26" s="2346" t="s">
        <v>1941</v>
      </c>
      <c r="P26" s="2346"/>
      <c r="Q26" s="3695"/>
      <c r="R26" s="3696"/>
      <c r="S26" s="3697"/>
    </row>
    <row r="27" spans="3:19" s="293" customFormat="1" ht="11.25" customHeight="1">
      <c r="D27" s="331"/>
      <c r="E27" s="2348" t="s">
        <v>999</v>
      </c>
      <c r="F27" s="305"/>
      <c r="H27" s="3509"/>
      <c r="I27" s="3698"/>
      <c r="J27" s="3698"/>
      <c r="K27" s="3699"/>
      <c r="L27" s="3698"/>
      <c r="M27" s="3698"/>
      <c r="N27" s="3700"/>
      <c r="O27" s="2346" t="s">
        <v>1704</v>
      </c>
      <c r="Q27" s="3543"/>
      <c r="R27" s="3609"/>
      <c r="S27" s="3610"/>
    </row>
    <row r="28" spans="3:19" s="293" customFormat="1" ht="11.25" customHeight="1">
      <c r="D28" s="331"/>
      <c r="E28" s="2348" t="s">
        <v>600</v>
      </c>
      <c r="H28" s="3509"/>
      <c r="I28" s="3699"/>
      <c r="J28" s="3613"/>
      <c r="K28" s="2351" t="s">
        <v>2624</v>
      </c>
      <c r="L28" s="3509"/>
      <c r="M28" s="3698"/>
      <c r="N28" s="3613"/>
      <c r="O28" s="2346" t="s">
        <v>1679</v>
      </c>
      <c r="Q28" s="3662"/>
      <c r="R28" s="3663"/>
      <c r="S28" s="3664"/>
    </row>
    <row r="29" spans="3:19" s="293" customFormat="1" ht="11.25" customHeight="1">
      <c r="E29" s="2348" t="s">
        <v>1754</v>
      </c>
      <c r="H29" s="3611"/>
      <c r="K29" s="1007" t="s">
        <v>2172</v>
      </c>
      <c r="L29" s="3530"/>
      <c r="M29" s="3715"/>
      <c r="O29" s="2346" t="s">
        <v>1931</v>
      </c>
      <c r="Q29" s="3662"/>
      <c r="R29" s="3663"/>
      <c r="S29" s="3664"/>
    </row>
    <row r="30" spans="3:19" s="293" customFormat="1" ht="11.25" customHeight="1">
      <c r="D30" s="331"/>
      <c r="E30" s="2348" t="s">
        <v>3895</v>
      </c>
      <c r="H30" s="3706"/>
      <c r="I30" s="3716"/>
      <c r="J30" s="3717"/>
      <c r="K30" s="2357" t="s">
        <v>1936</v>
      </c>
      <c r="L30" s="3665"/>
      <c r="M30" s="3624"/>
      <c r="N30" s="3490"/>
      <c r="O30" s="3490"/>
      <c r="P30" s="3490"/>
      <c r="Q30" s="3624"/>
      <c r="R30" s="3624"/>
      <c r="S30" s="3625"/>
    </row>
    <row r="31" spans="3:19" ht="4.3499999999999996" customHeight="1"/>
    <row r="32" spans="3:19" s="293" customFormat="1" ht="11.25" customHeight="1">
      <c r="C32" s="333" t="s">
        <v>1940</v>
      </c>
      <c r="D32" s="330" t="s">
        <v>1812</v>
      </c>
      <c r="H32" s="2356"/>
      <c r="I32" s="2356"/>
      <c r="J32" s="2356"/>
      <c r="K32" s="1194" t="s">
        <v>3894</v>
      </c>
      <c r="L32" s="2356"/>
      <c r="M32" s="2356"/>
    </row>
    <row r="33" spans="3:19" s="293" customFormat="1" ht="11.25" customHeight="1">
      <c r="D33" s="295" t="s">
        <v>2065</v>
      </c>
      <c r="E33" s="293" t="s">
        <v>732</v>
      </c>
      <c r="H33" s="3720" t="s">
        <v>7006</v>
      </c>
      <c r="I33" s="3721"/>
      <c r="J33" s="3721"/>
      <c r="K33" s="3721"/>
      <c r="L33" s="3721"/>
      <c r="M33" s="3721"/>
      <c r="N33" s="3722"/>
      <c r="O33" s="2346" t="s">
        <v>1941</v>
      </c>
      <c r="P33" s="2346"/>
      <c r="Q33" s="3695" t="s">
        <v>7011</v>
      </c>
      <c r="R33" s="3696"/>
      <c r="S33" s="3697"/>
    </row>
    <row r="34" spans="3:19" s="293" customFormat="1" ht="11.25" customHeight="1">
      <c r="D34" s="331"/>
      <c r="E34" s="2348" t="s">
        <v>999</v>
      </c>
      <c r="F34" s="305"/>
      <c r="H34" s="3509" t="s">
        <v>7008</v>
      </c>
      <c r="I34" s="3698"/>
      <c r="J34" s="3698"/>
      <c r="K34" s="3699"/>
      <c r="L34" s="3698"/>
      <c r="M34" s="3698"/>
      <c r="N34" s="3700"/>
      <c r="O34" s="2346" t="s">
        <v>1704</v>
      </c>
      <c r="Q34" s="3543" t="s">
        <v>7012</v>
      </c>
      <c r="R34" s="3609"/>
      <c r="S34" s="3610"/>
    </row>
    <row r="35" spans="3:19" s="293" customFormat="1" ht="11.25" customHeight="1">
      <c r="D35" s="331"/>
      <c r="E35" s="2348" t="s">
        <v>600</v>
      </c>
      <c r="H35" s="3509" t="s">
        <v>2461</v>
      </c>
      <c r="I35" s="3699"/>
      <c r="J35" s="3613"/>
      <c r="K35" s="2351" t="s">
        <v>2624</v>
      </c>
      <c r="L35" s="3509" t="s">
        <v>7010</v>
      </c>
      <c r="M35" s="3698"/>
      <c r="N35" s="3613"/>
      <c r="O35" s="2346" t="s">
        <v>1679</v>
      </c>
      <c r="Q35" s="3662">
        <v>5734432021</v>
      </c>
      <c r="R35" s="3663"/>
      <c r="S35" s="3664"/>
    </row>
    <row r="36" spans="3:19" s="293" customFormat="1" ht="11.25" customHeight="1">
      <c r="E36" s="2348" t="s">
        <v>1754</v>
      </c>
      <c r="H36" s="3611" t="s">
        <v>1314</v>
      </c>
      <c r="K36" s="1007" t="s">
        <v>2172</v>
      </c>
      <c r="L36" s="3530">
        <v>652034905</v>
      </c>
      <c r="M36" s="3715"/>
      <c r="O36" s="2346" t="s">
        <v>1931</v>
      </c>
      <c r="Q36" s="3662">
        <v>5734248811</v>
      </c>
      <c r="R36" s="3663"/>
      <c r="S36" s="3664"/>
    </row>
    <row r="37" spans="3:19" s="293" customFormat="1" ht="11.25" customHeight="1">
      <c r="D37" s="331"/>
      <c r="E37" s="2348" t="s">
        <v>3895</v>
      </c>
      <c r="H37" s="3706">
        <v>5734432021</v>
      </c>
      <c r="I37" s="3716"/>
      <c r="J37" s="3717"/>
      <c r="K37" s="2357" t="s">
        <v>1936</v>
      </c>
      <c r="L37" s="3723" t="s">
        <v>7007</v>
      </c>
      <c r="M37" s="3724"/>
      <c r="N37" s="3725"/>
      <c r="O37" s="3725"/>
      <c r="P37" s="3725"/>
      <c r="Q37" s="3724"/>
      <c r="R37" s="3724"/>
      <c r="S37" s="3726"/>
    </row>
    <row r="38" spans="3:19" ht="4.3499999999999996" customHeight="1">
      <c r="H38" s="3718"/>
      <c r="I38" s="3718"/>
      <c r="J38" s="3718"/>
      <c r="K38" s="2357"/>
      <c r="L38" s="3718"/>
      <c r="M38" s="3718"/>
      <c r="N38" s="2345"/>
      <c r="O38" s="3719"/>
      <c r="P38" s="3719"/>
      <c r="Q38" s="2357"/>
      <c r="R38" s="3719"/>
      <c r="S38" s="3719"/>
    </row>
    <row r="39" spans="3:19" s="293" customFormat="1" ht="11.25" customHeight="1">
      <c r="D39" s="295" t="s">
        <v>2066</v>
      </c>
      <c r="E39" s="293" t="s">
        <v>733</v>
      </c>
      <c r="F39" s="295"/>
      <c r="H39" s="3727" t="s">
        <v>7006</v>
      </c>
      <c r="I39" s="3728"/>
      <c r="J39" s="3728"/>
      <c r="K39" s="3728"/>
      <c r="L39" s="3728"/>
      <c r="M39" s="3728"/>
      <c r="N39" s="3729"/>
      <c r="O39" s="2346" t="s">
        <v>1941</v>
      </c>
      <c r="P39" s="2346"/>
      <c r="Q39" s="3695" t="s">
        <v>7011</v>
      </c>
      <c r="R39" s="3696"/>
      <c r="S39" s="3697"/>
    </row>
    <row r="40" spans="3:19" s="293" customFormat="1" ht="11.25" customHeight="1">
      <c r="D40" s="331"/>
      <c r="E40" s="2348" t="s">
        <v>999</v>
      </c>
      <c r="F40" s="305"/>
      <c r="H40" s="3509" t="s">
        <v>7009</v>
      </c>
      <c r="I40" s="3698"/>
      <c r="J40" s="3698"/>
      <c r="K40" s="3699"/>
      <c r="L40" s="3698"/>
      <c r="M40" s="3698"/>
      <c r="N40" s="3700"/>
      <c r="O40" s="2346" t="s">
        <v>1704</v>
      </c>
      <c r="Q40" s="3543" t="s">
        <v>7012</v>
      </c>
      <c r="R40" s="3609"/>
      <c r="S40" s="3610"/>
    </row>
    <row r="41" spans="3:19" s="293" customFormat="1" ht="11.25" customHeight="1">
      <c r="D41" s="331"/>
      <c r="E41" s="2348" t="s">
        <v>600</v>
      </c>
      <c r="H41" s="3509" t="s">
        <v>2461</v>
      </c>
      <c r="I41" s="3699"/>
      <c r="J41" s="3613"/>
      <c r="K41" s="2351" t="s">
        <v>2624</v>
      </c>
      <c r="L41" s="3509" t="s">
        <v>7010</v>
      </c>
      <c r="M41" s="3698"/>
      <c r="N41" s="3613"/>
      <c r="O41" s="2346" t="s">
        <v>1679</v>
      </c>
      <c r="Q41" s="3662">
        <v>5734432021</v>
      </c>
      <c r="R41" s="3663"/>
      <c r="S41" s="3664"/>
    </row>
    <row r="42" spans="3:19" s="293" customFormat="1" ht="11.25" customHeight="1">
      <c r="D42" s="295"/>
      <c r="E42" s="2348" t="s">
        <v>1754</v>
      </c>
      <c r="H42" s="3611" t="s">
        <v>1314</v>
      </c>
      <c r="K42" s="1007" t="s">
        <v>2172</v>
      </c>
      <c r="L42" s="3530">
        <v>652034905</v>
      </c>
      <c r="M42" s="3715"/>
      <c r="O42" s="2346" t="s">
        <v>1931</v>
      </c>
      <c r="Q42" s="3662">
        <v>5734248811</v>
      </c>
      <c r="R42" s="3663"/>
      <c r="S42" s="3664"/>
    </row>
    <row r="43" spans="3:19" s="293" customFormat="1" ht="11.25" customHeight="1">
      <c r="D43" s="331"/>
      <c r="E43" s="2348" t="s">
        <v>3895</v>
      </c>
      <c r="H43" s="3706">
        <v>5734432021</v>
      </c>
      <c r="I43" s="3716"/>
      <c r="J43" s="3717"/>
      <c r="K43" s="2357" t="s">
        <v>1936</v>
      </c>
      <c r="L43" s="3665" t="s">
        <v>7007</v>
      </c>
      <c r="M43" s="3624"/>
      <c r="N43" s="3490"/>
      <c r="O43" s="3490"/>
      <c r="P43" s="3490"/>
      <c r="Q43" s="3624"/>
      <c r="R43" s="3624"/>
      <c r="S43" s="3625"/>
    </row>
    <row r="44" spans="3:19" s="293" customFormat="1" ht="4.3499999999999996" customHeight="1">
      <c r="D44" s="331"/>
      <c r="E44" s="2348"/>
      <c r="F44" s="295"/>
      <c r="H44" s="326"/>
      <c r="I44" s="326"/>
      <c r="J44" s="3730"/>
      <c r="K44" s="2357"/>
      <c r="L44" s="326"/>
      <c r="M44" s="326"/>
      <c r="N44" s="2357"/>
      <c r="O44" s="326"/>
      <c r="P44" s="326"/>
      <c r="Q44" s="2357"/>
      <c r="R44" s="326"/>
      <c r="S44" s="326"/>
    </row>
    <row r="45" spans="3:19" s="293" customFormat="1" ht="11.25" customHeight="1">
      <c r="C45" s="334" t="s">
        <v>2467</v>
      </c>
      <c r="D45" s="330" t="s">
        <v>633</v>
      </c>
      <c r="H45" s="2356"/>
      <c r="I45" s="2356"/>
      <c r="J45" s="2356"/>
      <c r="K45" s="1194" t="s">
        <v>3894</v>
      </c>
      <c r="L45" s="2356"/>
      <c r="M45" s="2356"/>
    </row>
    <row r="46" spans="3:19" s="293" customFormat="1" ht="11.25" customHeight="1">
      <c r="E46" s="293" t="s">
        <v>90</v>
      </c>
      <c r="H46" s="3695"/>
      <c r="I46" s="3696"/>
      <c r="J46" s="3696"/>
      <c r="K46" s="3696"/>
      <c r="L46" s="3696"/>
      <c r="M46" s="3696"/>
      <c r="N46" s="3697"/>
      <c r="O46" s="2346" t="s">
        <v>1941</v>
      </c>
      <c r="P46" s="2346"/>
      <c r="Q46" s="3695"/>
      <c r="R46" s="3696"/>
      <c r="S46" s="3697"/>
    </row>
    <row r="47" spans="3:19" s="293" customFormat="1" ht="11.25" customHeight="1">
      <c r="D47" s="331"/>
      <c r="E47" s="2348" t="s">
        <v>999</v>
      </c>
      <c r="F47" s="305"/>
      <c r="H47" s="3509"/>
      <c r="I47" s="3698"/>
      <c r="J47" s="3698"/>
      <c r="K47" s="3699"/>
      <c r="L47" s="3698"/>
      <c r="M47" s="3698"/>
      <c r="N47" s="3700"/>
      <c r="O47" s="2346" t="s">
        <v>1704</v>
      </c>
      <c r="Q47" s="3543"/>
      <c r="R47" s="3609"/>
      <c r="S47" s="3610"/>
    </row>
    <row r="48" spans="3:19" s="293" customFormat="1" ht="11.25" customHeight="1">
      <c r="D48" s="331"/>
      <c r="E48" s="2348" t="s">
        <v>600</v>
      </c>
      <c r="H48" s="3509"/>
      <c r="I48" s="3699"/>
      <c r="J48" s="3613"/>
      <c r="K48" s="2351" t="s">
        <v>2624</v>
      </c>
      <c r="L48" s="3509"/>
      <c r="M48" s="3698"/>
      <c r="N48" s="3613"/>
      <c r="O48" s="2346" t="s">
        <v>1679</v>
      </c>
      <c r="Q48" s="3662"/>
      <c r="R48" s="3663"/>
      <c r="S48" s="3664"/>
    </row>
    <row r="49" spans="1:19" s="293" customFormat="1" ht="11.25" customHeight="1">
      <c r="E49" s="2348" t="s">
        <v>1754</v>
      </c>
      <c r="H49" s="3611"/>
      <c r="K49" s="1007" t="s">
        <v>2172</v>
      </c>
      <c r="L49" s="3530"/>
      <c r="M49" s="3715"/>
      <c r="O49" s="2346" t="s">
        <v>1931</v>
      </c>
      <c r="Q49" s="3662"/>
      <c r="R49" s="3663"/>
      <c r="S49" s="3664"/>
    </row>
    <row r="50" spans="1:19" s="293" customFormat="1" ht="11.25" customHeight="1">
      <c r="D50" s="331"/>
      <c r="E50" s="2348" t="s">
        <v>3895</v>
      </c>
      <c r="H50" s="3706"/>
      <c r="I50" s="3716"/>
      <c r="J50" s="3717"/>
      <c r="K50" s="2357" t="s">
        <v>1936</v>
      </c>
      <c r="L50" s="3665"/>
      <c r="M50" s="3624"/>
      <c r="N50" s="3490"/>
      <c r="O50" s="3490"/>
      <c r="P50" s="3490"/>
      <c r="Q50" s="3624"/>
      <c r="R50" s="3624"/>
      <c r="S50" s="3625"/>
    </row>
    <row r="51" spans="1:19" ht="6.75" customHeight="1"/>
    <row r="52" spans="1:19" s="293" customFormat="1" ht="13.35" customHeight="1">
      <c r="A52" s="295" t="s">
        <v>722</v>
      </c>
      <c r="B52" s="295" t="s">
        <v>634</v>
      </c>
      <c r="F52" s="295"/>
      <c r="G52" s="2357"/>
      <c r="H52" s="2357"/>
      <c r="I52" s="2357"/>
      <c r="J52" s="2356"/>
      <c r="K52" s="1194" t="s">
        <v>3894</v>
      </c>
      <c r="L52" s="2356"/>
      <c r="M52" s="2356"/>
      <c r="N52" s="2356"/>
      <c r="O52" s="2356"/>
      <c r="P52" s="2356"/>
      <c r="Q52" s="2356"/>
      <c r="R52" s="2356"/>
      <c r="S52" s="2356"/>
    </row>
    <row r="53" spans="1:19" s="293" customFormat="1" ht="3" customHeight="1">
      <c r="A53" s="295"/>
      <c r="B53" s="295"/>
      <c r="F53" s="295"/>
      <c r="G53" s="2357"/>
      <c r="H53" s="3731"/>
      <c r="I53" s="3731"/>
      <c r="J53" s="3731"/>
      <c r="K53" s="2345"/>
      <c r="L53" s="3731"/>
      <c r="M53" s="3731"/>
      <c r="N53" s="2345"/>
      <c r="O53" s="3719"/>
      <c r="P53" s="3719"/>
      <c r="Q53" s="2357"/>
      <c r="R53" s="3719"/>
      <c r="S53" s="3719"/>
    </row>
    <row r="54" spans="1:19" s="293" customFormat="1" ht="11.25" customHeight="1">
      <c r="B54" s="295" t="s">
        <v>1935</v>
      </c>
      <c r="C54" s="295" t="s">
        <v>277</v>
      </c>
      <c r="H54" s="3695" t="s">
        <v>7013</v>
      </c>
      <c r="I54" s="3696"/>
      <c r="J54" s="3696"/>
      <c r="K54" s="3696"/>
      <c r="L54" s="3696"/>
      <c r="M54" s="3696"/>
      <c r="N54" s="3697"/>
      <c r="O54" s="2346" t="s">
        <v>1941</v>
      </c>
      <c r="P54" s="2346"/>
      <c r="Q54" s="3695" t="s">
        <v>6989</v>
      </c>
      <c r="R54" s="3696"/>
      <c r="S54" s="3697"/>
    </row>
    <row r="55" spans="1:19" s="293" customFormat="1" ht="11.25" customHeight="1">
      <c r="D55" s="331"/>
      <c r="E55" s="2348" t="s">
        <v>999</v>
      </c>
      <c r="F55" s="305"/>
      <c r="H55" s="3509" t="s">
        <v>7014</v>
      </c>
      <c r="I55" s="3698"/>
      <c r="J55" s="3698"/>
      <c r="K55" s="3699"/>
      <c r="L55" s="3698"/>
      <c r="M55" s="3698"/>
      <c r="N55" s="3700"/>
      <c r="O55" s="2346" t="s">
        <v>1704</v>
      </c>
      <c r="Q55" s="3543" t="s">
        <v>7004</v>
      </c>
      <c r="R55" s="3609"/>
      <c r="S55" s="3610"/>
    </row>
    <row r="56" spans="1:19" s="293" customFormat="1" ht="11.25" customHeight="1">
      <c r="D56" s="331"/>
      <c r="E56" s="2348" t="s">
        <v>600</v>
      </c>
      <c r="H56" s="3509" t="s">
        <v>1179</v>
      </c>
      <c r="I56" s="3699"/>
      <c r="J56" s="3613"/>
      <c r="K56" s="2351" t="s">
        <v>2624</v>
      </c>
      <c r="L56" s="3509"/>
      <c r="M56" s="3698"/>
      <c r="N56" s="3613"/>
      <c r="O56" s="2346" t="s">
        <v>1679</v>
      </c>
      <c r="Q56" s="3662">
        <v>4043344590</v>
      </c>
      <c r="R56" s="3663"/>
      <c r="S56" s="3664"/>
    </row>
    <row r="57" spans="1:19" s="293" customFormat="1" ht="11.25" customHeight="1">
      <c r="E57" s="2348" t="s">
        <v>1754</v>
      </c>
      <c r="H57" s="3611" t="s">
        <v>828</v>
      </c>
      <c r="K57" s="1007" t="s">
        <v>2172</v>
      </c>
      <c r="L57" s="3530">
        <v>303392063</v>
      </c>
      <c r="M57" s="3715"/>
      <c r="O57" s="2346" t="s">
        <v>1931</v>
      </c>
      <c r="Q57" s="3662">
        <v>7703630414</v>
      </c>
      <c r="R57" s="3663"/>
      <c r="S57" s="3664"/>
    </row>
    <row r="58" spans="1:19" s="293" customFormat="1" ht="11.25" customHeight="1">
      <c r="D58" s="331"/>
      <c r="E58" s="2348" t="s">
        <v>3895</v>
      </c>
      <c r="H58" s="3706">
        <v>4043344590</v>
      </c>
      <c r="I58" s="3716"/>
      <c r="J58" s="3717"/>
      <c r="K58" s="2357" t="s">
        <v>1936</v>
      </c>
      <c r="L58" s="3709" t="s">
        <v>6988</v>
      </c>
      <c r="M58" s="3710"/>
      <c r="N58" s="3710"/>
      <c r="O58" s="3711"/>
      <c r="P58" s="3711"/>
      <c r="Q58" s="3710"/>
      <c r="R58" s="3710"/>
      <c r="S58" s="3712"/>
    </row>
    <row r="59" spans="1:19" s="293" customFormat="1" ht="6.6" customHeight="1">
      <c r="D59" s="331"/>
      <c r="E59" s="2356"/>
      <c r="F59" s="2356"/>
      <c r="G59" s="2346"/>
      <c r="H59" s="3718"/>
      <c r="I59" s="3718"/>
      <c r="J59" s="3718"/>
      <c r="K59" s="2357"/>
      <c r="L59" s="3718"/>
      <c r="M59" s="3718"/>
      <c r="N59" s="2345"/>
      <c r="O59" s="3719"/>
      <c r="P59" s="3719"/>
      <c r="Q59" s="2357"/>
      <c r="R59" s="3719"/>
      <c r="S59" s="3719"/>
    </row>
    <row r="60" spans="1:19" s="293" customFormat="1" ht="11.25" customHeight="1">
      <c r="B60" s="295" t="s">
        <v>1937</v>
      </c>
      <c r="C60" s="295" t="s">
        <v>278</v>
      </c>
      <c r="H60" s="3695"/>
      <c r="I60" s="3696"/>
      <c r="J60" s="3696"/>
      <c r="K60" s="3696"/>
      <c r="L60" s="3696"/>
      <c r="M60" s="3696"/>
      <c r="N60" s="3697"/>
      <c r="O60" s="2346" t="s">
        <v>1941</v>
      </c>
      <c r="P60" s="2346"/>
      <c r="Q60" s="3695"/>
      <c r="R60" s="3696"/>
      <c r="S60" s="3697"/>
    </row>
    <row r="61" spans="1:19" s="293" customFormat="1" ht="11.25" customHeight="1">
      <c r="D61" s="331"/>
      <c r="E61" s="2348" t="s">
        <v>999</v>
      </c>
      <c r="F61" s="305"/>
      <c r="H61" s="3509"/>
      <c r="I61" s="3698"/>
      <c r="J61" s="3698"/>
      <c r="K61" s="3699"/>
      <c r="L61" s="3698"/>
      <c r="M61" s="3698"/>
      <c r="N61" s="3700"/>
      <c r="O61" s="2346" t="s">
        <v>1704</v>
      </c>
      <c r="Q61" s="3543"/>
      <c r="R61" s="3609"/>
      <c r="S61" s="3610"/>
    </row>
    <row r="62" spans="1:19" s="293" customFormat="1" ht="11.25" customHeight="1">
      <c r="D62" s="331"/>
      <c r="E62" s="2348" t="s">
        <v>600</v>
      </c>
      <c r="H62" s="3509"/>
      <c r="I62" s="3699"/>
      <c r="J62" s="3613"/>
      <c r="K62" s="2351" t="s">
        <v>2624</v>
      </c>
      <c r="L62" s="3509"/>
      <c r="M62" s="3698"/>
      <c r="N62" s="3613"/>
      <c r="O62" s="2346" t="s">
        <v>1679</v>
      </c>
      <c r="Q62" s="3662"/>
      <c r="R62" s="3663"/>
      <c r="S62" s="3664"/>
    </row>
    <row r="63" spans="1:19" s="293" customFormat="1" ht="11.25" customHeight="1">
      <c r="E63" s="2348" t="s">
        <v>1754</v>
      </c>
      <c r="H63" s="3611"/>
      <c r="K63" s="1007" t="s">
        <v>2172</v>
      </c>
      <c r="L63" s="3530"/>
      <c r="M63" s="3715"/>
      <c r="O63" s="2346" t="s">
        <v>1931</v>
      </c>
      <c r="Q63" s="3662"/>
      <c r="R63" s="3663"/>
      <c r="S63" s="3664"/>
    </row>
    <row r="64" spans="1:19" s="293" customFormat="1" ht="11.25" customHeight="1">
      <c r="D64" s="331"/>
      <c r="E64" s="2348" t="s">
        <v>3895</v>
      </c>
      <c r="H64" s="3706"/>
      <c r="I64" s="3716"/>
      <c r="J64" s="3717"/>
      <c r="K64" s="2357" t="s">
        <v>1936</v>
      </c>
      <c r="L64" s="3665"/>
      <c r="M64" s="3624"/>
      <c r="N64" s="3490"/>
      <c r="O64" s="3490"/>
      <c r="P64" s="3490"/>
      <c r="Q64" s="3624"/>
      <c r="R64" s="3624"/>
      <c r="S64" s="3625"/>
    </row>
    <row r="65" spans="1:19" s="293" customFormat="1" ht="6.6" customHeight="1">
      <c r="D65" s="331"/>
      <c r="E65" s="2356"/>
      <c r="F65" s="2356"/>
      <c r="G65" s="2346"/>
      <c r="H65" s="3718"/>
      <c r="I65" s="3718"/>
      <c r="J65" s="3718"/>
      <c r="K65" s="2357"/>
      <c r="L65" s="3718"/>
      <c r="M65" s="3718"/>
      <c r="N65" s="2345"/>
      <c r="O65" s="3719"/>
      <c r="P65" s="3719"/>
      <c r="Q65" s="2357"/>
      <c r="R65" s="3719"/>
      <c r="S65" s="3719"/>
    </row>
    <row r="66" spans="1:19" s="293" customFormat="1" ht="11.25" customHeight="1">
      <c r="B66" s="295" t="s">
        <v>731</v>
      </c>
      <c r="C66" s="295" t="s">
        <v>1496</v>
      </c>
      <c r="H66" s="3695"/>
      <c r="I66" s="3696"/>
      <c r="J66" s="3696"/>
      <c r="K66" s="3696"/>
      <c r="L66" s="3696"/>
      <c r="M66" s="3696"/>
      <c r="N66" s="3697"/>
      <c r="O66" s="2346" t="s">
        <v>1941</v>
      </c>
      <c r="P66" s="2346"/>
      <c r="Q66" s="3695"/>
      <c r="R66" s="3696"/>
      <c r="S66" s="3697"/>
    </row>
    <row r="67" spans="1:19" s="293" customFormat="1" ht="11.25" customHeight="1">
      <c r="D67" s="331"/>
      <c r="E67" s="2348" t="s">
        <v>999</v>
      </c>
      <c r="F67" s="305"/>
      <c r="H67" s="3509"/>
      <c r="I67" s="3698"/>
      <c r="J67" s="3698"/>
      <c r="K67" s="3699"/>
      <c r="L67" s="3698"/>
      <c r="M67" s="3698"/>
      <c r="N67" s="3700"/>
      <c r="O67" s="2346" t="s">
        <v>1704</v>
      </c>
      <c r="Q67" s="3543"/>
      <c r="R67" s="3609"/>
      <c r="S67" s="3610"/>
    </row>
    <row r="68" spans="1:19" s="293" customFormat="1" ht="11.25" customHeight="1">
      <c r="D68" s="331"/>
      <c r="E68" s="2348" t="s">
        <v>600</v>
      </c>
      <c r="H68" s="3509"/>
      <c r="I68" s="3699"/>
      <c r="J68" s="3613"/>
      <c r="K68" s="2351" t="s">
        <v>2624</v>
      </c>
      <c r="L68" s="3509"/>
      <c r="M68" s="3698"/>
      <c r="N68" s="3613"/>
      <c r="O68" s="2346" t="s">
        <v>1679</v>
      </c>
      <c r="Q68" s="3662"/>
      <c r="R68" s="3663"/>
      <c r="S68" s="3664"/>
    </row>
    <row r="69" spans="1:19" s="293" customFormat="1" ht="11.25" customHeight="1">
      <c r="E69" s="2348" t="s">
        <v>1754</v>
      </c>
      <c r="H69" s="3611"/>
      <c r="K69" s="1007" t="s">
        <v>2172</v>
      </c>
      <c r="L69" s="3530"/>
      <c r="M69" s="3715"/>
      <c r="O69" s="2346" t="s">
        <v>1931</v>
      </c>
      <c r="Q69" s="3662"/>
      <c r="R69" s="3663"/>
      <c r="S69" s="3664"/>
    </row>
    <row r="70" spans="1:19" s="293" customFormat="1" ht="11.25" customHeight="1">
      <c r="D70" s="331"/>
      <c r="E70" s="2348" t="s">
        <v>3895</v>
      </c>
      <c r="H70" s="3706"/>
      <c r="I70" s="3716"/>
      <c r="J70" s="3717"/>
      <c r="K70" s="2357" t="s">
        <v>1936</v>
      </c>
      <c r="L70" s="3665"/>
      <c r="M70" s="3624"/>
      <c r="N70" s="3490"/>
      <c r="O70" s="3490"/>
      <c r="P70" s="3490"/>
      <c r="Q70" s="3624"/>
      <c r="R70" s="3624"/>
      <c r="S70" s="3625"/>
    </row>
    <row r="71" spans="1:19" ht="6.6" customHeight="1">
      <c r="H71" s="3718"/>
      <c r="I71" s="3718"/>
      <c r="J71" s="3718"/>
      <c r="K71" s="2357"/>
      <c r="L71" s="3718"/>
      <c r="M71" s="3718"/>
      <c r="N71" s="2345"/>
      <c r="O71" s="3719"/>
      <c r="P71" s="3719"/>
      <c r="Q71" s="2357"/>
      <c r="R71" s="3719"/>
      <c r="S71" s="3719"/>
    </row>
    <row r="72" spans="1:19" s="293" customFormat="1" ht="11.25" customHeight="1">
      <c r="B72" s="295" t="s">
        <v>2064</v>
      </c>
      <c r="C72" s="295" t="s">
        <v>279</v>
      </c>
      <c r="H72" s="3695"/>
      <c r="I72" s="3696"/>
      <c r="J72" s="3696"/>
      <c r="K72" s="3696"/>
      <c r="L72" s="3696"/>
      <c r="M72" s="3696"/>
      <c r="N72" s="3697"/>
      <c r="O72" s="2346" t="s">
        <v>1941</v>
      </c>
      <c r="P72" s="2346"/>
      <c r="Q72" s="3695"/>
      <c r="R72" s="3696"/>
      <c r="S72" s="3697"/>
    </row>
    <row r="73" spans="1:19" s="293" customFormat="1" ht="11.25" customHeight="1">
      <c r="D73" s="331"/>
      <c r="E73" s="2348" t="s">
        <v>999</v>
      </c>
      <c r="F73" s="305"/>
      <c r="H73" s="3509"/>
      <c r="I73" s="3698"/>
      <c r="J73" s="3698"/>
      <c r="K73" s="3699"/>
      <c r="L73" s="3698"/>
      <c r="M73" s="3698"/>
      <c r="N73" s="3700"/>
      <c r="O73" s="2346" t="s">
        <v>1704</v>
      </c>
      <c r="Q73" s="3543"/>
      <c r="R73" s="3609"/>
      <c r="S73" s="3610"/>
    </row>
    <row r="74" spans="1:19" s="293" customFormat="1" ht="11.25" customHeight="1">
      <c r="D74" s="331"/>
      <c r="E74" s="2348" t="s">
        <v>600</v>
      </c>
      <c r="H74" s="3509"/>
      <c r="I74" s="3699"/>
      <c r="J74" s="3613"/>
      <c r="K74" s="2351" t="s">
        <v>2624</v>
      </c>
      <c r="L74" s="3509"/>
      <c r="M74" s="3698"/>
      <c r="N74" s="3613"/>
      <c r="O74" s="2346" t="s">
        <v>1679</v>
      </c>
      <c r="Q74" s="3662"/>
      <c r="R74" s="3663"/>
      <c r="S74" s="3664"/>
    </row>
    <row r="75" spans="1:19" s="293" customFormat="1" ht="11.25" customHeight="1">
      <c r="E75" s="2348" t="s">
        <v>1754</v>
      </c>
      <c r="H75" s="3611"/>
      <c r="K75" s="1007" t="s">
        <v>2172</v>
      </c>
      <c r="L75" s="3530"/>
      <c r="M75" s="3715"/>
      <c r="O75" s="2346" t="s">
        <v>1931</v>
      </c>
      <c r="Q75" s="3662"/>
      <c r="R75" s="3663"/>
      <c r="S75" s="3664"/>
    </row>
    <row r="76" spans="1:19" s="293" customFormat="1" ht="11.25" customHeight="1">
      <c r="D76" s="331"/>
      <c r="E76" s="2348" t="s">
        <v>3895</v>
      </c>
      <c r="H76" s="3706"/>
      <c r="I76" s="3716"/>
      <c r="J76" s="3717"/>
      <c r="K76" s="2357" t="s">
        <v>1936</v>
      </c>
      <c r="L76" s="3665"/>
      <c r="M76" s="3624"/>
      <c r="N76" s="3490"/>
      <c r="O76" s="3490"/>
      <c r="P76" s="3490"/>
      <c r="Q76" s="3624"/>
      <c r="R76" s="3624"/>
      <c r="S76" s="3625"/>
    </row>
    <row r="77" spans="1:19" ht="6.75" customHeight="1"/>
    <row r="78" spans="1:19" s="2348" customFormat="1" ht="13.35" customHeight="1">
      <c r="A78" s="298" t="s">
        <v>724</v>
      </c>
      <c r="B78" s="298" t="s">
        <v>280</v>
      </c>
      <c r="D78" s="298"/>
      <c r="E78" s="2346"/>
      <c r="F78" s="2350"/>
      <c r="G78" s="2350"/>
      <c r="H78" s="2350"/>
      <c r="I78" s="2350"/>
      <c r="J78" s="2350"/>
      <c r="K78" s="1194" t="s">
        <v>3894</v>
      </c>
      <c r="L78" s="2350"/>
      <c r="M78" s="2350"/>
    </row>
    <row r="79" spans="1:19" s="2348" customFormat="1" ht="3" customHeight="1">
      <c r="A79" s="298"/>
      <c r="B79" s="298"/>
      <c r="D79" s="298"/>
      <c r="E79" s="2346"/>
      <c r="F79" s="2350"/>
      <c r="G79" s="2350"/>
      <c r="H79" s="3731"/>
      <c r="I79" s="3731"/>
      <c r="J79" s="3731"/>
      <c r="K79" s="2345"/>
      <c r="L79" s="3731"/>
      <c r="M79" s="3731"/>
      <c r="N79" s="2345"/>
      <c r="O79" s="3719"/>
      <c r="P79" s="3719"/>
      <c r="Q79" s="2357"/>
      <c r="R79" s="3719"/>
      <c r="S79" s="3719"/>
    </row>
    <row r="80" spans="1:19" s="293" customFormat="1" ht="11.25" customHeight="1">
      <c r="B80" s="295" t="s">
        <v>1935</v>
      </c>
      <c r="C80" s="295" t="s">
        <v>281</v>
      </c>
      <c r="H80" s="3695"/>
      <c r="I80" s="3696"/>
      <c r="J80" s="3696"/>
      <c r="K80" s="3696"/>
      <c r="L80" s="3696"/>
      <c r="M80" s="3696"/>
      <c r="N80" s="3697"/>
      <c r="O80" s="2346" t="s">
        <v>1941</v>
      </c>
      <c r="P80" s="2346"/>
      <c r="Q80" s="3695"/>
      <c r="R80" s="3696"/>
      <c r="S80" s="3697"/>
    </row>
    <row r="81" spans="2:19" s="293" customFormat="1" ht="11.25" customHeight="1">
      <c r="D81" s="331"/>
      <c r="E81" s="2348" t="s">
        <v>999</v>
      </c>
      <c r="F81" s="305"/>
      <c r="H81" s="3509"/>
      <c r="I81" s="3698"/>
      <c r="J81" s="3698"/>
      <c r="K81" s="3699"/>
      <c r="L81" s="3698"/>
      <c r="M81" s="3698"/>
      <c r="N81" s="3700"/>
      <c r="O81" s="2346" t="s">
        <v>1704</v>
      </c>
      <c r="Q81" s="3543"/>
      <c r="R81" s="3609"/>
      <c r="S81" s="3610"/>
    </row>
    <row r="82" spans="2:19" s="293" customFormat="1" ht="11.25" customHeight="1">
      <c r="D82" s="331"/>
      <c r="E82" s="2348" t="s">
        <v>600</v>
      </c>
      <c r="H82" s="3509"/>
      <c r="I82" s="3699"/>
      <c r="J82" s="3613"/>
      <c r="K82" s="2351" t="s">
        <v>2624</v>
      </c>
      <c r="L82" s="3509"/>
      <c r="M82" s="3698"/>
      <c r="N82" s="3613"/>
      <c r="O82" s="2346" t="s">
        <v>1679</v>
      </c>
      <c r="Q82" s="3662"/>
      <c r="R82" s="3663"/>
      <c r="S82" s="3664"/>
    </row>
    <row r="83" spans="2:19" s="293" customFormat="1" ht="11.25" customHeight="1">
      <c r="E83" s="2348" t="s">
        <v>1754</v>
      </c>
      <c r="H83" s="3611"/>
      <c r="K83" s="1007" t="s">
        <v>2172</v>
      </c>
      <c r="L83" s="3530"/>
      <c r="M83" s="3715"/>
      <c r="O83" s="2346" t="s">
        <v>1931</v>
      </c>
      <c r="Q83" s="3662"/>
      <c r="R83" s="3663"/>
      <c r="S83" s="3664"/>
    </row>
    <row r="84" spans="2:19" s="293" customFormat="1" ht="11.25" customHeight="1">
      <c r="D84" s="331"/>
      <c r="E84" s="2348" t="s">
        <v>3895</v>
      </c>
      <c r="H84" s="3706"/>
      <c r="I84" s="3716"/>
      <c r="J84" s="3717"/>
      <c r="K84" s="2357" t="s">
        <v>1936</v>
      </c>
      <c r="L84" s="3665"/>
      <c r="M84" s="3624"/>
      <c r="N84" s="3490"/>
      <c r="O84" s="3490"/>
      <c r="P84" s="3490"/>
      <c r="Q84" s="3624"/>
      <c r="R84" s="3624"/>
      <c r="S84" s="3625"/>
    </row>
    <row r="85" spans="2:19" ht="6.6" customHeight="1">
      <c r="H85" s="3718"/>
      <c r="I85" s="3718"/>
      <c r="J85" s="3718"/>
      <c r="K85" s="2357"/>
      <c r="L85" s="3718"/>
      <c r="M85" s="3718"/>
      <c r="N85" s="2345"/>
      <c r="O85" s="3719"/>
      <c r="P85" s="3719"/>
      <c r="Q85" s="2357"/>
      <c r="R85" s="3719"/>
      <c r="S85" s="3719"/>
    </row>
    <row r="86" spans="2:19" s="293" customFormat="1" ht="11.25" customHeight="1">
      <c r="B86" s="295" t="s">
        <v>1937</v>
      </c>
      <c r="C86" s="295" t="s">
        <v>282</v>
      </c>
      <c r="H86" s="3695" t="s">
        <v>7015</v>
      </c>
      <c r="I86" s="3696"/>
      <c r="J86" s="3696"/>
      <c r="K86" s="3696"/>
      <c r="L86" s="3696"/>
      <c r="M86" s="3696"/>
      <c r="N86" s="3697"/>
      <c r="O86" s="2346" t="s">
        <v>1941</v>
      </c>
      <c r="P86" s="2346"/>
      <c r="Q86" s="3695" t="s">
        <v>7016</v>
      </c>
      <c r="R86" s="3696"/>
      <c r="S86" s="3697"/>
    </row>
    <row r="87" spans="2:19" s="293" customFormat="1" ht="11.25" customHeight="1">
      <c r="D87" s="331"/>
      <c r="E87" s="2348" t="s">
        <v>999</v>
      </c>
      <c r="F87" s="305"/>
      <c r="H87" s="3509" t="s">
        <v>7008</v>
      </c>
      <c r="I87" s="3698"/>
      <c r="J87" s="3698"/>
      <c r="K87" s="3699"/>
      <c r="L87" s="3698"/>
      <c r="M87" s="3698"/>
      <c r="N87" s="3700"/>
      <c r="O87" s="2346" t="s">
        <v>1704</v>
      </c>
      <c r="Q87" s="3543" t="s">
        <v>7017</v>
      </c>
      <c r="R87" s="3609"/>
      <c r="S87" s="3610"/>
    </row>
    <row r="88" spans="2:19" s="293" customFormat="1" ht="11.25" customHeight="1">
      <c r="D88" s="331"/>
      <c r="E88" s="2348" t="s">
        <v>600</v>
      </c>
      <c r="H88" s="3509" t="s">
        <v>2461</v>
      </c>
      <c r="I88" s="3699"/>
      <c r="J88" s="3613"/>
      <c r="K88" s="2351" t="s">
        <v>2624</v>
      </c>
      <c r="L88" s="3509"/>
      <c r="M88" s="3698"/>
      <c r="N88" s="3613"/>
      <c r="O88" s="2346" t="s">
        <v>1679</v>
      </c>
      <c r="Q88" s="3662">
        <v>5734432021</v>
      </c>
      <c r="R88" s="3663"/>
      <c r="S88" s="3664"/>
    </row>
    <row r="89" spans="2:19" s="293" customFormat="1" ht="11.25" customHeight="1">
      <c r="E89" s="2348" t="s">
        <v>1754</v>
      </c>
      <c r="H89" s="3611" t="s">
        <v>1314</v>
      </c>
      <c r="K89" s="1007" t="s">
        <v>2172</v>
      </c>
      <c r="L89" s="3530">
        <v>652034905</v>
      </c>
      <c r="M89" s="3715"/>
      <c r="O89" s="2346" t="s">
        <v>1931</v>
      </c>
      <c r="Q89" s="3662"/>
      <c r="R89" s="3663"/>
      <c r="S89" s="3664"/>
    </row>
    <row r="90" spans="2:19" s="293" customFormat="1" ht="11.25" customHeight="1">
      <c r="D90" s="331"/>
      <c r="E90" s="2348" t="s">
        <v>3895</v>
      </c>
      <c r="H90" s="3706">
        <v>5734432021</v>
      </c>
      <c r="I90" s="3716"/>
      <c r="J90" s="3717"/>
      <c r="K90" s="2357" t="s">
        <v>1936</v>
      </c>
      <c r="L90" s="3665" t="s">
        <v>7018</v>
      </c>
      <c r="M90" s="3624"/>
      <c r="N90" s="3490"/>
      <c r="O90" s="3490"/>
      <c r="P90" s="3490"/>
      <c r="Q90" s="3624"/>
      <c r="R90" s="3624"/>
      <c r="S90" s="3625"/>
    </row>
    <row r="91" spans="2:19" ht="6.6" customHeight="1">
      <c r="H91" s="3718"/>
      <c r="I91" s="3718"/>
      <c r="J91" s="3718"/>
      <c r="K91" s="2357"/>
      <c r="L91" s="3718"/>
      <c r="M91" s="3718"/>
      <c r="N91" s="2345"/>
      <c r="O91" s="3719"/>
      <c r="P91" s="3719"/>
      <c r="Q91" s="2357"/>
      <c r="R91" s="3719"/>
      <c r="S91" s="3719"/>
    </row>
    <row r="92" spans="2:19" s="293" customFormat="1" ht="11.25" customHeight="1">
      <c r="B92" s="295" t="s">
        <v>731</v>
      </c>
      <c r="C92" s="295" t="s">
        <v>283</v>
      </c>
      <c r="F92" s="311"/>
      <c r="H92" s="3509" t="s">
        <v>7019</v>
      </c>
      <c r="I92" s="3698"/>
      <c r="J92" s="3698"/>
      <c r="K92" s="3699"/>
      <c r="L92" s="3698"/>
      <c r="M92" s="3698"/>
      <c r="N92" s="3700"/>
      <c r="O92" s="2346" t="s">
        <v>1941</v>
      </c>
      <c r="P92" s="2346"/>
      <c r="Q92" s="3695" t="s">
        <v>7024</v>
      </c>
      <c r="R92" s="3696"/>
      <c r="S92" s="3697"/>
    </row>
    <row r="93" spans="2:19" s="293" customFormat="1" ht="11.25" customHeight="1">
      <c r="D93" s="331"/>
      <c r="E93" s="2348" t="s">
        <v>999</v>
      </c>
      <c r="F93" s="305"/>
      <c r="H93" s="3509" t="s">
        <v>7020</v>
      </c>
      <c r="I93" s="3698"/>
      <c r="J93" s="3698"/>
      <c r="K93" s="3699"/>
      <c r="L93" s="3698"/>
      <c r="M93" s="3698"/>
      <c r="N93" s="3700"/>
      <c r="O93" s="2346" t="s">
        <v>1704</v>
      </c>
      <c r="Q93" s="3543" t="s">
        <v>7025</v>
      </c>
      <c r="R93" s="3609"/>
      <c r="S93" s="3610"/>
    </row>
    <row r="94" spans="2:19" s="293" customFormat="1" ht="11.25" customHeight="1">
      <c r="D94" s="331"/>
      <c r="E94" s="2348" t="s">
        <v>600</v>
      </c>
      <c r="H94" s="3509" t="s">
        <v>1000</v>
      </c>
      <c r="I94" s="3699"/>
      <c r="J94" s="3613"/>
      <c r="K94" s="2351" t="s">
        <v>2624</v>
      </c>
      <c r="L94" s="3509"/>
      <c r="M94" s="3698"/>
      <c r="N94" s="3613"/>
      <c r="O94" s="2346" t="s">
        <v>1679</v>
      </c>
      <c r="Q94" s="3662">
        <v>7703862921</v>
      </c>
      <c r="R94" s="3663"/>
      <c r="S94" s="3664"/>
    </row>
    <row r="95" spans="2:19" s="293" customFormat="1" ht="11.25" customHeight="1">
      <c r="D95" s="331"/>
      <c r="E95" s="2348" t="s">
        <v>1754</v>
      </c>
      <c r="H95" s="3611" t="s">
        <v>828</v>
      </c>
      <c r="K95" s="1007" t="s">
        <v>2172</v>
      </c>
      <c r="L95" s="3530">
        <v>301204886</v>
      </c>
      <c r="M95" s="3715"/>
      <c r="O95" s="2346" t="s">
        <v>1931</v>
      </c>
      <c r="Q95" s="3662">
        <v>7706554683</v>
      </c>
      <c r="R95" s="3663"/>
      <c r="S95" s="3664"/>
    </row>
    <row r="96" spans="2:19" s="293" customFormat="1" ht="11.25" customHeight="1">
      <c r="D96" s="331"/>
      <c r="E96" s="2348" t="s">
        <v>3895</v>
      </c>
      <c r="H96" s="3706">
        <v>7703862921</v>
      </c>
      <c r="I96" s="3716"/>
      <c r="J96" s="3717"/>
      <c r="K96" s="2357" t="s">
        <v>1936</v>
      </c>
      <c r="L96" s="3665" t="s">
        <v>7021</v>
      </c>
      <c r="M96" s="3624"/>
      <c r="N96" s="3490"/>
      <c r="O96" s="3490"/>
      <c r="P96" s="3490"/>
      <c r="Q96" s="3624"/>
      <c r="R96" s="3624"/>
      <c r="S96" s="3625"/>
    </row>
    <row r="97" spans="2:19" ht="6.6" customHeight="1">
      <c r="H97" s="3718"/>
      <c r="I97" s="3718"/>
      <c r="J97" s="3718"/>
      <c r="K97" s="2357"/>
      <c r="L97" s="3718"/>
      <c r="M97" s="3718"/>
      <c r="N97" s="2345"/>
      <c r="O97" s="3719"/>
      <c r="P97" s="3719"/>
      <c r="Q97" s="2357"/>
      <c r="R97" s="3719"/>
      <c r="S97" s="3719"/>
    </row>
    <row r="98" spans="2:19" s="293" customFormat="1" ht="11.25" customHeight="1">
      <c r="B98" s="295" t="s">
        <v>2064</v>
      </c>
      <c r="C98" s="295" t="s">
        <v>284</v>
      </c>
      <c r="H98" s="3695" t="s">
        <v>7026</v>
      </c>
      <c r="I98" s="3696"/>
      <c r="J98" s="3696"/>
      <c r="K98" s="3696"/>
      <c r="L98" s="3696"/>
      <c r="M98" s="3696"/>
      <c r="N98" s="3697"/>
      <c r="O98" s="2346" t="s">
        <v>1941</v>
      </c>
      <c r="P98" s="2346"/>
      <c r="Q98" s="3695" t="s">
        <v>7022</v>
      </c>
      <c r="R98" s="3696"/>
      <c r="S98" s="3697"/>
    </row>
    <row r="99" spans="2:19" s="293" customFormat="1" ht="11.25" customHeight="1">
      <c r="D99" s="331"/>
      <c r="E99" s="2348" t="s">
        <v>999</v>
      </c>
      <c r="F99" s="305"/>
      <c r="H99" s="3509" t="s">
        <v>7027</v>
      </c>
      <c r="I99" s="3698"/>
      <c r="J99" s="3698"/>
      <c r="K99" s="3699"/>
      <c r="L99" s="3698"/>
      <c r="M99" s="3698"/>
      <c r="N99" s="3700"/>
      <c r="O99" s="2346" t="s">
        <v>1704</v>
      </c>
      <c r="Q99" s="3543" t="s">
        <v>7023</v>
      </c>
      <c r="R99" s="3609"/>
      <c r="S99" s="3610"/>
    </row>
    <row r="100" spans="2:19" s="293" customFormat="1" ht="11.25" customHeight="1">
      <c r="D100" s="331"/>
      <c r="E100" s="2348" t="s">
        <v>600</v>
      </c>
      <c r="H100" s="3509" t="s">
        <v>1293</v>
      </c>
      <c r="I100" s="3699"/>
      <c r="J100" s="3613"/>
      <c r="K100" s="2351" t="s">
        <v>2624</v>
      </c>
      <c r="L100" s="3509"/>
      <c r="M100" s="3698"/>
      <c r="N100" s="3613"/>
      <c r="O100" s="2346" t="s">
        <v>1679</v>
      </c>
      <c r="Q100" s="3662">
        <v>4788988244</v>
      </c>
      <c r="R100" s="3663"/>
      <c r="S100" s="3664"/>
    </row>
    <row r="101" spans="2:19" s="293" customFormat="1" ht="11.25" customHeight="1">
      <c r="D101" s="331"/>
      <c r="E101" s="2348" t="s">
        <v>1754</v>
      </c>
      <c r="H101" s="3611" t="s">
        <v>828</v>
      </c>
      <c r="K101" s="1007" t="s">
        <v>2172</v>
      </c>
      <c r="L101" s="3530">
        <v>312101110</v>
      </c>
      <c r="M101" s="3715"/>
      <c r="O101" s="2346" t="s">
        <v>1931</v>
      </c>
      <c r="Q101" s="3662">
        <v>6783620453</v>
      </c>
      <c r="R101" s="3663"/>
      <c r="S101" s="3664"/>
    </row>
    <row r="102" spans="2:19" ht="11.25" customHeight="1">
      <c r="E102" s="2348" t="s">
        <v>3895</v>
      </c>
      <c r="F102" s="293"/>
      <c r="G102" s="293"/>
      <c r="H102" s="3706">
        <v>4782548866</v>
      </c>
      <c r="I102" s="3716"/>
      <c r="J102" s="3717"/>
      <c r="K102" s="2357" t="s">
        <v>1936</v>
      </c>
      <c r="L102" s="3665" t="s">
        <v>7028</v>
      </c>
      <c r="M102" s="3624"/>
      <c r="N102" s="3490"/>
      <c r="O102" s="3490"/>
      <c r="P102" s="3490"/>
      <c r="Q102" s="3624"/>
      <c r="R102" s="3624"/>
      <c r="S102" s="3625"/>
    </row>
    <row r="103" spans="2:19" ht="6" customHeight="1">
      <c r="E103" s="2348"/>
      <c r="F103" s="293"/>
      <c r="G103" s="2356"/>
      <c r="H103" s="3718"/>
      <c r="I103" s="3718"/>
      <c r="J103" s="3718"/>
      <c r="K103" s="2357"/>
      <c r="L103" s="3718"/>
      <c r="M103" s="3718"/>
      <c r="N103" s="2345"/>
      <c r="O103" s="3719"/>
      <c r="P103" s="3719"/>
      <c r="Q103" s="2357"/>
      <c r="R103" s="3719"/>
      <c r="S103" s="3719"/>
    </row>
    <row r="104" spans="2:19" s="293" customFormat="1" ht="11.25" customHeight="1">
      <c r="B104" s="295" t="s">
        <v>1692</v>
      </c>
      <c r="C104" s="295" t="s">
        <v>285</v>
      </c>
      <c r="H104" s="3695" t="s">
        <v>7029</v>
      </c>
      <c r="I104" s="3696"/>
      <c r="J104" s="3696"/>
      <c r="K104" s="3696"/>
      <c r="L104" s="3696"/>
      <c r="M104" s="3696"/>
      <c r="N104" s="3697"/>
      <c r="O104" s="2346" t="s">
        <v>1941</v>
      </c>
      <c r="P104" s="2346"/>
      <c r="Q104" s="3695" t="s">
        <v>7033</v>
      </c>
      <c r="R104" s="3696"/>
      <c r="S104" s="3697"/>
    </row>
    <row r="105" spans="2:19" s="293" customFormat="1" ht="11.25" customHeight="1">
      <c r="D105" s="331"/>
      <c r="E105" s="2348" t="s">
        <v>999</v>
      </c>
      <c r="F105" s="305"/>
      <c r="H105" s="3509" t="s">
        <v>7030</v>
      </c>
      <c r="I105" s="3698"/>
      <c r="J105" s="3698"/>
      <c r="K105" s="3699"/>
      <c r="L105" s="3698"/>
      <c r="M105" s="3698"/>
      <c r="N105" s="3700"/>
      <c r="O105" s="2346" t="s">
        <v>1704</v>
      </c>
      <c r="Q105" s="3543" t="s">
        <v>7034</v>
      </c>
      <c r="R105" s="3609"/>
      <c r="S105" s="3610"/>
    </row>
    <row r="106" spans="2:19" s="293" customFormat="1" ht="11.25" customHeight="1">
      <c r="D106" s="331"/>
      <c r="E106" s="2348" t="s">
        <v>600</v>
      </c>
      <c r="H106" s="3509" t="s">
        <v>1179</v>
      </c>
      <c r="I106" s="3699"/>
      <c r="J106" s="3613"/>
      <c r="K106" s="2351" t="s">
        <v>2624</v>
      </c>
      <c r="L106" s="3509" t="s">
        <v>7032</v>
      </c>
      <c r="M106" s="3698"/>
      <c r="N106" s="3613"/>
      <c r="O106" s="2346" t="s">
        <v>1679</v>
      </c>
      <c r="Q106" s="3662">
        <v>4048988244</v>
      </c>
      <c r="R106" s="3663"/>
      <c r="S106" s="3664"/>
    </row>
    <row r="107" spans="2:19" s="293" customFormat="1" ht="11.25" customHeight="1">
      <c r="D107" s="331"/>
      <c r="E107" s="2348" t="s">
        <v>1754</v>
      </c>
      <c r="H107" s="3611" t="s">
        <v>828</v>
      </c>
      <c r="K107" s="1007" t="s">
        <v>2172</v>
      </c>
      <c r="L107" s="3530">
        <v>303286132</v>
      </c>
      <c r="M107" s="3715"/>
      <c r="O107" s="2346" t="s">
        <v>1931</v>
      </c>
      <c r="Q107" s="3662">
        <v>6783620453</v>
      </c>
      <c r="R107" s="3663"/>
      <c r="S107" s="3664"/>
    </row>
    <row r="108" spans="2:19" ht="11.25" customHeight="1">
      <c r="E108" s="2348" t="s">
        <v>3895</v>
      </c>
      <c r="F108" s="293"/>
      <c r="G108" s="293"/>
      <c r="H108" s="3706">
        <v>4048929651</v>
      </c>
      <c r="I108" s="3716"/>
      <c r="J108" s="3717"/>
      <c r="K108" s="2357" t="s">
        <v>1936</v>
      </c>
      <c r="L108" s="3665" t="s">
        <v>7031</v>
      </c>
      <c r="M108" s="3624"/>
      <c r="N108" s="3490"/>
      <c r="O108" s="3490"/>
      <c r="P108" s="3490"/>
      <c r="Q108" s="3624"/>
      <c r="R108" s="3624"/>
      <c r="S108" s="3625"/>
    </row>
    <row r="109" spans="2:19" ht="6.6" customHeight="1">
      <c r="E109" s="2348"/>
      <c r="F109" s="293"/>
      <c r="G109" s="2356"/>
      <c r="H109" s="3718"/>
      <c r="I109" s="3718"/>
      <c r="J109" s="3718"/>
      <c r="K109" s="2357"/>
      <c r="L109" s="3718"/>
      <c r="M109" s="3718"/>
      <c r="N109" s="2345"/>
      <c r="O109" s="3719"/>
      <c r="P109" s="3719"/>
      <c r="Q109" s="2357"/>
      <c r="R109" s="3719"/>
      <c r="S109" s="3719"/>
    </row>
    <row r="110" spans="2:19" s="293" customFormat="1" ht="11.25" customHeight="1">
      <c r="B110" s="295" t="s">
        <v>1693</v>
      </c>
      <c r="C110" s="295" t="s">
        <v>286</v>
      </c>
      <c r="H110" s="3695" t="s">
        <v>7035</v>
      </c>
      <c r="I110" s="3696"/>
      <c r="J110" s="3696"/>
      <c r="K110" s="3696"/>
      <c r="L110" s="3696"/>
      <c r="M110" s="3696"/>
      <c r="N110" s="3697"/>
      <c r="O110" s="2346" t="s">
        <v>1941</v>
      </c>
      <c r="P110" s="2346"/>
      <c r="Q110" s="3695" t="s">
        <v>7039</v>
      </c>
      <c r="R110" s="3696"/>
      <c r="S110" s="3697"/>
    </row>
    <row r="111" spans="2:19" s="293" customFormat="1" ht="11.25" customHeight="1">
      <c r="D111" s="331"/>
      <c r="E111" s="2348" t="s">
        <v>999</v>
      </c>
      <c r="F111" s="305"/>
      <c r="H111" s="3509" t="s">
        <v>7036</v>
      </c>
      <c r="I111" s="3698"/>
      <c r="J111" s="3698"/>
      <c r="K111" s="3699"/>
      <c r="L111" s="3698"/>
      <c r="M111" s="3698"/>
      <c r="N111" s="3700"/>
      <c r="O111" s="2346" t="s">
        <v>1704</v>
      </c>
      <c r="Q111" s="3543" t="s">
        <v>7012</v>
      </c>
      <c r="R111" s="3609"/>
      <c r="S111" s="3610"/>
    </row>
    <row r="112" spans="2:19" s="293" customFormat="1" ht="11.25" customHeight="1">
      <c r="D112" s="331"/>
      <c r="E112" s="2348" t="s">
        <v>600</v>
      </c>
      <c r="H112" s="3509" t="s">
        <v>192</v>
      </c>
      <c r="I112" s="3699"/>
      <c r="J112" s="3613"/>
      <c r="K112" s="2351" t="s">
        <v>2624</v>
      </c>
      <c r="L112" s="3509" t="s">
        <v>7037</v>
      </c>
      <c r="M112" s="3698"/>
      <c r="N112" s="3613"/>
      <c r="O112" s="2346" t="s">
        <v>1679</v>
      </c>
      <c r="Q112" s="3662">
        <v>4043732800</v>
      </c>
      <c r="R112" s="3663"/>
      <c r="S112" s="3664"/>
    </row>
    <row r="113" spans="1:22" s="293" customFormat="1" ht="11.25" customHeight="1">
      <c r="D113" s="335"/>
      <c r="E113" s="2348" t="s">
        <v>1754</v>
      </c>
      <c r="H113" s="3611" t="s">
        <v>828</v>
      </c>
      <c r="K113" s="1007" t="s">
        <v>2172</v>
      </c>
      <c r="L113" s="3530">
        <v>300303330</v>
      </c>
      <c r="M113" s="3715"/>
      <c r="O113" s="2346" t="s">
        <v>1931</v>
      </c>
      <c r="Q113" s="3662"/>
      <c r="R113" s="3663"/>
      <c r="S113" s="3664"/>
    </row>
    <row r="114" spans="1:22" s="293" customFormat="1" ht="11.25" customHeight="1">
      <c r="D114" s="335"/>
      <c r="E114" s="2348" t="s">
        <v>3895</v>
      </c>
      <c r="H114" s="3706">
        <v>4043732800</v>
      </c>
      <c r="I114" s="3716"/>
      <c r="J114" s="3717"/>
      <c r="K114" s="2357" t="s">
        <v>1936</v>
      </c>
      <c r="L114" s="3665" t="s">
        <v>7038</v>
      </c>
      <c r="M114" s="3624"/>
      <c r="N114" s="3490"/>
      <c r="O114" s="3490"/>
      <c r="P114" s="3490"/>
      <c r="Q114" s="3624"/>
      <c r="R114" s="3624"/>
      <c r="S114" s="3625"/>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3439</v>
      </c>
      <c r="H117" s="3695" t="s">
        <v>7040</v>
      </c>
      <c r="I117" s="3732"/>
      <c r="J117" s="3733"/>
      <c r="K117" s="2357" t="s">
        <v>2409</v>
      </c>
      <c r="L117" s="3695" t="s">
        <v>7041</v>
      </c>
      <c r="M117" s="3696"/>
      <c r="N117" s="3697"/>
      <c r="O117" s="2348" t="s">
        <v>3440</v>
      </c>
      <c r="Q117" s="3734">
        <v>4789868756</v>
      </c>
      <c r="R117" s="3735"/>
      <c r="S117" s="3736"/>
    </row>
    <row r="118" spans="1:22" s="293" customFormat="1" ht="11.25" customHeight="1">
      <c r="D118" s="331"/>
      <c r="E118" s="2348" t="s">
        <v>999</v>
      </c>
      <c r="F118" s="305"/>
      <c r="H118" s="3616" t="s">
        <v>7042</v>
      </c>
      <c r="I118" s="3737"/>
      <c r="J118" s="3738"/>
      <c r="K118" s="3617"/>
      <c r="L118" s="3737"/>
      <c r="M118" s="3737"/>
      <c r="N118" s="3739"/>
      <c r="O118" s="2348" t="s">
        <v>600</v>
      </c>
      <c r="Q118" s="3740"/>
      <c r="R118" s="3620"/>
      <c r="S118" s="3621"/>
    </row>
    <row r="119" spans="1:22" s="293" customFormat="1" ht="11.25" customHeight="1">
      <c r="D119" s="331"/>
      <c r="E119" s="2348" t="s">
        <v>1754</v>
      </c>
      <c r="H119" s="3741" t="s">
        <v>828</v>
      </c>
      <c r="I119" s="1007" t="s">
        <v>2172</v>
      </c>
      <c r="J119" s="3612">
        <v>310320000</v>
      </c>
      <c r="K119" s="3613"/>
      <c r="L119" s="2357" t="s">
        <v>1936</v>
      </c>
      <c r="M119" s="3742" t="s">
        <v>7043</v>
      </c>
      <c r="N119" s="3725"/>
      <c r="O119" s="3725"/>
      <c r="P119" s="3725"/>
      <c r="Q119" s="3724"/>
      <c r="R119" s="3724"/>
      <c r="S119" s="3726"/>
    </row>
    <row r="120" spans="1:22" ht="12" customHeight="1">
      <c r="B120" s="295" t="s">
        <v>1937</v>
      </c>
      <c r="C120" s="295" t="s">
        <v>4433</v>
      </c>
      <c r="H120" s="1479"/>
      <c r="I120" s="1479"/>
      <c r="J120" s="1479"/>
      <c r="K120" s="1479"/>
      <c r="L120" s="1479"/>
      <c r="M120" s="1479"/>
      <c r="N120" s="1479"/>
      <c r="O120" s="1479"/>
      <c r="P120" s="1479"/>
      <c r="Q120" s="1479"/>
      <c r="R120" s="1479"/>
      <c r="S120" s="1479"/>
    </row>
    <row r="121" spans="1:22" ht="11.25" customHeight="1" thickBot="1">
      <c r="A121" s="2472" t="s">
        <v>3657</v>
      </c>
      <c r="B121" s="2472"/>
      <c r="C121" s="2472"/>
      <c r="D121" s="2472"/>
      <c r="E121" s="2473"/>
      <c r="F121" s="3743" t="s">
        <v>2443</v>
      </c>
      <c r="G121" s="3744" t="s">
        <v>3357</v>
      </c>
      <c r="H121" s="3745"/>
      <c r="I121" s="3745"/>
      <c r="J121" s="3745"/>
      <c r="K121" s="3745"/>
      <c r="L121" s="3745"/>
      <c r="M121" s="3745"/>
      <c r="N121" s="3745"/>
      <c r="O121" s="3745"/>
      <c r="P121" s="3745"/>
      <c r="Q121" s="3745"/>
      <c r="R121" s="3745"/>
      <c r="S121" s="3746"/>
    </row>
    <row r="122" spans="1:22" s="293" customFormat="1" ht="25.5" customHeight="1" thickBot="1">
      <c r="B122" s="487"/>
      <c r="C122" s="1042" t="s">
        <v>1938</v>
      </c>
      <c r="D122" s="2443" t="s">
        <v>2737</v>
      </c>
      <c r="E122" s="2443"/>
      <c r="F122" s="3747" t="s">
        <v>2888</v>
      </c>
      <c r="G122" s="2893"/>
      <c r="H122" s="3748"/>
      <c r="I122" s="3748"/>
      <c r="J122" s="3748"/>
      <c r="K122" s="3748"/>
      <c r="L122" s="3748"/>
      <c r="M122" s="3748"/>
      <c r="N122" s="3748"/>
      <c r="O122" s="3748"/>
      <c r="P122" s="3748"/>
      <c r="Q122" s="3748"/>
      <c r="R122" s="3748"/>
      <c r="S122" s="3749"/>
      <c r="U122" s="2474" t="s">
        <v>1983</v>
      </c>
      <c r="V122" s="2474"/>
    </row>
    <row r="123" spans="1:22" s="293" customFormat="1" ht="25.5" customHeight="1" thickBot="1">
      <c r="B123" s="487"/>
      <c r="C123" s="580" t="s">
        <v>1940</v>
      </c>
      <c r="D123" s="2402" t="s">
        <v>2798</v>
      </c>
      <c r="E123" s="2417"/>
      <c r="F123" s="3747" t="s">
        <v>2888</v>
      </c>
      <c r="G123" s="2889"/>
      <c r="H123" s="2889"/>
      <c r="I123" s="2889"/>
      <c r="J123" s="2889"/>
      <c r="K123" s="2889"/>
      <c r="L123" s="2889"/>
      <c r="M123" s="2889"/>
      <c r="N123" s="2889"/>
      <c r="O123" s="2889"/>
      <c r="P123" s="2889"/>
      <c r="Q123" s="2889"/>
      <c r="R123" s="2889"/>
      <c r="S123" s="2890"/>
      <c r="U123" s="2474"/>
      <c r="V123" s="2474"/>
    </row>
    <row r="124" spans="1:22" s="293" customFormat="1" ht="25.5" customHeight="1" thickBot="1">
      <c r="B124" s="487"/>
      <c r="C124" s="580" t="s">
        <v>2467</v>
      </c>
      <c r="D124" s="2402" t="s">
        <v>2777</v>
      </c>
      <c r="E124" s="2417"/>
      <c r="F124" s="3747" t="s">
        <v>2888</v>
      </c>
      <c r="G124" s="2889"/>
      <c r="H124" s="2889"/>
      <c r="I124" s="2889"/>
      <c r="J124" s="2889"/>
      <c r="K124" s="2889"/>
      <c r="L124" s="2889"/>
      <c r="M124" s="2889"/>
      <c r="N124" s="2889"/>
      <c r="O124" s="2889"/>
      <c r="P124" s="2889"/>
      <c r="Q124" s="2889"/>
      <c r="R124" s="2889"/>
      <c r="S124" s="2890"/>
      <c r="U124" s="2474"/>
      <c r="V124" s="2474"/>
    </row>
    <row r="125" spans="1:22" s="293" customFormat="1" ht="25.5" customHeight="1" thickBot="1">
      <c r="B125" s="487"/>
      <c r="C125" s="580" t="s">
        <v>1198</v>
      </c>
      <c r="D125" s="2402" t="s">
        <v>2738</v>
      </c>
      <c r="E125" s="2417"/>
      <c r="F125" s="3747" t="s">
        <v>2888</v>
      </c>
      <c r="G125" s="2889"/>
      <c r="H125" s="2889"/>
      <c r="I125" s="2889"/>
      <c r="J125" s="2889"/>
      <c r="K125" s="2889"/>
      <c r="L125" s="2889"/>
      <c r="M125" s="2889"/>
      <c r="N125" s="2889"/>
      <c r="O125" s="2889"/>
      <c r="P125" s="2889"/>
      <c r="Q125" s="2889"/>
      <c r="R125" s="2889"/>
      <c r="S125" s="2890"/>
      <c r="U125" s="2474"/>
      <c r="V125" s="2474"/>
    </row>
    <row r="126" spans="1:22" s="293" customFormat="1" ht="25.5" customHeight="1" thickBot="1">
      <c r="B126" s="487"/>
      <c r="C126" s="580" t="s">
        <v>1199</v>
      </c>
      <c r="D126" s="2402" t="s">
        <v>3348</v>
      </c>
      <c r="E126" s="2417"/>
      <c r="F126" s="3747" t="s">
        <v>2888</v>
      </c>
      <c r="G126" s="2889"/>
      <c r="H126" s="2889"/>
      <c r="I126" s="2889"/>
      <c r="J126" s="2889"/>
      <c r="K126" s="2889"/>
      <c r="L126" s="2889"/>
      <c r="M126" s="2889"/>
      <c r="N126" s="2889"/>
      <c r="O126" s="2889"/>
      <c r="P126" s="2889"/>
      <c r="Q126" s="2889"/>
      <c r="R126" s="2889"/>
      <c r="S126" s="2890"/>
      <c r="U126" s="2474"/>
      <c r="V126" s="2474"/>
    </row>
    <row r="127" spans="1:22" s="293" customFormat="1" ht="25.5" customHeight="1" thickBot="1">
      <c r="B127" s="487"/>
      <c r="C127" s="580" t="s">
        <v>1833</v>
      </c>
      <c r="D127" s="2402" t="s">
        <v>3349</v>
      </c>
      <c r="E127" s="2417"/>
      <c r="F127" s="3747" t="s">
        <v>2885</v>
      </c>
      <c r="G127" s="2889" t="s">
        <v>7045</v>
      </c>
      <c r="H127" s="2889"/>
      <c r="I127" s="2889"/>
      <c r="J127" s="2889"/>
      <c r="K127" s="2889"/>
      <c r="L127" s="2889"/>
      <c r="M127" s="2889"/>
      <c r="N127" s="2889"/>
      <c r="O127" s="2889"/>
      <c r="P127" s="2889"/>
      <c r="Q127" s="2889"/>
      <c r="R127" s="2889"/>
      <c r="S127" s="2890"/>
      <c r="U127" s="2474"/>
      <c r="V127" s="2474"/>
    </row>
    <row r="128" spans="1:22" s="293" customFormat="1" ht="25.5" customHeight="1" thickBot="1">
      <c r="B128" s="487"/>
      <c r="C128" s="580" t="s">
        <v>492</v>
      </c>
      <c r="D128" s="2402" t="s">
        <v>2739</v>
      </c>
      <c r="E128" s="2417"/>
      <c r="F128" s="3747" t="s">
        <v>2888</v>
      </c>
      <c r="G128" s="2889"/>
      <c r="H128" s="2889"/>
      <c r="I128" s="2889"/>
      <c r="J128" s="2889"/>
      <c r="K128" s="2889"/>
      <c r="L128" s="2889"/>
      <c r="M128" s="2889"/>
      <c r="N128" s="2889"/>
      <c r="O128" s="2889"/>
      <c r="P128" s="2889"/>
      <c r="Q128" s="2889"/>
      <c r="R128" s="2889"/>
      <c r="S128" s="2890"/>
    </row>
    <row r="129" spans="1:22" s="293" customFormat="1" ht="25.5" customHeight="1" thickBot="1">
      <c r="B129" s="487"/>
      <c r="C129" s="580" t="s">
        <v>493</v>
      </c>
      <c r="D129" s="2402" t="s">
        <v>4447</v>
      </c>
      <c r="E129" s="2417"/>
      <c r="F129" s="3747" t="s">
        <v>2888</v>
      </c>
      <c r="G129" s="2889"/>
      <c r="H129" s="2889"/>
      <c r="I129" s="2889"/>
      <c r="J129" s="2889"/>
      <c r="K129" s="2889"/>
      <c r="L129" s="2889"/>
      <c r="M129" s="2889"/>
      <c r="N129" s="2889"/>
      <c r="O129" s="2889"/>
      <c r="P129" s="2889"/>
      <c r="Q129" s="2889"/>
      <c r="R129" s="2889"/>
      <c r="S129" s="2890"/>
    </row>
    <row r="130" spans="1:22" s="293" customFormat="1" ht="25.5" customHeight="1" thickBot="1">
      <c r="B130" s="487"/>
      <c r="C130" s="580" t="s">
        <v>4446</v>
      </c>
      <c r="D130" s="3750" t="s">
        <v>7044</v>
      </c>
      <c r="E130" s="3751"/>
      <c r="F130" s="3747" t="s">
        <v>2888</v>
      </c>
      <c r="G130" s="2886"/>
      <c r="H130" s="2886"/>
      <c r="I130" s="2886"/>
      <c r="J130" s="2886"/>
      <c r="K130" s="2886"/>
      <c r="L130" s="2886"/>
      <c r="M130" s="2886"/>
      <c r="N130" s="2886"/>
      <c r="O130" s="2886"/>
      <c r="P130" s="2886"/>
      <c r="Q130" s="2886"/>
      <c r="R130" s="2886"/>
      <c r="S130" s="2887"/>
    </row>
    <row r="131" spans="1:22" s="293" customFormat="1" ht="13.35" customHeight="1">
      <c r="A131" s="295" t="s">
        <v>1748</v>
      </c>
      <c r="B131" s="295" t="s">
        <v>2746</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4434</v>
      </c>
    </row>
    <row r="134" spans="1:22" s="293" customFormat="1" ht="13.5" customHeight="1">
      <c r="A134" s="2442" t="s">
        <v>622</v>
      </c>
      <c r="B134" s="2443"/>
      <c r="C134" s="2443"/>
      <c r="D134" s="2443"/>
      <c r="E134" s="2447" t="s">
        <v>3333</v>
      </c>
      <c r="F134" s="2448"/>
      <c r="G134" s="2448"/>
      <c r="H134" s="2448"/>
      <c r="I134" s="2449"/>
      <c r="J134" s="2453" t="s">
        <v>3334</v>
      </c>
      <c r="K134" s="2456" t="s">
        <v>2804</v>
      </c>
      <c r="L134" s="2456" t="s">
        <v>2805</v>
      </c>
      <c r="M134" s="2459" t="s">
        <v>3342</v>
      </c>
      <c r="N134" s="2460"/>
      <c r="O134" s="2460"/>
      <c r="P134" s="2460"/>
      <c r="Q134" s="2460"/>
      <c r="R134" s="2460"/>
      <c r="S134" s="2461"/>
    </row>
    <row r="135" spans="1:22" s="293" customFormat="1" ht="13.5" customHeight="1">
      <c r="A135" s="2444"/>
      <c r="B135" s="2417"/>
      <c r="C135" s="2417"/>
      <c r="D135" s="2417"/>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17"/>
      <c r="C136" s="2417"/>
      <c r="D136" s="2417"/>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17"/>
      <c r="C137" s="2417"/>
      <c r="D137" s="2417"/>
      <c r="E137" s="2465" t="s">
        <v>3537</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2443</v>
      </c>
      <c r="J138" s="2455"/>
      <c r="K138" s="2458"/>
      <c r="L138" s="2457"/>
      <c r="M138" s="1484" t="s">
        <v>2443</v>
      </c>
      <c r="N138" s="2431" t="s">
        <v>2803</v>
      </c>
      <c r="O138" s="2431"/>
      <c r="P138" s="2431"/>
      <c r="Q138" s="2431"/>
      <c r="R138" s="2431"/>
      <c r="S138" s="2471"/>
    </row>
    <row r="139" spans="1:22" s="293" customFormat="1" ht="24" customHeight="1">
      <c r="A139" s="2439" t="s">
        <v>3328</v>
      </c>
      <c r="B139" s="2440"/>
      <c r="C139" s="2440"/>
      <c r="D139" s="2441"/>
      <c r="E139" s="3752"/>
      <c r="F139" s="3748"/>
      <c r="G139" s="3748"/>
      <c r="H139" s="3748"/>
      <c r="I139" s="3753" t="s">
        <v>2888</v>
      </c>
      <c r="J139" s="3754" t="s">
        <v>2888</v>
      </c>
      <c r="K139" s="3755" t="s">
        <v>7003</v>
      </c>
      <c r="L139" s="3756">
        <v>1E-4</v>
      </c>
      <c r="M139" s="3757" t="s">
        <v>2888</v>
      </c>
      <c r="N139" s="3758"/>
      <c r="O139" s="3748"/>
      <c r="P139" s="3748"/>
      <c r="Q139" s="3748"/>
      <c r="R139" s="3748"/>
      <c r="S139" s="3749"/>
    </row>
    <row r="140" spans="1:22" s="293" customFormat="1" ht="24" customHeight="1">
      <c r="A140" s="2433" t="s">
        <v>3329</v>
      </c>
      <c r="B140" s="2434"/>
      <c r="C140" s="2434"/>
      <c r="D140" s="2435"/>
      <c r="E140" s="2888"/>
      <c r="F140" s="2889"/>
      <c r="G140" s="2889"/>
      <c r="H140" s="2889"/>
      <c r="I140" s="3759" t="s">
        <v>4378</v>
      </c>
      <c r="J140" s="3760" t="s">
        <v>4378</v>
      </c>
      <c r="K140" s="3761"/>
      <c r="L140" s="3762"/>
      <c r="M140" s="3763" t="s">
        <v>4378</v>
      </c>
      <c r="N140" s="3764"/>
      <c r="O140" s="2889"/>
      <c r="P140" s="2889"/>
      <c r="Q140" s="2889"/>
      <c r="R140" s="2889"/>
      <c r="S140" s="2890"/>
      <c r="U140" s="2474" t="s">
        <v>1983</v>
      </c>
      <c r="V140" s="2474"/>
    </row>
    <row r="141" spans="1:22" s="293" customFormat="1" ht="24" customHeight="1">
      <c r="A141" s="2433" t="s">
        <v>3330</v>
      </c>
      <c r="B141" s="2434"/>
      <c r="C141" s="2434"/>
      <c r="D141" s="2435"/>
      <c r="E141" s="2888"/>
      <c r="F141" s="2889"/>
      <c r="G141" s="2889"/>
      <c r="H141" s="2889"/>
      <c r="I141" s="3759" t="s">
        <v>4378</v>
      </c>
      <c r="J141" s="3760" t="s">
        <v>4378</v>
      </c>
      <c r="K141" s="3761"/>
      <c r="L141" s="3762"/>
      <c r="M141" s="3763" t="s">
        <v>4378</v>
      </c>
      <c r="N141" s="3764"/>
      <c r="O141" s="2889"/>
      <c r="P141" s="2889"/>
      <c r="Q141" s="2889"/>
      <c r="R141" s="2889"/>
      <c r="S141" s="2890"/>
      <c r="U141" s="2474"/>
      <c r="V141" s="2474"/>
    </row>
    <row r="142" spans="1:22" s="293" customFormat="1" ht="24" customHeight="1">
      <c r="A142" s="2433" t="s">
        <v>3331</v>
      </c>
      <c r="B142" s="2434"/>
      <c r="C142" s="2434"/>
      <c r="D142" s="2435"/>
      <c r="E142" s="2888"/>
      <c r="F142" s="2889"/>
      <c r="G142" s="2889"/>
      <c r="H142" s="2889"/>
      <c r="I142" s="3759" t="s">
        <v>2888</v>
      </c>
      <c r="J142" s="3760" t="s">
        <v>2888</v>
      </c>
      <c r="K142" s="3761" t="s">
        <v>7003</v>
      </c>
      <c r="L142" s="3762">
        <v>0.9899</v>
      </c>
      <c r="M142" s="3763" t="s">
        <v>2888</v>
      </c>
      <c r="N142" s="3764"/>
      <c r="O142" s="2889"/>
      <c r="P142" s="2889"/>
      <c r="Q142" s="2889"/>
      <c r="R142" s="2889"/>
      <c r="S142" s="2890"/>
      <c r="U142" s="2474"/>
      <c r="V142" s="2474"/>
    </row>
    <row r="143" spans="1:22" s="293" customFormat="1" ht="24" customHeight="1">
      <c r="A143" s="2433" t="s">
        <v>3332</v>
      </c>
      <c r="B143" s="2434"/>
      <c r="C143" s="2434"/>
      <c r="D143" s="2435"/>
      <c r="E143" s="2888"/>
      <c r="F143" s="2889"/>
      <c r="G143" s="2889"/>
      <c r="H143" s="2889"/>
      <c r="I143" s="3759" t="s">
        <v>2888</v>
      </c>
      <c r="J143" s="3760" t="s">
        <v>2888</v>
      </c>
      <c r="K143" s="3761" t="s">
        <v>7003</v>
      </c>
      <c r="L143" s="3762">
        <v>0.01</v>
      </c>
      <c r="M143" s="3763" t="s">
        <v>2888</v>
      </c>
      <c r="N143" s="3764"/>
      <c r="O143" s="2889"/>
      <c r="P143" s="2889"/>
      <c r="Q143" s="2889"/>
      <c r="R143" s="2889"/>
      <c r="S143" s="2890"/>
      <c r="U143" s="2474"/>
      <c r="V143" s="2474"/>
    </row>
    <row r="144" spans="1:22" s="293" customFormat="1" ht="24" customHeight="1">
      <c r="A144" s="2433" t="s">
        <v>2792</v>
      </c>
      <c r="B144" s="2434"/>
      <c r="C144" s="2434"/>
      <c r="D144" s="2435"/>
      <c r="E144" s="2888"/>
      <c r="F144" s="2889"/>
      <c r="G144" s="2889"/>
      <c r="H144" s="2889"/>
      <c r="I144" s="3759" t="s">
        <v>4378</v>
      </c>
      <c r="J144" s="3760" t="s">
        <v>4378</v>
      </c>
      <c r="K144" s="3761"/>
      <c r="L144" s="3762"/>
      <c r="M144" s="3763" t="s">
        <v>4378</v>
      </c>
      <c r="N144" s="3764"/>
      <c r="O144" s="2889"/>
      <c r="P144" s="2889"/>
      <c r="Q144" s="2889"/>
      <c r="R144" s="2889"/>
      <c r="S144" s="2890"/>
      <c r="U144" s="2474"/>
      <c r="V144" s="2474"/>
    </row>
    <row r="145" spans="1:24" s="293" customFormat="1" ht="24" customHeight="1">
      <c r="A145" s="2433" t="s">
        <v>635</v>
      </c>
      <c r="B145" s="2434"/>
      <c r="C145" s="2434"/>
      <c r="D145" s="2435"/>
      <c r="E145" s="2888"/>
      <c r="F145" s="2889"/>
      <c r="G145" s="2889"/>
      <c r="H145" s="2889"/>
      <c r="I145" s="3759" t="s">
        <v>2888</v>
      </c>
      <c r="J145" s="3760" t="s">
        <v>2888</v>
      </c>
      <c r="K145" s="3761" t="s">
        <v>7003</v>
      </c>
      <c r="L145" s="3762"/>
      <c r="M145" s="3763" t="s">
        <v>2888</v>
      </c>
      <c r="N145" s="3764"/>
      <c r="O145" s="2889"/>
      <c r="P145" s="2889"/>
      <c r="Q145" s="2889"/>
      <c r="R145" s="2889"/>
      <c r="S145" s="2890"/>
      <c r="U145" s="2474"/>
      <c r="V145" s="2474"/>
    </row>
    <row r="146" spans="1:24" s="293" customFormat="1" ht="24" customHeight="1">
      <c r="A146" s="2433" t="s">
        <v>2793</v>
      </c>
      <c r="B146" s="2434"/>
      <c r="C146" s="2434"/>
      <c r="D146" s="2435"/>
      <c r="E146" s="2888"/>
      <c r="F146" s="2889"/>
      <c r="G146" s="2889"/>
      <c r="H146" s="2889"/>
      <c r="I146" s="3759" t="s">
        <v>4378</v>
      </c>
      <c r="J146" s="3760" t="s">
        <v>4378</v>
      </c>
      <c r="K146" s="3761"/>
      <c r="L146" s="3762"/>
      <c r="M146" s="3763" t="s">
        <v>4378</v>
      </c>
      <c r="N146" s="3764"/>
      <c r="O146" s="2889"/>
      <c r="P146" s="2889"/>
      <c r="Q146" s="2889"/>
      <c r="R146" s="2889"/>
      <c r="S146" s="2890"/>
    </row>
    <row r="147" spans="1:24" s="293" customFormat="1" ht="24" customHeight="1">
      <c r="A147" s="2433" t="s">
        <v>2794</v>
      </c>
      <c r="B147" s="2434"/>
      <c r="C147" s="2434"/>
      <c r="D147" s="2435"/>
      <c r="E147" s="2888"/>
      <c r="F147" s="2889"/>
      <c r="G147" s="2889"/>
      <c r="H147" s="2889"/>
      <c r="I147" s="3759" t="s">
        <v>4378</v>
      </c>
      <c r="J147" s="3760" t="s">
        <v>4378</v>
      </c>
      <c r="K147" s="3761"/>
      <c r="L147" s="3762"/>
      <c r="M147" s="3763" t="s">
        <v>4378</v>
      </c>
      <c r="N147" s="3764"/>
      <c r="O147" s="2889"/>
      <c r="P147" s="2889"/>
      <c r="Q147" s="2889"/>
      <c r="R147" s="2889"/>
      <c r="S147" s="2890"/>
    </row>
    <row r="148" spans="1:24" s="293" customFormat="1" ht="24" customHeight="1">
      <c r="A148" s="2433" t="s">
        <v>2796</v>
      </c>
      <c r="B148" s="2434"/>
      <c r="C148" s="2434"/>
      <c r="D148" s="2435"/>
      <c r="E148" s="2888"/>
      <c r="F148" s="2889"/>
      <c r="G148" s="2889"/>
      <c r="H148" s="2889"/>
      <c r="I148" s="3759" t="s">
        <v>4378</v>
      </c>
      <c r="J148" s="3760" t="s">
        <v>4378</v>
      </c>
      <c r="K148" s="3761"/>
      <c r="L148" s="3762"/>
      <c r="M148" s="3763" t="s">
        <v>4378</v>
      </c>
      <c r="N148" s="3764"/>
      <c r="O148" s="2889"/>
      <c r="P148" s="2889"/>
      <c r="Q148" s="2889"/>
      <c r="R148" s="2889"/>
      <c r="S148" s="2890"/>
    </row>
    <row r="149" spans="1:24" s="293" customFormat="1" ht="24" customHeight="1">
      <c r="A149" s="2433" t="s">
        <v>2795</v>
      </c>
      <c r="B149" s="2434"/>
      <c r="C149" s="2434"/>
      <c r="D149" s="2435"/>
      <c r="E149" s="2888"/>
      <c r="F149" s="2889"/>
      <c r="G149" s="2889"/>
      <c r="H149" s="2889"/>
      <c r="I149" s="3759" t="s">
        <v>4378</v>
      </c>
      <c r="J149" s="3760" t="s">
        <v>4378</v>
      </c>
      <c r="K149" s="3761"/>
      <c r="L149" s="3762"/>
      <c r="M149" s="3763" t="s">
        <v>4378</v>
      </c>
      <c r="N149" s="3764"/>
      <c r="O149" s="2889"/>
      <c r="P149" s="2889"/>
      <c r="Q149" s="2889"/>
      <c r="R149" s="2889"/>
      <c r="S149" s="2890"/>
    </row>
    <row r="150" spans="1:24" s="293" customFormat="1" ht="24" customHeight="1">
      <c r="A150" s="2433" t="s">
        <v>1497</v>
      </c>
      <c r="B150" s="2434"/>
      <c r="C150" s="2434"/>
      <c r="D150" s="2435"/>
      <c r="E150" s="2888"/>
      <c r="F150" s="2889"/>
      <c r="G150" s="2889"/>
      <c r="H150" s="2889"/>
      <c r="I150" s="3759" t="s">
        <v>2888</v>
      </c>
      <c r="J150" s="3760" t="s">
        <v>2888</v>
      </c>
      <c r="K150" s="3761" t="s">
        <v>7003</v>
      </c>
      <c r="L150" s="3762"/>
      <c r="M150" s="3763" t="s">
        <v>2888</v>
      </c>
      <c r="N150" s="3764"/>
      <c r="O150" s="2889"/>
      <c r="P150" s="2889"/>
      <c r="Q150" s="2889"/>
      <c r="R150" s="2889"/>
      <c r="S150" s="2890"/>
    </row>
    <row r="151" spans="1:24" s="293" customFormat="1" ht="24" customHeight="1">
      <c r="A151" s="2436" t="s">
        <v>2797</v>
      </c>
      <c r="B151" s="2437"/>
      <c r="C151" s="2437"/>
      <c r="D151" s="2438"/>
      <c r="E151" s="2722"/>
      <c r="F151" s="2886"/>
      <c r="G151" s="2886"/>
      <c r="H151" s="2886"/>
      <c r="I151" s="3765" t="s">
        <v>2888</v>
      </c>
      <c r="J151" s="3766" t="s">
        <v>2888</v>
      </c>
      <c r="K151" s="3767" t="s">
        <v>7003</v>
      </c>
      <c r="L151" s="3768"/>
      <c r="M151" s="3769" t="s">
        <v>2888</v>
      </c>
      <c r="N151" s="3770"/>
      <c r="O151" s="2886"/>
      <c r="P151" s="2886"/>
      <c r="Q151" s="2886"/>
      <c r="R151" s="2886"/>
      <c r="S151" s="2887"/>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71"/>
      <c r="B154" s="3772"/>
      <c r="C154" s="3772"/>
      <c r="D154" s="3772"/>
      <c r="E154" s="3772"/>
      <c r="F154" s="3772"/>
      <c r="G154" s="3772"/>
      <c r="H154" s="3772"/>
      <c r="I154" s="3772"/>
      <c r="J154" s="3772"/>
      <c r="K154" s="3772"/>
      <c r="L154" s="3772"/>
      <c r="M154" s="3773"/>
      <c r="N154" s="3774"/>
      <c r="O154" s="3775"/>
      <c r="P154" s="3775"/>
      <c r="Q154" s="3775"/>
      <c r="R154" s="3775"/>
      <c r="S154" s="3776"/>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77" t="s">
        <v>1754</v>
      </c>
    </row>
    <row r="160" spans="1:24" s="293" customFormat="1" ht="12" customHeight="1">
      <c r="A160" s="331"/>
      <c r="B160" s="311"/>
      <c r="C160" s="311"/>
      <c r="D160" s="311"/>
      <c r="E160" s="311"/>
      <c r="F160" s="311"/>
      <c r="G160" s="311"/>
      <c r="H160" s="311"/>
      <c r="I160" s="311"/>
      <c r="J160" s="311"/>
      <c r="K160" s="311"/>
      <c r="L160" s="311"/>
      <c r="M160" s="311"/>
      <c r="N160" s="311"/>
      <c r="O160" s="311"/>
      <c r="P160" s="3778" t="s">
        <v>818</v>
      </c>
    </row>
    <row r="161" spans="1:16" s="293" customFormat="1" ht="12" customHeight="1">
      <c r="A161" s="331"/>
      <c r="B161" s="311"/>
      <c r="C161" s="311"/>
      <c r="D161" s="311"/>
      <c r="E161" s="311"/>
      <c r="F161" s="311"/>
      <c r="G161" s="311"/>
      <c r="H161" s="311"/>
      <c r="I161" s="311"/>
      <c r="J161" s="311"/>
      <c r="K161" s="311"/>
      <c r="L161" s="311"/>
      <c r="M161" s="311"/>
      <c r="N161" s="311"/>
      <c r="O161" s="311"/>
      <c r="P161" s="3778" t="s">
        <v>819</v>
      </c>
    </row>
    <row r="162" spans="1:16" s="293" customFormat="1" ht="12" customHeight="1">
      <c r="A162" s="331"/>
      <c r="B162" s="311"/>
      <c r="C162" s="311"/>
      <c r="D162" s="311"/>
      <c r="E162" s="311"/>
      <c r="F162" s="311"/>
      <c r="G162" s="311"/>
      <c r="H162" s="311"/>
      <c r="I162" s="311"/>
      <c r="J162" s="311"/>
      <c r="K162" s="311"/>
      <c r="L162" s="311"/>
      <c r="M162" s="311"/>
      <c r="N162" s="311"/>
      <c r="O162" s="311"/>
      <c r="P162" s="3778" t="s">
        <v>820</v>
      </c>
    </row>
    <row r="163" spans="1:16" s="293" customFormat="1" ht="12" customHeight="1">
      <c r="A163" s="471"/>
      <c r="B163" s="311"/>
      <c r="C163" s="311"/>
      <c r="D163" s="311"/>
      <c r="E163" s="311"/>
      <c r="F163" s="311"/>
      <c r="G163" s="311"/>
      <c r="H163" s="311"/>
      <c r="I163" s="311"/>
      <c r="J163" s="311"/>
      <c r="K163" s="311"/>
      <c r="L163" s="311"/>
      <c r="M163" s="311"/>
      <c r="N163" s="311"/>
      <c r="O163" s="311"/>
      <c r="P163" s="3778" t="s">
        <v>821</v>
      </c>
    </row>
    <row r="164" spans="1:16" s="293" customFormat="1" ht="12" customHeight="1">
      <c r="B164" s="311"/>
      <c r="C164" s="311"/>
      <c r="D164" s="311"/>
      <c r="E164" s="311"/>
      <c r="F164" s="311"/>
      <c r="G164" s="311"/>
      <c r="H164" s="311"/>
      <c r="I164" s="311"/>
      <c r="J164" s="311"/>
      <c r="K164" s="311"/>
      <c r="L164" s="311"/>
      <c r="M164" s="311"/>
      <c r="N164" s="311"/>
      <c r="O164" s="311"/>
      <c r="P164" s="3778" t="s">
        <v>822</v>
      </c>
    </row>
    <row r="165" spans="1:16" s="293" customFormat="1" ht="12" customHeight="1">
      <c r="B165" s="311"/>
      <c r="C165" s="311"/>
      <c r="D165" s="311"/>
      <c r="E165" s="311"/>
      <c r="F165" s="311"/>
      <c r="G165" s="311"/>
      <c r="H165" s="311"/>
      <c r="I165" s="311"/>
      <c r="J165" s="311"/>
      <c r="K165" s="311"/>
      <c r="L165" s="311"/>
      <c r="M165" s="311"/>
      <c r="N165" s="311"/>
      <c r="O165" s="311"/>
      <c r="P165" s="3778" t="s">
        <v>823</v>
      </c>
    </row>
    <row r="166" spans="1:16" s="293" customFormat="1" ht="12" customHeight="1">
      <c r="B166" s="311"/>
      <c r="C166" s="311"/>
      <c r="D166" s="311"/>
      <c r="E166" s="311"/>
      <c r="F166" s="311"/>
      <c r="G166" s="311"/>
      <c r="H166" s="311"/>
      <c r="I166" s="311"/>
      <c r="J166" s="311"/>
      <c r="K166" s="311"/>
      <c r="L166" s="311"/>
      <c r="M166" s="311"/>
      <c r="N166" s="311"/>
      <c r="O166" s="311"/>
      <c r="P166" s="3778" t="s">
        <v>824</v>
      </c>
    </row>
    <row r="167" spans="1:16" s="293" customFormat="1" ht="12" customHeight="1">
      <c r="B167" s="311"/>
      <c r="C167" s="311"/>
      <c r="D167" s="311"/>
      <c r="E167" s="311"/>
      <c r="F167" s="311"/>
      <c r="G167" s="311"/>
      <c r="H167" s="311"/>
      <c r="I167" s="311"/>
      <c r="J167" s="311"/>
      <c r="K167" s="311"/>
      <c r="L167" s="311"/>
      <c r="M167" s="311"/>
      <c r="N167" s="311"/>
      <c r="O167" s="311"/>
      <c r="P167" s="3778" t="s">
        <v>825</v>
      </c>
    </row>
    <row r="168" spans="1:16" ht="12" customHeight="1">
      <c r="P168" s="3778" t="s">
        <v>826</v>
      </c>
    </row>
    <row r="169" spans="1:16" ht="12" customHeight="1">
      <c r="A169" s="319"/>
      <c r="P169" s="3778" t="s">
        <v>827</v>
      </c>
    </row>
    <row r="170" spans="1:16" ht="12" customHeight="1">
      <c r="P170" s="3778" t="s">
        <v>828</v>
      </c>
    </row>
    <row r="171" spans="1:16" ht="12" customHeight="1">
      <c r="P171" s="3778" t="s">
        <v>829</v>
      </c>
    </row>
    <row r="172" spans="1:16" ht="12" customHeight="1">
      <c r="P172" s="3778" t="s">
        <v>830</v>
      </c>
    </row>
    <row r="173" spans="1:16" ht="12" customHeight="1">
      <c r="P173" s="3778" t="s">
        <v>831</v>
      </c>
    </row>
    <row r="174" spans="1:16" ht="12" customHeight="1">
      <c r="P174" s="3778" t="s">
        <v>832</v>
      </c>
    </row>
    <row r="175" spans="1:16" ht="12" customHeight="1">
      <c r="P175" s="3778" t="s">
        <v>833</v>
      </c>
    </row>
    <row r="176" spans="1:16" ht="12" customHeight="1">
      <c r="P176" s="3778" t="s">
        <v>834</v>
      </c>
    </row>
    <row r="177" spans="16:16" ht="12" customHeight="1">
      <c r="P177" s="3778" t="s">
        <v>835</v>
      </c>
    </row>
    <row r="178" spans="16:16" ht="12" customHeight="1">
      <c r="P178" s="3778" t="s">
        <v>836</v>
      </c>
    </row>
    <row r="179" spans="16:16" ht="12" customHeight="1">
      <c r="P179" s="3778" t="s">
        <v>837</v>
      </c>
    </row>
    <row r="180" spans="16:16" ht="12" customHeight="1">
      <c r="P180" s="3778" t="s">
        <v>838</v>
      </c>
    </row>
    <row r="181" spans="16:16" ht="12" customHeight="1">
      <c r="P181" s="3778" t="s">
        <v>839</v>
      </c>
    </row>
    <row r="182" spans="16:16" ht="12" customHeight="1">
      <c r="P182" s="3778" t="s">
        <v>840</v>
      </c>
    </row>
    <row r="183" spans="16:16" ht="12" customHeight="1">
      <c r="P183" s="3778" t="s">
        <v>841</v>
      </c>
    </row>
    <row r="184" spans="16:16" ht="12" customHeight="1">
      <c r="P184" s="3778" t="s">
        <v>842</v>
      </c>
    </row>
    <row r="185" spans="16:16" ht="12" customHeight="1">
      <c r="P185" s="3778" t="s">
        <v>1314</v>
      </c>
    </row>
    <row r="186" spans="16:16" ht="12" customHeight="1">
      <c r="P186" s="3778" t="s">
        <v>1315</v>
      </c>
    </row>
    <row r="187" spans="16:16" ht="12" customHeight="1">
      <c r="P187" s="3778" t="s">
        <v>1316</v>
      </c>
    </row>
    <row r="188" spans="16:16" ht="12" customHeight="1">
      <c r="P188" s="3778" t="s">
        <v>1317</v>
      </c>
    </row>
    <row r="189" spans="16:16" ht="12" customHeight="1">
      <c r="P189" s="3778" t="s">
        <v>1318</v>
      </c>
    </row>
    <row r="190" spans="16:16">
      <c r="P190" s="3778" t="s">
        <v>1319</v>
      </c>
    </row>
    <row r="191" spans="16:16" ht="12" customHeight="1">
      <c r="P191" s="3778" t="s">
        <v>1320</v>
      </c>
    </row>
    <row r="192" spans="16:16" ht="12" customHeight="1">
      <c r="P192" s="3778" t="s">
        <v>1321</v>
      </c>
    </row>
    <row r="193" spans="16:16" ht="12" customHeight="1">
      <c r="P193" s="3778" t="s">
        <v>1322</v>
      </c>
    </row>
    <row r="194" spans="16:16" ht="12" customHeight="1">
      <c r="P194" s="3778" t="s">
        <v>1323</v>
      </c>
    </row>
    <row r="195" spans="16:16" ht="12" customHeight="1">
      <c r="P195" s="3778" t="s">
        <v>1324</v>
      </c>
    </row>
    <row r="196" spans="16:16" ht="12" customHeight="1">
      <c r="P196" s="3778" t="s">
        <v>1325</v>
      </c>
    </row>
    <row r="197" spans="16:16" ht="12" customHeight="1">
      <c r="P197" s="3778" t="s">
        <v>1326</v>
      </c>
    </row>
    <row r="198" spans="16:16" ht="12" customHeight="1">
      <c r="P198" s="3778" t="s">
        <v>1327</v>
      </c>
    </row>
    <row r="199" spans="16:16" ht="12" customHeight="1">
      <c r="P199" s="3778" t="s">
        <v>1328</v>
      </c>
    </row>
    <row r="200" spans="16:16" ht="12" customHeight="1">
      <c r="P200" s="3778" t="s">
        <v>1329</v>
      </c>
    </row>
    <row r="201" spans="16:16" ht="12" customHeight="1">
      <c r="P201" s="3778" t="s">
        <v>1330</v>
      </c>
    </row>
    <row r="202" spans="16:16" ht="12" customHeight="1">
      <c r="P202" s="3778" t="s">
        <v>1331</v>
      </c>
    </row>
    <row r="203" spans="16:16" ht="12" customHeight="1">
      <c r="P203" s="3778" t="s">
        <v>1332</v>
      </c>
    </row>
    <row r="204" spans="16:16" ht="12" customHeight="1">
      <c r="P204" s="3778" t="s">
        <v>1333</v>
      </c>
    </row>
    <row r="205" spans="16:16" ht="12" customHeight="1">
      <c r="P205" s="3778" t="s">
        <v>1334</v>
      </c>
    </row>
    <row r="206" spans="16:16" ht="12" customHeight="1">
      <c r="P206" s="3778" t="s">
        <v>1335</v>
      </c>
    </row>
    <row r="207" spans="16:16" ht="12" customHeight="1">
      <c r="P207" s="3778" t="s">
        <v>1336</v>
      </c>
    </row>
    <row r="208" spans="16:16" ht="12" customHeight="1">
      <c r="P208" s="3778" t="s">
        <v>1337</v>
      </c>
    </row>
    <row r="209" spans="16:16" ht="12" customHeight="1">
      <c r="P209" s="3778" t="s">
        <v>1338</v>
      </c>
    </row>
    <row r="210" spans="16:16" ht="12" customHeight="1">
      <c r="P210" s="3778" t="s">
        <v>1339</v>
      </c>
    </row>
  </sheetData>
  <sheetProtection algorithmName="SHA-512" hashValue="szpkvAp2Nbdgj8gJ9ODZHDD5T+5KlRfw6HGXl3cUBnj+5NJ6Xw6elGVy7Hlsy4jctj5g4+gw48hig+H1DP/JSg==" saltValue="iFF7gH1ChCkEEyOijybQ+Q==" spinCount="100000" sheet="1" objects="1" scenarios="1" selectLockedCells="1" selectUnlockedCells="1"/>
  <mergeCells count="267">
    <mergeCell ref="D129:E129"/>
    <mergeCell ref="G129:S129"/>
    <mergeCell ref="U140:V145"/>
    <mergeCell ref="J8:K8"/>
    <mergeCell ref="M8:N8"/>
    <mergeCell ref="Q8:S8"/>
    <mergeCell ref="H9:I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L35:N35"/>
    <mergeCell ref="A1:S1"/>
    <mergeCell ref="H5:N5"/>
    <mergeCell ref="Q5:S5"/>
    <mergeCell ref="H6:N6"/>
    <mergeCell ref="Q6:S6"/>
    <mergeCell ref="H7:J7"/>
    <mergeCell ref="L7:N7"/>
    <mergeCell ref="Q7:S7"/>
    <mergeCell ref="Q33:S33"/>
    <mergeCell ref="O3:S3"/>
    <mergeCell ref="L9:S9"/>
    <mergeCell ref="H33:N3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Q26:S26"/>
    <mergeCell ref="H41:J41"/>
    <mergeCell ref="L41:N41"/>
    <mergeCell ref="Q41:S41"/>
    <mergeCell ref="L42:M42"/>
    <mergeCell ref="Q42:S42"/>
    <mergeCell ref="H43:I43"/>
    <mergeCell ref="L43:S43"/>
    <mergeCell ref="H37:I37"/>
    <mergeCell ref="Q39:S39"/>
    <mergeCell ref="H40:N40"/>
    <mergeCell ref="Q40:S40"/>
    <mergeCell ref="H39:N39"/>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2020-059 Dulles Park II, Gray, Jones County</v>
      </c>
      <c r="B1" s="2476"/>
      <c r="C1" s="2476"/>
      <c r="D1" s="2476"/>
      <c r="E1" s="2476"/>
      <c r="F1" s="2476"/>
      <c r="G1" s="2476"/>
      <c r="H1" s="2476"/>
      <c r="I1" s="2476"/>
      <c r="J1" s="2476"/>
      <c r="K1" s="2476"/>
      <c r="L1" s="2476"/>
      <c r="M1" s="2476"/>
      <c r="N1" s="2476"/>
      <c r="O1" s="2476"/>
      <c r="P1" s="2476"/>
      <c r="Q1" s="2477"/>
      <c r="S1" s="2520" t="str">
        <f>$A$1</f>
        <v>PART THREE - SOURCES OF FUNDS  -  2020-059 Dulles Park II, Gray, Jones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2606</v>
      </c>
      <c r="T4" s="2509"/>
    </row>
    <row r="5" spans="1:20" s="268" customFormat="1" ht="16.5" customHeight="1">
      <c r="A5" s="471"/>
      <c r="B5" s="3666" t="s">
        <v>2885</v>
      </c>
      <c r="C5" s="2346" t="s">
        <v>2347</v>
      </c>
      <c r="D5" s="293"/>
      <c r="E5" s="3666"/>
      <c r="F5" s="2346" t="s">
        <v>3540</v>
      </c>
      <c r="G5" s="293"/>
      <c r="H5" s="3779"/>
      <c r="I5" s="2928"/>
      <c r="L5" s="3666"/>
      <c r="M5" s="2346" t="s">
        <v>1504</v>
      </c>
      <c r="O5" s="3518"/>
      <c r="P5" s="2489" t="s">
        <v>4488</v>
      </c>
      <c r="Q5" s="2489"/>
      <c r="S5" s="3780"/>
      <c r="T5" s="3781"/>
    </row>
    <row r="6" spans="1:20" s="268" customFormat="1" ht="16.5" customHeight="1">
      <c r="A6" s="471"/>
      <c r="B6" s="3547"/>
      <c r="C6" s="2346" t="s">
        <v>4428</v>
      </c>
      <c r="D6" s="293"/>
      <c r="E6" s="3604"/>
      <c r="F6" s="2346" t="s">
        <v>3541</v>
      </c>
      <c r="H6" s="3782"/>
      <c r="I6" s="3783"/>
      <c r="L6" s="3547"/>
      <c r="M6" s="2346" t="s">
        <v>534</v>
      </c>
      <c r="P6" s="2489"/>
      <c r="Q6" s="2489"/>
      <c r="S6" s="3784"/>
      <c r="T6" s="3785"/>
    </row>
    <row r="7" spans="1:20" s="268" customFormat="1" ht="16.5" customHeight="1">
      <c r="A7" s="293"/>
      <c r="B7" s="3547"/>
      <c r="C7" s="2346" t="s">
        <v>535</v>
      </c>
      <c r="F7" s="293" t="s">
        <v>4427</v>
      </c>
      <c r="H7" s="3786" t="s">
        <v>3335</v>
      </c>
      <c r="I7" s="3787"/>
      <c r="J7" s="3788"/>
      <c r="L7" s="3547"/>
      <c r="M7" s="2348" t="s">
        <v>3455</v>
      </c>
      <c r="P7" s="1556"/>
      <c r="Q7" s="1556"/>
      <c r="S7" s="3784"/>
      <c r="T7" s="3785"/>
    </row>
    <row r="8" spans="1:20" s="268" customFormat="1" ht="16.5" customHeight="1">
      <c r="A8" s="471"/>
      <c r="B8" s="3547"/>
      <c r="C8" s="2346" t="s">
        <v>2533</v>
      </c>
      <c r="E8" s="3666"/>
      <c r="F8" s="2348" t="s">
        <v>2541</v>
      </c>
      <c r="L8" s="3547"/>
      <c r="M8" s="2348" t="s">
        <v>4429</v>
      </c>
      <c r="S8" s="3789"/>
      <c r="T8" s="3790"/>
    </row>
    <row r="9" spans="1:20" s="268" customFormat="1" ht="16.5" customHeight="1">
      <c r="A9" s="471"/>
      <c r="B9" s="3547"/>
      <c r="C9" s="2346" t="s">
        <v>2534</v>
      </c>
      <c r="E9" s="3547"/>
      <c r="F9" s="2348" t="s">
        <v>3539</v>
      </c>
      <c r="H9" s="3791" t="s">
        <v>3651</v>
      </c>
      <c r="I9" s="3792"/>
      <c r="J9" s="3788"/>
      <c r="L9" s="3547"/>
      <c r="M9" s="2346" t="s">
        <v>3504</v>
      </c>
      <c r="S9" s="3780"/>
      <c r="T9" s="3781"/>
    </row>
    <row r="10" spans="1:20" s="268" customFormat="1" ht="16.5" customHeight="1">
      <c r="A10" s="471"/>
      <c r="B10" s="3547"/>
      <c r="C10" s="2348" t="s">
        <v>3508</v>
      </c>
      <c r="E10" s="3793"/>
      <c r="F10" s="3794" t="s">
        <v>4222</v>
      </c>
      <c r="G10" s="3631"/>
      <c r="H10" s="3631"/>
      <c r="I10" s="3631"/>
      <c r="J10" s="3646"/>
      <c r="L10" s="3547"/>
      <c r="M10" s="293" t="s">
        <v>2542</v>
      </c>
      <c r="S10" s="3784"/>
      <c r="T10" s="3785"/>
    </row>
    <row r="11" spans="1:20" s="268" customFormat="1" ht="16.5" customHeight="1">
      <c r="A11" s="471"/>
      <c r="B11" s="3547"/>
      <c r="C11" s="293" t="s">
        <v>3662</v>
      </c>
      <c r="F11" s="3795" t="s">
        <v>4224</v>
      </c>
      <c r="G11" s="3796"/>
      <c r="H11" s="3796"/>
      <c r="I11" s="3796"/>
      <c r="J11" s="3797"/>
      <c r="L11" s="3547"/>
      <c r="M11" s="293" t="s">
        <v>3542</v>
      </c>
      <c r="S11" s="3784"/>
      <c r="T11" s="3785"/>
    </row>
    <row r="12" spans="1:20" s="268" customFormat="1" ht="16.5" customHeight="1">
      <c r="A12" s="471"/>
      <c r="B12" s="3547"/>
      <c r="C12" s="293" t="s">
        <v>2540</v>
      </c>
      <c r="E12" s="3798"/>
      <c r="F12" s="3794" t="s">
        <v>4223</v>
      </c>
      <c r="G12" s="3631"/>
      <c r="H12" s="3631"/>
      <c r="I12" s="3631"/>
      <c r="J12" s="3646"/>
      <c r="L12" s="3547"/>
      <c r="M12" s="293" t="s">
        <v>2704</v>
      </c>
      <c r="S12" s="3784"/>
      <c r="T12" s="3785"/>
    </row>
    <row r="13" spans="1:20" s="268" customFormat="1" ht="16.5" customHeight="1">
      <c r="A13" s="471"/>
      <c r="B13" s="3547"/>
      <c r="C13" s="293" t="s">
        <v>3538</v>
      </c>
      <c r="F13" s="3795" t="s">
        <v>4225</v>
      </c>
      <c r="G13" s="3796"/>
      <c r="H13" s="3796"/>
      <c r="I13" s="3796"/>
      <c r="J13" s="3797"/>
      <c r="L13" s="3547"/>
      <c r="M13" s="2348" t="s">
        <v>3661</v>
      </c>
      <c r="S13" s="3789"/>
      <c r="T13" s="3790"/>
    </row>
    <row r="14" spans="1:20" s="268" customFormat="1" ht="16.5" customHeight="1">
      <c r="A14" s="471"/>
      <c r="B14" s="3604"/>
      <c r="C14" s="2346" t="s">
        <v>1757</v>
      </c>
      <c r="E14" s="3518"/>
      <c r="F14" s="2346" t="s">
        <v>4426</v>
      </c>
      <c r="I14" s="3799"/>
      <c r="J14" s="3800"/>
      <c r="L14" s="3604"/>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525" t="s">
        <v>1271</v>
      </c>
      <c r="I19" s="2525"/>
      <c r="J19" s="2525"/>
      <c r="K19" s="2525"/>
      <c r="L19" s="2432" t="s">
        <v>4389</v>
      </c>
      <c r="M19" s="2432"/>
      <c r="N19" s="2432" t="s">
        <v>1475</v>
      </c>
      <c r="O19" s="2432"/>
      <c r="P19" s="2432" t="s">
        <v>1597</v>
      </c>
      <c r="Q19" s="2432"/>
      <c r="S19" s="2509" t="s">
        <v>2606</v>
      </c>
      <c r="T19" s="2509"/>
    </row>
    <row r="20" spans="1:20" s="268" customFormat="1" ht="15.75" customHeight="1">
      <c r="A20" s="293"/>
      <c r="B20" s="2510" t="s">
        <v>1558</v>
      </c>
      <c r="C20" s="2511"/>
      <c r="D20" s="2511"/>
      <c r="E20" s="2354"/>
      <c r="F20" s="2354"/>
      <c r="G20" s="2354"/>
      <c r="H20" s="3801" t="s">
        <v>7046</v>
      </c>
      <c r="I20" s="3802"/>
      <c r="J20" s="3802"/>
      <c r="K20" s="3803"/>
      <c r="L20" s="3804">
        <v>7367897</v>
      </c>
      <c r="M20" s="3805"/>
      <c r="N20" s="3806">
        <v>5.5E-2</v>
      </c>
      <c r="O20" s="3807"/>
      <c r="P20" s="3808">
        <v>18</v>
      </c>
      <c r="Q20" s="3809"/>
      <c r="S20" s="3780"/>
      <c r="T20" s="3781"/>
    </row>
    <row r="21" spans="1:20" s="268" customFormat="1" ht="15.75" customHeight="1">
      <c r="A21" s="293"/>
      <c r="B21" s="2494" t="s">
        <v>1559</v>
      </c>
      <c r="C21" s="2495"/>
      <c r="D21" s="2495"/>
      <c r="E21" s="2356"/>
      <c r="F21" s="2356"/>
      <c r="G21" s="2356"/>
      <c r="H21" s="3810"/>
      <c r="I21" s="3811"/>
      <c r="J21" s="3811"/>
      <c r="K21" s="3812"/>
      <c r="L21" s="3813"/>
      <c r="M21" s="3814"/>
      <c r="N21" s="3815"/>
      <c r="O21" s="3816"/>
      <c r="P21" s="3817"/>
      <c r="Q21" s="3818"/>
      <c r="S21" s="3784"/>
      <c r="T21" s="3785"/>
    </row>
    <row r="22" spans="1:20" s="268" customFormat="1" ht="15.75" customHeight="1">
      <c r="A22" s="293"/>
      <c r="B22" s="2518" t="s">
        <v>1560</v>
      </c>
      <c r="C22" s="2519"/>
      <c r="D22" s="2519"/>
      <c r="E22" s="2359"/>
      <c r="F22" s="2359"/>
      <c r="G22" s="2359"/>
      <c r="H22" s="3819"/>
      <c r="I22" s="3820"/>
      <c r="J22" s="3820"/>
      <c r="K22" s="3821"/>
      <c r="L22" s="3822"/>
      <c r="M22" s="3823"/>
      <c r="N22" s="3824"/>
      <c r="O22" s="3825"/>
      <c r="P22" s="3826"/>
      <c r="Q22" s="3827"/>
      <c r="S22" s="3784"/>
      <c r="T22" s="3785"/>
    </row>
    <row r="23" spans="1:20" s="268" customFormat="1" ht="15.75" customHeight="1">
      <c r="A23" s="293"/>
      <c r="B23" s="2510" t="s">
        <v>2158</v>
      </c>
      <c r="C23" s="2511"/>
      <c r="D23" s="2511"/>
      <c r="E23" s="2356"/>
      <c r="F23" s="2356"/>
      <c r="G23" s="2356"/>
      <c r="H23" s="3828"/>
      <c r="I23" s="3829"/>
      <c r="J23" s="3829"/>
      <c r="K23" s="3830"/>
      <c r="L23" s="3831"/>
      <c r="M23" s="3832"/>
      <c r="N23" s="2512"/>
      <c r="O23" s="2513"/>
      <c r="P23" s="2507"/>
      <c r="Q23" s="2507"/>
      <c r="S23" s="3784"/>
      <c r="T23" s="3785"/>
    </row>
    <row r="24" spans="1:20" s="268" customFormat="1" ht="15.75" customHeight="1">
      <c r="A24" s="293"/>
      <c r="B24" s="2494" t="s">
        <v>781</v>
      </c>
      <c r="C24" s="2495"/>
      <c r="D24" s="2495"/>
      <c r="E24" s="2356"/>
      <c r="H24" s="3810"/>
      <c r="I24" s="3811"/>
      <c r="J24" s="3811"/>
      <c r="K24" s="3812"/>
      <c r="L24" s="3813"/>
      <c r="M24" s="3814"/>
      <c r="N24" s="2512"/>
      <c r="O24" s="2513"/>
      <c r="P24" s="2507"/>
      <c r="Q24" s="2507"/>
      <c r="S24" s="3784"/>
      <c r="T24" s="3785"/>
    </row>
    <row r="25" spans="1:20" s="268" customFormat="1" ht="15.75" customHeight="1">
      <c r="A25" s="293"/>
      <c r="B25" s="2494" t="s">
        <v>623</v>
      </c>
      <c r="C25" s="2495"/>
      <c r="D25" s="2495"/>
      <c r="E25" s="2356"/>
      <c r="H25" s="3810"/>
      <c r="I25" s="3811"/>
      <c r="J25" s="3811"/>
      <c r="K25" s="3812"/>
      <c r="L25" s="3813"/>
      <c r="M25" s="3814"/>
      <c r="N25" s="2512"/>
      <c r="O25" s="2513"/>
      <c r="P25" s="2507"/>
      <c r="Q25" s="2507"/>
      <c r="S25" s="3784"/>
      <c r="T25" s="3785"/>
    </row>
    <row r="26" spans="1:20" s="268" customFormat="1" ht="15.75" customHeight="1">
      <c r="A26" s="293"/>
      <c r="B26" s="2494" t="s">
        <v>782</v>
      </c>
      <c r="C26" s="2495"/>
      <c r="D26" s="2495"/>
      <c r="E26" s="2356"/>
      <c r="H26" s="3810" t="s">
        <v>7047</v>
      </c>
      <c r="I26" s="3811"/>
      <c r="J26" s="3811"/>
      <c r="K26" s="3812"/>
      <c r="L26" s="3813">
        <v>1474960</v>
      </c>
      <c r="M26" s="3814"/>
      <c r="N26" s="293"/>
      <c r="Q26" s="293"/>
      <c r="S26" s="3789"/>
      <c r="T26" s="3790"/>
    </row>
    <row r="27" spans="1:20" s="268" customFormat="1" ht="15.75" customHeight="1">
      <c r="A27" s="293"/>
      <c r="B27" s="2494" t="s">
        <v>783</v>
      </c>
      <c r="C27" s="2495"/>
      <c r="D27" s="2495"/>
      <c r="E27" s="2356"/>
      <c r="H27" s="3810" t="s">
        <v>7047</v>
      </c>
      <c r="I27" s="3811"/>
      <c r="J27" s="3811"/>
      <c r="K27" s="3812"/>
      <c r="L27" s="3813">
        <v>671282</v>
      </c>
      <c r="M27" s="3814"/>
      <c r="N27" s="293"/>
      <c r="Q27" s="293"/>
      <c r="S27" s="3780"/>
      <c r="T27" s="3781"/>
    </row>
    <row r="28" spans="1:20" s="268" customFormat="1" ht="15.75" customHeight="1">
      <c r="A28" s="293"/>
      <c r="B28" s="2355" t="s">
        <v>237</v>
      </c>
      <c r="C28" s="2356"/>
      <c r="D28" s="3833" t="s">
        <v>7095</v>
      </c>
      <c r="E28" s="3833"/>
      <c r="F28" s="3833"/>
      <c r="G28" s="3833"/>
      <c r="H28" s="3810"/>
      <c r="I28" s="3811"/>
      <c r="J28" s="3811"/>
      <c r="K28" s="3812"/>
      <c r="L28" s="3813">
        <v>110</v>
      </c>
      <c r="M28" s="3814"/>
      <c r="N28" s="293"/>
      <c r="Q28" s="293"/>
      <c r="S28" s="3784"/>
      <c r="T28" s="3785"/>
    </row>
    <row r="29" spans="1:20" s="268" customFormat="1" ht="15.75" customHeight="1">
      <c r="A29" s="293"/>
      <c r="B29" s="2355" t="s">
        <v>237</v>
      </c>
      <c r="C29" s="2356"/>
      <c r="D29" s="3834"/>
      <c r="E29" s="3834"/>
      <c r="F29" s="3834"/>
      <c r="G29" s="3834"/>
      <c r="H29" s="3810"/>
      <c r="I29" s="3811"/>
      <c r="J29" s="3811"/>
      <c r="K29" s="3812"/>
      <c r="L29" s="3813"/>
      <c r="M29" s="3814"/>
      <c r="N29" s="293"/>
      <c r="S29" s="3784"/>
      <c r="T29" s="3785"/>
    </row>
    <row r="30" spans="1:20" s="268" customFormat="1" ht="15.75" customHeight="1">
      <c r="A30" s="293"/>
      <c r="B30" s="2358" t="s">
        <v>237</v>
      </c>
      <c r="C30" s="2359"/>
      <c r="D30" s="3835"/>
      <c r="E30" s="3835"/>
      <c r="F30" s="3835"/>
      <c r="G30" s="3835"/>
      <c r="H30" s="3819"/>
      <c r="I30" s="3820"/>
      <c r="J30" s="3820"/>
      <c r="K30" s="3821"/>
      <c r="L30" s="3822"/>
      <c r="M30" s="3823"/>
      <c r="N30" s="293"/>
      <c r="S30" s="3784"/>
      <c r="T30" s="3785"/>
    </row>
    <row r="31" spans="1:20" s="268" customFormat="1" ht="16.5" customHeight="1">
      <c r="A31" s="293"/>
      <c r="B31" s="2350" t="s">
        <v>1272</v>
      </c>
      <c r="C31" s="293"/>
      <c r="D31" s="293"/>
      <c r="E31" s="293"/>
      <c r="F31" s="293"/>
      <c r="G31" s="293"/>
      <c r="H31" s="293"/>
      <c r="I31" s="293"/>
      <c r="L31" s="2514">
        <f>SUM(L20:L30)</f>
        <v>9514249</v>
      </c>
      <c r="M31" s="2515"/>
      <c r="N31" s="311"/>
      <c r="S31" s="3784"/>
      <c r="T31" s="3785"/>
    </row>
    <row r="32" spans="1:20" s="268" customFormat="1" ht="16.5" customHeight="1">
      <c r="A32" s="293"/>
      <c r="B32" s="2346" t="s">
        <v>1273</v>
      </c>
      <c r="C32" s="293"/>
      <c r="D32" s="293"/>
      <c r="E32" s="293"/>
      <c r="F32" s="293"/>
      <c r="G32" s="293"/>
      <c r="H32" s="293"/>
      <c r="I32" s="293"/>
      <c r="L32" s="3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9514249</v>
      </c>
      <c r="M32" s="3837"/>
      <c r="N32" s="820"/>
      <c r="S32" s="3784"/>
      <c r="T32" s="3785"/>
    </row>
    <row r="33" spans="1:20" s="268" customFormat="1" ht="16.5" customHeight="1">
      <c r="A33" s="293"/>
      <c r="B33" s="2348" t="s">
        <v>2106</v>
      </c>
      <c r="C33" s="293"/>
      <c r="D33" s="293"/>
      <c r="E33" s="293"/>
      <c r="F33" s="293"/>
      <c r="G33" s="293"/>
      <c r="H33" s="293"/>
      <c r="I33" s="293"/>
      <c r="L33" s="2516">
        <f>L31-L32</f>
        <v>0</v>
      </c>
      <c r="M33" s="2517"/>
      <c r="N33" s="820"/>
      <c r="S33" s="3789"/>
      <c r="T33" s="3790"/>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2050</v>
      </c>
      <c r="L36" s="2357" t="s">
        <v>1269</v>
      </c>
      <c r="M36" s="2357" t="s">
        <v>1274</v>
      </c>
      <c r="P36" s="2508" t="s">
        <v>32</v>
      </c>
      <c r="Q36" s="2508"/>
      <c r="S36" s="338"/>
    </row>
    <row r="37" spans="1:20" s="268" customFormat="1" ht="13.35" customHeight="1">
      <c r="A37" s="293"/>
      <c r="B37" s="2352" t="s">
        <v>1823</v>
      </c>
      <c r="C37" s="2359"/>
      <c r="D37" s="2359"/>
      <c r="E37" s="2415" t="s">
        <v>1271</v>
      </c>
      <c r="F37" s="2415"/>
      <c r="G37" s="2415"/>
      <c r="H37" s="2415"/>
      <c r="I37" s="2432" t="s">
        <v>4388</v>
      </c>
      <c r="J37" s="2432"/>
      <c r="K37" s="2345" t="s">
        <v>1760</v>
      </c>
      <c r="L37" s="2345" t="s">
        <v>2157</v>
      </c>
      <c r="M37" s="2345" t="s">
        <v>2157</v>
      </c>
      <c r="N37" s="2432" t="s">
        <v>72</v>
      </c>
      <c r="O37" s="2432"/>
      <c r="P37" s="3838"/>
      <c r="Q37" s="3838"/>
      <c r="S37" s="2509" t="s">
        <v>2606</v>
      </c>
      <c r="T37" s="2509"/>
    </row>
    <row r="38" spans="1:20" s="268" customFormat="1" ht="15.75" customHeight="1">
      <c r="A38" s="293"/>
      <c r="B38" s="2510" t="s">
        <v>2546</v>
      </c>
      <c r="C38" s="2511"/>
      <c r="D38" s="2511"/>
      <c r="E38" s="3801"/>
      <c r="F38" s="3802"/>
      <c r="G38" s="3802"/>
      <c r="H38" s="3803"/>
      <c r="I38" s="3839"/>
      <c r="J38" s="3840"/>
      <c r="K38" s="3841"/>
      <c r="L38" s="3603"/>
      <c r="M38" s="3603"/>
      <c r="N38" s="3842"/>
      <c r="O38" s="3842"/>
      <c r="P38" s="3843" t="str">
        <f>IF(OR(I38&lt;=0,I38=""),"",IF(N38="Cash Flow",0,IF(N38="Amortizing",-PMT(K38/12,M38*12,I38,0,0)*12,"")))</f>
        <v/>
      </c>
      <c r="Q38" s="3843"/>
      <c r="S38" s="3780"/>
      <c r="T38" s="3781"/>
    </row>
    <row r="39" spans="1:20" s="268" customFormat="1" ht="15.75" customHeight="1">
      <c r="A39" s="293"/>
      <c r="B39" s="2494" t="s">
        <v>2547</v>
      </c>
      <c r="C39" s="2495"/>
      <c r="D39" s="2495"/>
      <c r="E39" s="3810"/>
      <c r="F39" s="3811"/>
      <c r="G39" s="3811"/>
      <c r="H39" s="3812"/>
      <c r="I39" s="3844"/>
      <c r="J39" s="3845"/>
      <c r="K39" s="3846"/>
      <c r="L39" s="3547"/>
      <c r="M39" s="3547"/>
      <c r="N39" s="3847"/>
      <c r="O39" s="3847"/>
      <c r="P39" s="3848" t="str">
        <f>IF(OR(I39&lt;=0,I39=""),"",IF(N39="Cash Flow",0,IF(N39="Amortizing",-PMT(K39/12,M39*12,I39,0,0)*12,"")))</f>
        <v/>
      </c>
      <c r="Q39" s="3848"/>
      <c r="S39" s="3784"/>
      <c r="T39" s="3785"/>
    </row>
    <row r="40" spans="1:20" s="268" customFormat="1" ht="15.75" customHeight="1">
      <c r="A40" s="293"/>
      <c r="B40" s="2494" t="s">
        <v>2548</v>
      </c>
      <c r="C40" s="2495"/>
      <c r="D40" s="2495"/>
      <c r="E40" s="3810"/>
      <c r="F40" s="3811"/>
      <c r="G40" s="3811"/>
      <c r="H40" s="3812"/>
      <c r="I40" s="3844"/>
      <c r="J40" s="3845"/>
      <c r="K40" s="3846"/>
      <c r="L40" s="3547"/>
      <c r="M40" s="3547"/>
      <c r="N40" s="3847"/>
      <c r="O40" s="3847"/>
      <c r="P40" s="3848" t="str">
        <f>IF(OR(I40&lt;=0,I40=""),"",IF(N40="Cash Flow",0,IF(N40="Amortizing",-PMT(K40/12,M40*12,I40,0,0)*12,"")))</f>
        <v/>
      </c>
      <c r="Q40" s="3848"/>
      <c r="S40" s="3784"/>
      <c r="T40" s="3785"/>
    </row>
    <row r="41" spans="1:20" s="268" customFormat="1" ht="15.75" customHeight="1">
      <c r="A41" s="293"/>
      <c r="B41" s="2355" t="s">
        <v>723</v>
      </c>
      <c r="C41" s="3849"/>
      <c r="D41" s="3850"/>
      <c r="E41" s="3810"/>
      <c r="F41" s="3811"/>
      <c r="G41" s="3811"/>
      <c r="H41" s="3812"/>
      <c r="I41" s="3851"/>
      <c r="J41" s="3852"/>
      <c r="K41" s="3853"/>
      <c r="L41" s="3604"/>
      <c r="M41" s="3604"/>
      <c r="N41" s="3854"/>
      <c r="O41" s="3854"/>
      <c r="P41" s="3855" t="str">
        <f>IF(OR(I41&lt;=0,I41=""),"",IF(N41="Cash Flow",0,IF(N41="Amortizing",-PMT(K41/12,M41*12,I41,0,0)*12,"")))</f>
        <v/>
      </c>
      <c r="Q41" s="3855"/>
      <c r="S41" s="3784"/>
      <c r="T41" s="3785"/>
    </row>
    <row r="42" spans="1:20" s="268" customFormat="1" ht="15.75" customHeight="1">
      <c r="A42" s="293"/>
      <c r="B42" s="2355" t="s">
        <v>4553</v>
      </c>
      <c r="C42" s="2356"/>
      <c r="D42" s="2362"/>
      <c r="E42" s="3810"/>
      <c r="F42" s="3811"/>
      <c r="G42" s="3811"/>
      <c r="H42" s="3812"/>
      <c r="I42" s="3844"/>
      <c r="J42" s="3845"/>
      <c r="K42" s="451"/>
      <c r="L42" s="2361"/>
      <c r="M42" s="2361"/>
      <c r="N42" s="2506"/>
      <c r="O42" s="2506"/>
      <c r="P42" s="2505"/>
      <c r="Q42" s="2505"/>
      <c r="S42" s="3784"/>
      <c r="T42" s="3785"/>
    </row>
    <row r="43" spans="1:20" s="268" customFormat="1" ht="15.75" customHeight="1">
      <c r="A43" s="293"/>
      <c r="B43" s="2358" t="s">
        <v>223</v>
      </c>
      <c r="C43" s="2359"/>
      <c r="D43" s="365">
        <f>IF(OR(I43="",I43=0,'Part IV-A-Uses of Funds'!$G$118="",'Part IV-A-Uses of Funds'!$G$118=0),"",I43/'Part IV-A-Uses of Funds'!$G$118)</f>
        <v>7.8166666666666662E-3</v>
      </c>
      <c r="E43" s="3819" t="s">
        <v>7048</v>
      </c>
      <c r="F43" s="3820"/>
      <c r="G43" s="3820"/>
      <c r="H43" s="3821"/>
      <c r="I43" s="3856">
        <v>9380</v>
      </c>
      <c r="J43" s="3857"/>
      <c r="K43" s="3858">
        <v>0</v>
      </c>
      <c r="L43" s="3518">
        <v>15</v>
      </c>
      <c r="M43" s="3518"/>
      <c r="N43" s="3859" t="s">
        <v>1142</v>
      </c>
      <c r="O43" s="3860"/>
      <c r="P43" s="3861">
        <f>IF(OR(I43&lt;=0,I43=""),"",IF(N43="Cash Flow",0,IF(N43="Amortizing",-PMT(K43/12,M43*12,I43,0,0)*12,"")))</f>
        <v>0</v>
      </c>
      <c r="Q43" s="3862"/>
      <c r="S43" s="3784"/>
      <c r="T43" s="3785"/>
    </row>
    <row r="44" spans="1:20" s="268" customFormat="1" ht="3" customHeight="1">
      <c r="A44" s="293"/>
      <c r="B44" s="293"/>
      <c r="C44" s="293"/>
      <c r="D44" s="293"/>
      <c r="E44" s="293"/>
      <c r="F44" s="293"/>
      <c r="G44" s="293"/>
      <c r="H44" s="293"/>
      <c r="I44" s="3863"/>
      <c r="J44" s="3864"/>
      <c r="K44" s="3865"/>
      <c r="L44" s="2357"/>
      <c r="M44" s="2357"/>
      <c r="N44" s="3866"/>
      <c r="O44" s="3866"/>
      <c r="P44" s="2357"/>
      <c r="Q44" s="2357"/>
      <c r="S44" s="3784"/>
      <c r="T44" s="3785"/>
    </row>
    <row r="45" spans="1:20" s="268" customFormat="1" ht="14.25" customHeight="1">
      <c r="A45" s="293"/>
      <c r="B45" s="1020" t="s">
        <v>3833</v>
      </c>
      <c r="C45" s="2356"/>
      <c r="E45" s="268" t="s">
        <v>3772</v>
      </c>
      <c r="F45" s="2487">
        <f>IF(OR($I$43="",$I$43=0,'Part VII-Pro Forma'!$S$34=0,'Part VII-Pro Forma'!$S$34=""),"",VLOOKUP($L$43,'Part VII-Pro Forma'!$Q$20:$S$39,3))</f>
        <v>701749.32344536204</v>
      </c>
      <c r="G45" s="2488"/>
      <c r="H45" s="582" t="s">
        <v>3832</v>
      </c>
      <c r="I45" s="2487">
        <f>IF(OR($I$43="",$I$43=0,'Part VII-Pro Forma'!$R$34=0,'Part VII-Pro Forma'!$R$34=""),"",VLOOKUP($L$43,'Part VII-Pro Forma'!$Q$20:$S$34,2))</f>
        <v>9380</v>
      </c>
      <c r="J45" s="2488"/>
      <c r="K45" s="582" t="s">
        <v>3834</v>
      </c>
      <c r="L45" s="2501">
        <f>IF(OR($F$45 = 0,$F$45 =""),"",$I$45/$F$45)</f>
        <v>1.3366596427834424E-2</v>
      </c>
      <c r="M45" s="2502"/>
      <c r="N45" s="3867" t="s">
        <v>4396</v>
      </c>
      <c r="O45" s="3868"/>
      <c r="P45" s="2503">
        <f>IF(OR($I$60=0,$I$58&gt;$I$59),0,ABS($I$58-$I$59))</f>
        <v>0</v>
      </c>
      <c r="Q45" s="2504"/>
      <c r="S45" s="3784"/>
      <c r="T45" s="3785"/>
    </row>
    <row r="46" spans="1:20" s="268" customFormat="1" ht="3" customHeight="1">
      <c r="A46" s="293"/>
      <c r="B46" s="293"/>
      <c r="C46" s="293"/>
      <c r="D46" s="293"/>
      <c r="E46" s="293"/>
      <c r="F46" s="293"/>
      <c r="G46" s="293"/>
      <c r="H46" s="293"/>
      <c r="I46" s="3869"/>
      <c r="J46" s="3870"/>
      <c r="K46" s="3865"/>
      <c r="L46" s="2357"/>
      <c r="M46" s="2357"/>
      <c r="N46" s="3866"/>
      <c r="O46" s="3866"/>
      <c r="P46" s="2357"/>
      <c r="Q46" s="2357"/>
      <c r="S46" s="3789"/>
      <c r="T46" s="3790"/>
    </row>
    <row r="47" spans="1:20" s="268" customFormat="1" ht="15.75" customHeight="1">
      <c r="A47" s="293"/>
      <c r="B47" s="2491" t="s">
        <v>2158</v>
      </c>
      <c r="C47" s="2492"/>
      <c r="D47" s="2493"/>
      <c r="E47" s="3801"/>
      <c r="F47" s="3802"/>
      <c r="G47" s="3802"/>
      <c r="H47" s="3803"/>
      <c r="I47" s="3871"/>
      <c r="J47" s="3872"/>
      <c r="K47" s="366"/>
      <c r="L47" s="366"/>
      <c r="M47" s="366"/>
      <c r="N47" s="366"/>
      <c r="O47" s="366"/>
      <c r="P47" s="397" t="s">
        <v>502</v>
      </c>
      <c r="Q47" s="366"/>
      <c r="S47" s="3780"/>
      <c r="T47" s="3781"/>
    </row>
    <row r="48" spans="1:20" s="268" customFormat="1" ht="15.75" customHeight="1">
      <c r="A48" s="293"/>
      <c r="B48" s="2494" t="s">
        <v>781</v>
      </c>
      <c r="C48" s="2495"/>
      <c r="D48" s="2496"/>
      <c r="E48" s="3810"/>
      <c r="F48" s="3811"/>
      <c r="G48" s="3811"/>
      <c r="H48" s="3812"/>
      <c r="I48" s="3844"/>
      <c r="J48" s="3845"/>
      <c r="L48" s="2497" t="s">
        <v>503</v>
      </c>
      <c r="M48" s="2497"/>
      <c r="N48" s="2498" t="s">
        <v>504</v>
      </c>
      <c r="O48" s="2498"/>
      <c r="P48" s="398" t="s">
        <v>2493</v>
      </c>
      <c r="Q48" s="366"/>
      <c r="S48" s="3784"/>
      <c r="T48" s="3785"/>
    </row>
    <row r="49" spans="1:23" s="268" customFormat="1" ht="15.75" customHeight="1">
      <c r="A49" s="293"/>
      <c r="B49" s="2494" t="s">
        <v>782</v>
      </c>
      <c r="C49" s="2495"/>
      <c r="D49" s="2496"/>
      <c r="E49" s="3810" t="s">
        <v>7047</v>
      </c>
      <c r="F49" s="3811"/>
      <c r="G49" s="3811"/>
      <c r="H49" s="3812"/>
      <c r="I49" s="3844">
        <v>7374802</v>
      </c>
      <c r="J49" s="3844"/>
      <c r="L49" s="2499">
        <f>'Part IV-A-Uses of Funds'!$J$184*10*'Part IV-A-Uses of Funds'!$N$175</f>
        <v>7450800</v>
      </c>
      <c r="M49" s="2499"/>
      <c r="N49" s="2500">
        <f>I49-L49</f>
        <v>-75998</v>
      </c>
      <c r="O49" s="2500"/>
      <c r="P49" s="399">
        <f>I49/I59</f>
        <v>0.68662210098038301</v>
      </c>
      <c r="Q49" s="366"/>
      <c r="S49" s="3784"/>
      <c r="T49" s="3785"/>
    </row>
    <row r="50" spans="1:23" s="268" customFormat="1" ht="15.75" customHeight="1">
      <c r="A50" s="293"/>
      <c r="B50" s="2494" t="s">
        <v>783</v>
      </c>
      <c r="C50" s="2495"/>
      <c r="D50" s="2496"/>
      <c r="E50" s="3810" t="s">
        <v>7047</v>
      </c>
      <c r="F50" s="3811"/>
      <c r="G50" s="3811"/>
      <c r="H50" s="3812"/>
      <c r="I50" s="3844">
        <v>3356408</v>
      </c>
      <c r="J50" s="3844"/>
      <c r="L50" s="2499">
        <f>'Part IV-A-Uses of Funds'!$J$184*10*'Part IV-A-Uses of Funds'!$Q$175</f>
        <v>3281900</v>
      </c>
      <c r="M50" s="2499"/>
      <c r="N50" s="2500">
        <f>I50-L50</f>
        <v>74508</v>
      </c>
      <c r="O50" s="2500"/>
      <c r="P50" s="399">
        <f>I50/I59</f>
        <v>0.31249434394406322</v>
      </c>
      <c r="Q50" s="366"/>
      <c r="S50" s="3784"/>
      <c r="T50" s="3785"/>
    </row>
    <row r="51" spans="1:23" s="268" customFormat="1" ht="15.75" customHeight="1">
      <c r="A51" s="293"/>
      <c r="B51" s="2494" t="s">
        <v>1383</v>
      </c>
      <c r="C51" s="2495"/>
      <c r="D51" s="2496"/>
      <c r="E51" s="3810"/>
      <c r="F51" s="3811"/>
      <c r="G51" s="3811"/>
      <c r="H51" s="3812"/>
      <c r="I51" s="3844"/>
      <c r="J51" s="3844"/>
      <c r="P51" s="400">
        <f>SUM(P49:P50)</f>
        <v>0.99911644492444629</v>
      </c>
      <c r="Q51" s="366"/>
      <c r="S51" s="3789"/>
      <c r="T51" s="3790"/>
    </row>
    <row r="52" spans="1:23" s="268" customFormat="1" ht="15.75" customHeight="1">
      <c r="A52" s="293"/>
      <c r="B52" s="2355" t="s">
        <v>517</v>
      </c>
      <c r="C52" s="2356"/>
      <c r="D52" s="2362"/>
      <c r="E52" s="3810"/>
      <c r="F52" s="3811"/>
      <c r="G52" s="3811"/>
      <c r="H52" s="3812"/>
      <c r="I52" s="3844"/>
      <c r="J52" s="3844"/>
      <c r="K52" s="293"/>
      <c r="Q52" s="366"/>
      <c r="S52" s="3784"/>
      <c r="T52" s="3785"/>
    </row>
    <row r="53" spans="1:23" s="268" customFormat="1" ht="15.75" customHeight="1">
      <c r="A53" s="293"/>
      <c r="B53" s="2355" t="s">
        <v>1821</v>
      </c>
      <c r="C53" s="2356"/>
      <c r="D53" s="2362"/>
      <c r="E53" s="3810"/>
      <c r="F53" s="3811"/>
      <c r="G53" s="3811"/>
      <c r="H53" s="3812"/>
      <c r="I53" s="3844"/>
      <c r="J53" s="3844"/>
      <c r="N53" s="367"/>
      <c r="O53" s="367"/>
      <c r="P53" s="367"/>
      <c r="Q53" s="366"/>
      <c r="S53" s="3784"/>
      <c r="T53" s="3785"/>
    </row>
    <row r="54" spans="1:23" s="268" customFormat="1" ht="15.75" customHeight="1">
      <c r="A54" s="293"/>
      <c r="B54" s="2355" t="s">
        <v>1822</v>
      </c>
      <c r="C54" s="2356"/>
      <c r="D54" s="2362"/>
      <c r="E54" s="3810"/>
      <c r="F54" s="3811"/>
      <c r="G54" s="3811"/>
      <c r="H54" s="3812"/>
      <c r="I54" s="3844"/>
      <c r="J54" s="3844"/>
      <c r="M54" s="367"/>
      <c r="N54" s="367"/>
      <c r="O54" s="367"/>
      <c r="P54" s="367"/>
      <c r="Q54" s="366"/>
      <c r="S54" s="3784"/>
      <c r="T54" s="3785"/>
    </row>
    <row r="55" spans="1:23" s="268" customFormat="1" ht="15.75" customHeight="1">
      <c r="A55" s="293"/>
      <c r="B55" s="2355" t="s">
        <v>723</v>
      </c>
      <c r="C55" s="3833" t="s">
        <v>7049</v>
      </c>
      <c r="D55" s="3833"/>
      <c r="E55" s="3810"/>
      <c r="F55" s="3811"/>
      <c r="G55" s="3811"/>
      <c r="H55" s="3812"/>
      <c r="I55" s="3844">
        <v>110</v>
      </c>
      <c r="J55" s="3844"/>
      <c r="M55" s="367"/>
      <c r="N55" s="367"/>
      <c r="O55" s="367"/>
      <c r="P55" s="367"/>
      <c r="Q55" s="366"/>
      <c r="S55" s="3784"/>
      <c r="T55" s="3785"/>
    </row>
    <row r="56" spans="1:23" s="268" customFormat="1" ht="15.75" customHeight="1">
      <c r="A56" s="293"/>
      <c r="B56" s="2355" t="s">
        <v>723</v>
      </c>
      <c r="C56" s="3834"/>
      <c r="D56" s="3834"/>
      <c r="E56" s="3810"/>
      <c r="F56" s="3811"/>
      <c r="G56" s="3811"/>
      <c r="H56" s="3812"/>
      <c r="I56" s="3844"/>
      <c r="J56" s="3844"/>
      <c r="K56" s="293"/>
      <c r="L56" s="368"/>
      <c r="M56" s="367"/>
      <c r="N56" s="367"/>
      <c r="O56" s="367"/>
      <c r="P56" s="367"/>
      <c r="Q56" s="366"/>
      <c r="S56" s="3784"/>
      <c r="T56" s="3785"/>
    </row>
    <row r="57" spans="1:23" s="268" customFormat="1" ht="15.75" customHeight="1">
      <c r="A57" s="293"/>
      <c r="B57" s="2358" t="s">
        <v>723</v>
      </c>
      <c r="C57" s="3835"/>
      <c r="D57" s="3835"/>
      <c r="E57" s="3819"/>
      <c r="F57" s="3820"/>
      <c r="G57" s="3820"/>
      <c r="H57" s="3821"/>
      <c r="I57" s="3873"/>
      <c r="J57" s="3873"/>
      <c r="K57" s="293"/>
      <c r="L57" s="368"/>
      <c r="M57" s="367"/>
      <c r="N57" s="367"/>
      <c r="O57" s="367"/>
      <c r="P57" s="367"/>
      <c r="Q57" s="366"/>
      <c r="S57" s="3784"/>
      <c r="T57" s="3785"/>
    </row>
    <row r="58" spans="1:23" s="268" customFormat="1" ht="14.25" customHeight="1">
      <c r="A58" s="293"/>
      <c r="B58" s="2346" t="s">
        <v>2159</v>
      </c>
      <c r="C58" s="293"/>
      <c r="D58" s="293"/>
      <c r="E58" s="293"/>
      <c r="F58" s="293"/>
      <c r="G58" s="293"/>
      <c r="I58" s="2481">
        <f>SUM(I38:J43)+SUM(I47:J57)</f>
        <v>10740700</v>
      </c>
      <c r="J58" s="2482"/>
      <c r="K58" s="293"/>
      <c r="L58" s="368"/>
      <c r="M58" s="367"/>
      <c r="N58" s="367"/>
      <c r="O58" s="367"/>
      <c r="P58" s="367"/>
      <c r="Q58" s="366"/>
      <c r="S58" s="3784"/>
      <c r="T58" s="3785"/>
    </row>
    <row r="59" spans="1:23" s="268" customFormat="1" ht="14.25" customHeight="1" thickBot="1">
      <c r="A59" s="293"/>
      <c r="B59" s="2346" t="s">
        <v>2160</v>
      </c>
      <c r="C59" s="293"/>
      <c r="D59" s="293"/>
      <c r="E59" s="293"/>
      <c r="F59" s="293"/>
      <c r="G59" s="293"/>
      <c r="I59" s="2483">
        <f>'Part IV-A-Uses of Funds'!$G$132</f>
        <v>10740700</v>
      </c>
      <c r="J59" s="2484"/>
      <c r="K59" s="293"/>
      <c r="L59" s="368"/>
      <c r="M59" s="367"/>
      <c r="N59" s="367"/>
      <c r="O59" s="367"/>
      <c r="P59" s="367"/>
      <c r="Q59" s="366"/>
      <c r="S59" s="3784"/>
      <c r="T59" s="3785"/>
    </row>
    <row r="60" spans="1:23" s="268" customFormat="1" ht="14.25" customHeight="1" thickBot="1">
      <c r="A60" s="293"/>
      <c r="B60" s="2348" t="s">
        <v>1493</v>
      </c>
      <c r="C60" s="293"/>
      <c r="D60" s="293"/>
      <c r="E60" s="293"/>
      <c r="F60" s="293"/>
      <c r="G60" s="293"/>
      <c r="I60" s="2485">
        <f>I58-I59</f>
        <v>0</v>
      </c>
      <c r="J60" s="2486"/>
      <c r="K60" s="293"/>
      <c r="L60" s="368"/>
      <c r="M60" s="367"/>
      <c r="N60" s="367"/>
      <c r="O60" s="367"/>
      <c r="P60" s="367"/>
      <c r="Q60" s="366"/>
      <c r="S60" s="3789"/>
      <c r="T60" s="3790"/>
    </row>
    <row r="61" spans="1:23" s="268" customFormat="1" ht="13.35" customHeight="1">
      <c r="A61" s="293" t="s">
        <v>4554</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74"/>
      <c r="B64" s="3874"/>
      <c r="C64" s="3874"/>
      <c r="D64" s="3874"/>
      <c r="E64" s="3874"/>
      <c r="F64" s="3874"/>
      <c r="G64" s="3874"/>
      <c r="H64" s="3874"/>
      <c r="I64" s="3874"/>
      <c r="J64" s="3874"/>
      <c r="K64" s="3874"/>
      <c r="L64" s="3874"/>
      <c r="M64" s="3875"/>
      <c r="N64" s="3875"/>
      <c r="O64" s="3875"/>
      <c r="P64" s="3875"/>
      <c r="Q64" s="3875"/>
      <c r="S64" s="2490" t="s">
        <v>2613</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5KnEJ/xMb6kDoFvi7H6RLsR3n7r6ZDCxbx9NDxl9vmJTMhL+A0k89ifWgQswD7xt7vvGLIIPQmMdsVUYXW8VEg==" saltValue="i9Gz3sHdOYK+ZmUfIm12A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2415</v>
      </c>
      <c r="B16" s="207" t="s">
        <v>2412</v>
      </c>
      <c r="C16" s="207" t="s">
        <v>2413</v>
      </c>
      <c r="D16" s="2532" t="s">
        <v>2195</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2406</v>
      </c>
      <c r="B59" s="2534"/>
      <c r="C59" s="2534"/>
      <c r="D59" s="2534"/>
      <c r="E59" s="2534"/>
      <c r="F59" s="2534"/>
      <c r="G59" s="2534" t="s">
        <v>2406</v>
      </c>
      <c r="H59" s="2534"/>
      <c r="I59" s="2534"/>
      <c r="J59" s="2534"/>
      <c r="K59" s="2534"/>
      <c r="L59" s="2534"/>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2406</v>
      </c>
      <c r="B51" s="2534"/>
      <c r="C51" s="2534"/>
      <c r="D51" s="2534"/>
      <c r="E51" s="2534"/>
      <c r="F51" s="2534"/>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6" zoomScaleNormal="100" workbookViewId="0">
      <selection activeCell="A46"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2020-059 Dulles Park II, Gray, Jones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2020-059 Dulles Park II, Gray, Jones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804">
        <v>5000</v>
      </c>
      <c r="H8" s="3805"/>
      <c r="J8" s="3804">
        <v>5000</v>
      </c>
      <c r="K8" s="3805"/>
      <c r="L8" s="2368"/>
      <c r="M8" s="3804"/>
      <c r="N8" s="3805"/>
      <c r="P8" s="3804"/>
      <c r="Q8" s="3805"/>
      <c r="S8" s="3804"/>
      <c r="T8" s="3805"/>
      <c r="V8" s="3876"/>
      <c r="W8" s="3877"/>
      <c r="X8" s="3878"/>
    </row>
    <row r="9" spans="1:24" s="293" customFormat="1" ht="12.6" customHeight="1">
      <c r="B9" s="293" t="s">
        <v>448</v>
      </c>
      <c r="G9" s="3813">
        <v>8000</v>
      </c>
      <c r="H9" s="3814"/>
      <c r="J9" s="3813">
        <v>8000</v>
      </c>
      <c r="K9" s="3814"/>
      <c r="L9" s="2368"/>
      <c r="M9" s="3813"/>
      <c r="N9" s="3814"/>
      <c r="P9" s="3813"/>
      <c r="Q9" s="3814"/>
      <c r="S9" s="3813"/>
      <c r="T9" s="3814"/>
      <c r="V9" s="3876"/>
      <c r="W9" s="3877"/>
      <c r="X9" s="3878"/>
    </row>
    <row r="10" spans="1:24" s="293" customFormat="1" ht="12.6" customHeight="1">
      <c r="B10" s="293" t="s">
        <v>477</v>
      </c>
      <c r="G10" s="3813">
        <v>10000</v>
      </c>
      <c r="H10" s="3814"/>
      <c r="J10" s="3813">
        <v>10000</v>
      </c>
      <c r="K10" s="3814"/>
      <c r="L10" s="2368"/>
      <c r="M10" s="3813"/>
      <c r="N10" s="3814"/>
      <c r="P10" s="3813"/>
      <c r="Q10" s="3814"/>
      <c r="S10" s="3813"/>
      <c r="T10" s="3814"/>
      <c r="V10" s="3876"/>
      <c r="W10" s="3877"/>
      <c r="X10" s="3878"/>
    </row>
    <row r="11" spans="1:24" s="293" customFormat="1" ht="12.6" customHeight="1">
      <c r="B11" s="293" t="s">
        <v>478</v>
      </c>
      <c r="G11" s="3813">
        <v>9500</v>
      </c>
      <c r="H11" s="3814"/>
      <c r="J11" s="3813">
        <v>9500</v>
      </c>
      <c r="K11" s="3814"/>
      <c r="L11" s="2368"/>
      <c r="M11" s="3813"/>
      <c r="N11" s="3814"/>
      <c r="P11" s="3813"/>
      <c r="Q11" s="3814"/>
      <c r="S11" s="3813"/>
      <c r="T11" s="3814"/>
      <c r="V11" s="3876"/>
      <c r="W11" s="3877"/>
      <c r="X11" s="3878"/>
    </row>
    <row r="12" spans="1:24" s="293" customFormat="1" ht="12.6" customHeight="1">
      <c r="B12" s="293" t="s">
        <v>2434</v>
      </c>
      <c r="G12" s="3813">
        <v>12500</v>
      </c>
      <c r="H12" s="3814"/>
      <c r="J12" s="3813">
        <v>12500</v>
      </c>
      <c r="K12" s="3814"/>
      <c r="L12" s="2368"/>
      <c r="M12" s="3813"/>
      <c r="N12" s="3814"/>
      <c r="P12" s="3813"/>
      <c r="Q12" s="3814"/>
      <c r="S12" s="3813"/>
      <c r="T12" s="3814"/>
      <c r="V12" s="3876"/>
      <c r="W12" s="3877"/>
      <c r="X12" s="3878"/>
    </row>
    <row r="13" spans="1:24" s="293" customFormat="1" ht="12.6" customHeight="1">
      <c r="B13" s="293" t="s">
        <v>186</v>
      </c>
      <c r="G13" s="3813"/>
      <c r="H13" s="3814"/>
      <c r="J13" s="3813"/>
      <c r="K13" s="3814"/>
      <c r="L13" s="2368"/>
      <c r="M13" s="3813"/>
      <c r="N13" s="3814"/>
      <c r="P13" s="3813"/>
      <c r="Q13" s="3814"/>
      <c r="S13" s="3813"/>
      <c r="T13" s="3814"/>
      <c r="V13" s="3876"/>
      <c r="W13" s="3877"/>
      <c r="X13" s="3878"/>
    </row>
    <row r="14" spans="1:24" s="293" customFormat="1" ht="12.6" customHeight="1">
      <c r="A14" s="370" t="str">
        <f>IF(AND(G14&gt;0,OR(C14="",C14="&lt;Enter detailed description here; use Comments section if needed&gt;")),"X","")</f>
        <v/>
      </c>
      <c r="B14" s="293" t="s">
        <v>723</v>
      </c>
      <c r="C14" s="3879" t="s">
        <v>3531</v>
      </c>
      <c r="D14" s="3879"/>
      <c r="E14" s="3879"/>
      <c r="F14" s="3880"/>
      <c r="G14" s="3813"/>
      <c r="H14" s="3814"/>
      <c r="J14" s="3813"/>
      <c r="K14" s="3814"/>
      <c r="L14" s="2368"/>
      <c r="M14" s="3813"/>
      <c r="N14" s="3814"/>
      <c r="P14" s="3813"/>
      <c r="Q14" s="3814"/>
      <c r="S14" s="3813"/>
      <c r="T14" s="3814"/>
      <c r="U14" s="369" t="str">
        <f>IF(AND(G14&gt;0,OR(C14="",C14="&lt;Enter detailed description here; use Comments section if needed&gt;")),"NO DESCRIPTION PROVIDED - please enter detailed description in Other box at left; use Comments section below if needed.","")</f>
        <v/>
      </c>
      <c r="V14" s="3881"/>
      <c r="W14" s="3877"/>
      <c r="X14" s="3878"/>
    </row>
    <row r="15" spans="1:24" s="293" customFormat="1" ht="12.6" customHeight="1">
      <c r="A15" s="370" t="str">
        <f>IF(AND(G15&gt;0,OR(C15="",C15="&lt;Enter detailed description here; use Comments section if needed&gt;")),"X","")</f>
        <v/>
      </c>
      <c r="B15" s="293" t="s">
        <v>723</v>
      </c>
      <c r="C15" s="3879" t="s">
        <v>3531</v>
      </c>
      <c r="D15" s="3879"/>
      <c r="E15" s="3879"/>
      <c r="F15" s="3880"/>
      <c r="G15" s="3813"/>
      <c r="H15" s="3814"/>
      <c r="J15" s="3813"/>
      <c r="K15" s="3814"/>
      <c r="L15" s="2368"/>
      <c r="M15" s="3813"/>
      <c r="N15" s="3814"/>
      <c r="P15" s="3813"/>
      <c r="Q15" s="3814"/>
      <c r="S15" s="3813"/>
      <c r="T15" s="3814"/>
      <c r="U15" s="369" t="str">
        <f>IF(AND(G15&gt;0,OR(C15="",C15="&lt;Enter detailed description here; use Comments section if needed&gt;")),"NO DESCRIPTION PROVIDED - please enter detailed description in Other box at left; use Comments section below if needed.","")</f>
        <v/>
      </c>
      <c r="V15" s="3881"/>
      <c r="W15" s="3877"/>
      <c r="X15" s="3878"/>
    </row>
    <row r="16" spans="1:24" s="293" customFormat="1" ht="12.6" customHeight="1" thickBot="1">
      <c r="A16" s="370" t="str">
        <f>IF(AND(G16&gt;0,OR(C16="",C16="&lt;Enter detailed description here; use Comments section if needed&gt;")),"X","")</f>
        <v/>
      </c>
      <c r="B16" s="293" t="s">
        <v>723</v>
      </c>
      <c r="C16" s="3879" t="s">
        <v>3531</v>
      </c>
      <c r="D16" s="3879"/>
      <c r="E16" s="3879"/>
      <c r="F16" s="3880"/>
      <c r="G16" s="3882"/>
      <c r="H16" s="3883"/>
      <c r="J16" s="3882"/>
      <c r="K16" s="3883"/>
      <c r="L16" s="2368"/>
      <c r="M16" s="3882"/>
      <c r="N16" s="3883"/>
      <c r="P16" s="3882"/>
      <c r="Q16" s="3883"/>
      <c r="S16" s="3882"/>
      <c r="T16" s="3883"/>
      <c r="U16" s="369" t="str">
        <f>IF(AND(G16&gt;0,OR(C16="",C16="&lt;Enter detailed description here; use Comments section if needed&gt;")),"NO DESCRIPTION PROVIDED - please enter detailed description in Other box at left; use Comments section below if needed.","")</f>
        <v/>
      </c>
      <c r="V16" s="3881"/>
      <c r="W16" s="3884"/>
      <c r="X16" s="3885"/>
    </row>
    <row r="17" spans="2:24" s="293" customFormat="1" ht="12.6" customHeight="1" thickTop="1">
      <c r="F17" s="344" t="s">
        <v>187</v>
      </c>
      <c r="G17" s="2586">
        <f>SUM(G8:H16)</f>
        <v>45000</v>
      </c>
      <c r="H17" s="2587"/>
      <c r="J17" s="2586">
        <f>SUM(J8:K16)</f>
        <v>45000</v>
      </c>
      <c r="K17" s="2612"/>
      <c r="L17" s="2368"/>
      <c r="M17" s="2586">
        <f>SUM(M8:N16)</f>
        <v>0</v>
      </c>
      <c r="N17" s="2587"/>
      <c r="P17" s="2586">
        <f>SUM(P8:Q16)</f>
        <v>0</v>
      </c>
      <c r="Q17" s="2587"/>
      <c r="S17" s="2586">
        <f>SUM(S8:T16)</f>
        <v>0</v>
      </c>
      <c r="T17" s="2587"/>
      <c r="V17" s="3886">
        <f>SUM(V8:V16)</f>
        <v>0</v>
      </c>
      <c r="W17" s="3887"/>
      <c r="X17" s="3888"/>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16069.975589910497</v>
      </c>
      <c r="G19" s="3804">
        <v>395000</v>
      </c>
      <c r="H19" s="3805"/>
      <c r="J19" s="346"/>
      <c r="K19" s="343"/>
      <c r="L19" s="346"/>
      <c r="M19" s="346"/>
      <c r="N19" s="343"/>
      <c r="P19" s="346"/>
      <c r="Q19" s="343"/>
      <c r="S19" s="3804">
        <v>395000</v>
      </c>
      <c r="T19" s="3805"/>
      <c r="V19" s="3876"/>
      <c r="W19" s="3877"/>
      <c r="X19" s="3878"/>
    </row>
    <row r="20" spans="2:24" s="293" customFormat="1" ht="12.6" customHeight="1">
      <c r="B20" s="293" t="s">
        <v>1097</v>
      </c>
      <c r="G20" s="3813"/>
      <c r="H20" s="3814"/>
      <c r="J20" s="346"/>
      <c r="K20" s="343"/>
      <c r="L20" s="346"/>
      <c r="M20" s="346"/>
      <c r="N20" s="343"/>
      <c r="P20" s="346"/>
      <c r="Q20" s="343"/>
      <c r="S20" s="3813"/>
      <c r="T20" s="3814"/>
      <c r="V20" s="3876"/>
      <c r="W20" s="3877"/>
      <c r="X20" s="3878"/>
    </row>
    <row r="21" spans="2:24" s="293" customFormat="1" ht="12.6" customHeight="1">
      <c r="B21" s="293" t="s">
        <v>449</v>
      </c>
      <c r="G21" s="3813"/>
      <c r="H21" s="3814"/>
      <c r="J21" s="346"/>
      <c r="K21" s="343"/>
      <c r="L21" s="346"/>
      <c r="M21" s="3804"/>
      <c r="N21" s="3805"/>
      <c r="P21" s="346"/>
      <c r="Q21" s="343"/>
      <c r="S21" s="3813"/>
      <c r="T21" s="3814"/>
      <c r="V21" s="3876"/>
      <c r="W21" s="3877"/>
      <c r="X21" s="3878"/>
    </row>
    <row r="22" spans="2:24" s="293" customFormat="1" ht="12.6" customHeight="1" thickBot="1">
      <c r="B22" s="293" t="s">
        <v>422</v>
      </c>
      <c r="G22" s="3882"/>
      <c r="H22" s="3883"/>
      <c r="J22" s="346"/>
      <c r="K22" s="343"/>
      <c r="L22" s="346"/>
      <c r="M22" s="3882"/>
      <c r="N22" s="3883"/>
      <c r="P22" s="346"/>
      <c r="Q22" s="343"/>
      <c r="S22" s="3882"/>
      <c r="T22" s="3883"/>
      <c r="V22" s="3876"/>
      <c r="W22" s="3884"/>
      <c r="X22" s="3885"/>
    </row>
    <row r="23" spans="2:24" s="293" customFormat="1" ht="12.6" customHeight="1" thickTop="1">
      <c r="F23" s="344" t="s">
        <v>187</v>
      </c>
      <c r="G23" s="2586">
        <f>SUM(G19:H22)</f>
        <v>395000</v>
      </c>
      <c r="H23" s="2587"/>
      <c r="J23" s="346"/>
      <c r="K23" s="343"/>
      <c r="L23" s="346"/>
      <c r="M23" s="2586">
        <f>SUM(M21:N22)</f>
        <v>0</v>
      </c>
      <c r="N23" s="2587"/>
      <c r="P23" s="346"/>
      <c r="Q23" s="343"/>
      <c r="S23" s="2586">
        <f>SUM(S19:T22)</f>
        <v>395000</v>
      </c>
      <c r="T23" s="2587"/>
      <c r="V23" s="3886">
        <f>SUM(V19:V22)</f>
        <v>0</v>
      </c>
      <c r="W23" s="3887"/>
      <c r="X23" s="3888"/>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73230.268510984548</v>
      </c>
      <c r="G25" s="3804">
        <v>1800000</v>
      </c>
      <c r="H25" s="3805"/>
      <c r="J25" s="3804">
        <v>1674000</v>
      </c>
      <c r="K25" s="3805"/>
      <c r="L25" s="2368"/>
      <c r="M25" s="3889"/>
      <c r="N25" s="3890"/>
      <c r="P25" s="3889"/>
      <c r="Q25" s="3890"/>
      <c r="S25" s="3804">
        <v>126000</v>
      </c>
      <c r="T25" s="3805"/>
      <c r="V25" s="3876"/>
      <c r="W25" s="3877"/>
      <c r="X25" s="3878"/>
    </row>
    <row r="26" spans="2:24" s="293" customFormat="1" ht="12.6" customHeight="1" thickBot="1">
      <c r="B26" s="293" t="s">
        <v>1100</v>
      </c>
      <c r="G26" s="3882"/>
      <c r="H26" s="3883"/>
      <c r="J26" s="3882"/>
      <c r="K26" s="3883"/>
      <c r="L26" s="347"/>
      <c r="M26" s="2611"/>
      <c r="N26" s="2611"/>
      <c r="P26" s="2611"/>
      <c r="Q26" s="2611"/>
      <c r="S26" s="3882"/>
      <c r="T26" s="3883"/>
      <c r="V26" s="3876"/>
      <c r="W26" s="3884"/>
      <c r="X26" s="3885"/>
    </row>
    <row r="27" spans="2:24" s="293" customFormat="1" ht="12.6" customHeight="1" thickTop="1">
      <c r="F27" s="344" t="s">
        <v>187</v>
      </c>
      <c r="G27" s="2586">
        <f>SUM(G25:H26)</f>
        <v>1800000</v>
      </c>
      <c r="H27" s="2587"/>
      <c r="J27" s="2586">
        <f>SUM(J25:K26)</f>
        <v>1674000</v>
      </c>
      <c r="K27" s="2587"/>
      <c r="L27" s="346"/>
      <c r="M27" s="2586">
        <f>M25</f>
        <v>0</v>
      </c>
      <c r="N27" s="2587"/>
      <c r="P27" s="2586">
        <f>P25</f>
        <v>0</v>
      </c>
      <c r="Q27" s="2587"/>
      <c r="S27" s="2586">
        <f>SUM(S25:T26)</f>
        <v>126000</v>
      </c>
      <c r="T27" s="2587"/>
      <c r="V27" s="3886">
        <f>SUM(V25:V26)</f>
        <v>0</v>
      </c>
      <c r="W27" s="3887"/>
      <c r="X27" s="3888"/>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04">
        <v>4626000</v>
      </c>
      <c r="H29" s="3805"/>
      <c r="J29" s="3804">
        <v>4626000</v>
      </c>
      <c r="K29" s="3805"/>
      <c r="L29" s="2368"/>
      <c r="M29" s="3804"/>
      <c r="N29" s="3805"/>
      <c r="P29" s="3804"/>
      <c r="Q29" s="3805"/>
      <c r="S29" s="3804"/>
      <c r="T29" s="3805"/>
      <c r="V29" s="3876"/>
      <c r="W29" s="3877"/>
      <c r="X29" s="3878"/>
    </row>
    <row r="30" spans="2:24" s="293" customFormat="1" ht="12.6" customHeight="1">
      <c r="B30" s="293" t="s">
        <v>1103</v>
      </c>
      <c r="G30" s="3813"/>
      <c r="H30" s="3814"/>
      <c r="J30" s="3813"/>
      <c r="K30" s="3814"/>
      <c r="L30" s="2368"/>
      <c r="M30" s="3813"/>
      <c r="N30" s="3814"/>
      <c r="P30" s="3813"/>
      <c r="Q30" s="3814"/>
      <c r="S30" s="3813"/>
      <c r="T30" s="3814"/>
      <c r="V30" s="3876"/>
      <c r="W30" s="3877"/>
      <c r="X30" s="3878"/>
    </row>
    <row r="31" spans="2:24" s="293" customFormat="1" ht="12.6" customHeight="1">
      <c r="B31" s="293" t="s">
        <v>2688</v>
      </c>
      <c r="G31" s="3813"/>
      <c r="H31" s="3814"/>
      <c r="J31" s="3813"/>
      <c r="K31" s="3814"/>
      <c r="L31" s="2368"/>
      <c r="M31" s="3813"/>
      <c r="N31" s="3814"/>
      <c r="P31" s="3813"/>
      <c r="Q31" s="3814"/>
      <c r="S31" s="3813"/>
      <c r="T31" s="3814"/>
      <c r="V31" s="3876"/>
      <c r="W31" s="3877"/>
      <c r="X31" s="3878"/>
    </row>
    <row r="32" spans="2:24" ht="12.6" customHeight="1" thickBot="1">
      <c r="B32" s="293" t="s">
        <v>2687</v>
      </c>
      <c r="G32" s="3882"/>
      <c r="H32" s="3883"/>
      <c r="I32" s="293"/>
      <c r="J32" s="3882"/>
      <c r="K32" s="3883"/>
      <c r="L32" s="2368"/>
      <c r="M32" s="3882"/>
      <c r="N32" s="3883"/>
      <c r="O32" s="293"/>
      <c r="P32" s="3882"/>
      <c r="Q32" s="3883"/>
      <c r="R32" s="293"/>
      <c r="S32" s="3882"/>
      <c r="T32" s="3883"/>
      <c r="V32" s="3876"/>
      <c r="W32" s="3884"/>
      <c r="X32" s="3885"/>
    </row>
    <row r="33" spans="1:24" s="293" customFormat="1" ht="12.6" customHeight="1" thickTop="1">
      <c r="C33" s="2610"/>
      <c r="D33" s="2610"/>
      <c r="E33" s="2364"/>
      <c r="F33" s="344" t="s">
        <v>187</v>
      </c>
      <c r="G33" s="2586">
        <f>SUM(G29:H32)</f>
        <v>4626000</v>
      </c>
      <c r="H33" s="2587"/>
      <c r="J33" s="2586">
        <f>SUM(J29:K32)</f>
        <v>4626000</v>
      </c>
      <c r="K33" s="2587"/>
      <c r="L33" s="2368"/>
      <c r="M33" s="2586">
        <f>SUM(M29:N32)</f>
        <v>0</v>
      </c>
      <c r="N33" s="2587"/>
      <c r="P33" s="2586">
        <f>SUM(P29:Q32)</f>
        <v>0</v>
      </c>
      <c r="Q33" s="2587"/>
      <c r="S33" s="2586">
        <f>SUM(S29:T32)</f>
        <v>0</v>
      </c>
      <c r="T33" s="2587"/>
      <c r="V33" s="3886">
        <f>SUM(V29:V32)</f>
        <v>0</v>
      </c>
      <c r="W33" s="3887"/>
      <c r="X33" s="3888"/>
    </row>
    <row r="34" spans="1:24" s="293" customFormat="1" ht="12" customHeight="1">
      <c r="B34" s="295" t="s">
        <v>2283</v>
      </c>
      <c r="D34" s="2609" t="s">
        <v>3547</v>
      </c>
      <c r="E34" s="260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385560</v>
      </c>
      <c r="F35" s="934">
        <f>IF(($G$27+$G$33)=0,0,G35/($G$27+$G$33))</f>
        <v>0.06</v>
      </c>
      <c r="G35" s="3804">
        <v>385560</v>
      </c>
      <c r="H35" s="3805"/>
      <c r="I35" s="311"/>
      <c r="J35" s="3804">
        <v>385560</v>
      </c>
      <c r="K35" s="3805"/>
      <c r="L35" s="2368"/>
      <c r="M35" s="3804"/>
      <c r="N35" s="3805"/>
      <c r="P35" s="3804"/>
      <c r="Q35" s="3805"/>
      <c r="S35" s="3804"/>
      <c r="T35" s="3805"/>
      <c r="V35" s="3876"/>
      <c r="W35" s="3877"/>
      <c r="X35" s="3878"/>
    </row>
    <row r="36" spans="1:24" s="293" customFormat="1" ht="12.6" customHeight="1">
      <c r="B36" s="293" t="s">
        <v>2650</v>
      </c>
      <c r="D36" s="936">
        <f>'DCA Underwriting Assumptions'!$R$78</f>
        <v>0.02</v>
      </c>
      <c r="E36" s="937">
        <f>D36*(G27+G33)</f>
        <v>128520</v>
      </c>
      <c r="F36" s="934">
        <f>IF(($G$27+$G$33)=0,0,G36/($G$27+$G$33))</f>
        <v>0.02</v>
      </c>
      <c r="G36" s="3813">
        <v>128520</v>
      </c>
      <c r="H36" s="3814"/>
      <c r="I36" s="311"/>
      <c r="J36" s="3813">
        <v>128520</v>
      </c>
      <c r="K36" s="3814"/>
      <c r="L36" s="2368"/>
      <c r="M36" s="3813"/>
      <c r="N36" s="3814"/>
      <c r="P36" s="3813"/>
      <c r="Q36" s="3814"/>
      <c r="S36" s="3813"/>
      <c r="T36" s="3814"/>
      <c r="V36" s="3876"/>
      <c r="W36" s="3877"/>
      <c r="X36" s="3878"/>
    </row>
    <row r="37" spans="1:24" s="293" customFormat="1" ht="12.6" customHeight="1" thickBot="1">
      <c r="B37" s="293" t="s">
        <v>2651</v>
      </c>
      <c r="D37" s="940">
        <f>'DCA Underwriting Assumptions'!$R$79</f>
        <v>0.06</v>
      </c>
      <c r="E37" s="941">
        <f>D37*(G27+G33)</f>
        <v>385560</v>
      </c>
      <c r="F37" s="1144">
        <f>IF(($G$27+$G$33)=0,0,G37/($G$27+$G$33))</f>
        <v>0.06</v>
      </c>
      <c r="G37" s="3882">
        <v>385560</v>
      </c>
      <c r="H37" s="3883"/>
      <c r="I37" s="311"/>
      <c r="J37" s="3882">
        <v>385560</v>
      </c>
      <c r="K37" s="3883"/>
      <c r="L37" s="2368"/>
      <c r="M37" s="3882"/>
      <c r="N37" s="3883"/>
      <c r="P37" s="3882"/>
      <c r="Q37" s="3883"/>
      <c r="S37" s="3882"/>
      <c r="T37" s="3883"/>
      <c r="V37" s="3876"/>
      <c r="W37" s="3884"/>
      <c r="X37" s="3885"/>
    </row>
    <row r="38" spans="1:24" s="293" customFormat="1" ht="12.6" customHeight="1" thickTop="1">
      <c r="B38" s="172" t="s">
        <v>3548</v>
      </c>
      <c r="D38" s="938">
        <f>SUM(D35:D37)</f>
        <v>0.14000000000000001</v>
      </c>
      <c r="E38" s="939">
        <f>SUM(E35:E37)</f>
        <v>899640</v>
      </c>
      <c r="F38" s="921" t="s">
        <v>187</v>
      </c>
      <c r="G38" s="2586">
        <f>SUM(G35:H37)</f>
        <v>899640</v>
      </c>
      <c r="H38" s="2587"/>
      <c r="J38" s="2586">
        <f>SUM(J35:K37)</f>
        <v>899640</v>
      </c>
      <c r="K38" s="2587"/>
      <c r="L38" s="346"/>
      <c r="M38" s="2586">
        <f>SUM(M35:N37)</f>
        <v>0</v>
      </c>
      <c r="N38" s="2587"/>
      <c r="P38" s="2586">
        <f>SUM(P35:Q37)</f>
        <v>0</v>
      </c>
      <c r="Q38" s="2587"/>
      <c r="S38" s="2586">
        <f>SUM(S35:T37)</f>
        <v>0</v>
      </c>
      <c r="T38" s="2587"/>
      <c r="V38" s="3886">
        <f>SUM(V35:V37)</f>
        <v>0</v>
      </c>
      <c r="W38" s="3887"/>
      <c r="X38" s="3888"/>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79" t="s">
        <v>3531</v>
      </c>
      <c r="D41" s="3891"/>
      <c r="E41" s="3891"/>
      <c r="F41" s="3892"/>
      <c r="G41" s="3893"/>
      <c r="H41" s="3894"/>
      <c r="I41" s="293"/>
      <c r="J41" s="3893"/>
      <c r="K41" s="3894"/>
      <c r="L41" s="2368"/>
      <c r="M41" s="3893"/>
      <c r="N41" s="3894"/>
      <c r="O41" s="293"/>
      <c r="P41" s="3893"/>
      <c r="Q41" s="3894"/>
      <c r="R41" s="293"/>
      <c r="S41" s="3893"/>
      <c r="T41" s="3894"/>
      <c r="V41" s="3876"/>
      <c r="W41" s="3895"/>
      <c r="X41" s="3896"/>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97"/>
      <c r="X42" s="3898"/>
    </row>
    <row r="43" spans="1:24" s="293" customFormat="1" ht="12.6" customHeight="1">
      <c r="B43" s="495" t="s">
        <v>2659</v>
      </c>
      <c r="C43" s="496"/>
      <c r="E43" s="2603" t="s">
        <v>2658</v>
      </c>
      <c r="F43" s="2366">
        <f>B44/'Part VI-Revenues &amp; Expenses'!$P$65</f>
        <v>152617.5</v>
      </c>
      <c r="G43" s="2367" t="s">
        <v>2679</v>
      </c>
      <c r="H43" s="2363"/>
      <c r="I43" s="2363"/>
      <c r="J43" s="2605">
        <f>B44/'Part VI-Revenues &amp; Expenses'!$P$67</f>
        <v>152617.5</v>
      </c>
      <c r="K43" s="2605"/>
      <c r="L43" s="2363"/>
      <c r="M43" s="2606" t="s">
        <v>1375</v>
      </c>
      <c r="N43" s="2606"/>
      <c r="O43" s="2363"/>
      <c r="P43" s="2605">
        <f>B44/'Part I-Project Information'!$P$75</f>
        <v>142.52217898832686</v>
      </c>
      <c r="Q43" s="2605"/>
      <c r="R43" s="2363"/>
      <c r="S43" s="2607" t="s">
        <v>2686</v>
      </c>
      <c r="T43" s="2608"/>
      <c r="V43" s="1029"/>
      <c r="W43" s="3897"/>
      <c r="X43" s="3898"/>
    </row>
    <row r="44" spans="1:24" s="293" customFormat="1" ht="12.6" customHeight="1">
      <c r="B44" s="2599">
        <f>G27+G33+G38+G41</f>
        <v>7325640</v>
      </c>
      <c r="C44" s="2600"/>
      <c r="E44" s="2604"/>
      <c r="F44" s="2365">
        <f>B44/'Part VI-Revenues &amp; Expenses'!$P$168</f>
        <v>148.59310344827585</v>
      </c>
      <c r="G44" s="494" t="s">
        <v>2680</v>
      </c>
      <c r="H44" s="2359"/>
      <c r="I44" s="2359"/>
      <c r="J44" s="2601">
        <f>B44/'Part VI-Revenues &amp; Expenses'!$P$170</f>
        <v>148.59310344827585</v>
      </c>
      <c r="K44" s="2601"/>
      <c r="L44" s="2359"/>
      <c r="M44" s="2602" t="s">
        <v>2685</v>
      </c>
      <c r="N44" s="2602"/>
      <c r="O44" s="2359"/>
      <c r="P44" s="2359"/>
      <c r="Q44" s="2359"/>
      <c r="R44" s="2359"/>
      <c r="S44" s="2359"/>
      <c r="T44" s="336"/>
      <c r="V44" s="1029"/>
      <c r="W44" s="3899"/>
      <c r="X44" s="3900"/>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366282</v>
      </c>
      <c r="F47" s="348">
        <f>G47/B44</f>
        <v>0.05</v>
      </c>
      <c r="G47" s="3893">
        <v>366282</v>
      </c>
      <c r="H47" s="3894"/>
      <c r="I47" s="293"/>
      <c r="J47" s="3893">
        <v>366282</v>
      </c>
      <c r="K47" s="3894"/>
      <c r="L47" s="2368"/>
      <c r="M47" s="3893"/>
      <c r="N47" s="3894"/>
      <c r="O47" s="293"/>
      <c r="P47" s="3893"/>
      <c r="Q47" s="3894"/>
      <c r="R47" s="293"/>
      <c r="S47" s="3893"/>
      <c r="T47" s="3894"/>
      <c r="V47" s="3876"/>
      <c r="W47" s="3877"/>
      <c r="X47" s="3878"/>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2606</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804"/>
      <c r="H52" s="3805"/>
      <c r="J52" s="3804"/>
      <c r="K52" s="3805"/>
      <c r="L52" s="2368"/>
      <c r="M52" s="3804"/>
      <c r="N52" s="3805"/>
      <c r="P52" s="3804"/>
      <c r="Q52" s="3805"/>
      <c r="S52" s="3804"/>
      <c r="T52" s="3805"/>
      <c r="V52" s="3901"/>
      <c r="W52" s="3877"/>
      <c r="X52" s="3878"/>
    </row>
    <row r="53" spans="1:24" s="293" customFormat="1" ht="12" customHeight="1">
      <c r="B53" s="293" t="s">
        <v>3550</v>
      </c>
      <c r="G53" s="3813"/>
      <c r="H53" s="3814"/>
      <c r="J53" s="3813"/>
      <c r="K53" s="3814"/>
      <c r="L53" s="2368"/>
      <c r="M53" s="3813"/>
      <c r="N53" s="3814"/>
      <c r="P53" s="3813"/>
      <c r="Q53" s="3814"/>
      <c r="S53" s="3813"/>
      <c r="T53" s="3814"/>
      <c r="V53" s="3901"/>
      <c r="W53" s="3877"/>
      <c r="X53" s="3878"/>
    </row>
    <row r="54" spans="1:24" s="293" customFormat="1" ht="12" customHeight="1">
      <c r="B54" s="293" t="s">
        <v>2286</v>
      </c>
      <c r="G54" s="3813">
        <v>73679</v>
      </c>
      <c r="H54" s="3814"/>
      <c r="J54" s="3813">
        <v>73679</v>
      </c>
      <c r="K54" s="3814"/>
      <c r="L54" s="2368"/>
      <c r="M54" s="3813"/>
      <c r="N54" s="3814"/>
      <c r="P54" s="3813"/>
      <c r="Q54" s="3814"/>
      <c r="S54" s="3813"/>
      <c r="T54" s="3814"/>
      <c r="V54" s="3901"/>
      <c r="W54" s="3877"/>
      <c r="X54" s="3878"/>
    </row>
    <row r="55" spans="1:24" s="293" customFormat="1" ht="12" customHeight="1">
      <c r="B55" s="293" t="s">
        <v>2287</v>
      </c>
      <c r="G55" s="3813">
        <v>273336</v>
      </c>
      <c r="H55" s="3814"/>
      <c r="J55" s="3813">
        <v>273336</v>
      </c>
      <c r="K55" s="3814"/>
      <c r="L55" s="2368"/>
      <c r="M55" s="3813"/>
      <c r="N55" s="3814"/>
      <c r="P55" s="3813"/>
      <c r="Q55" s="3814"/>
      <c r="S55" s="3813"/>
      <c r="T55" s="3814"/>
      <c r="V55" s="3901"/>
      <c r="W55" s="3877"/>
      <c r="X55" s="3878"/>
    </row>
    <row r="56" spans="1:24" s="293" customFormat="1" ht="12" customHeight="1">
      <c r="B56" s="293" t="s">
        <v>2288</v>
      </c>
      <c r="G56" s="3813">
        <v>35000</v>
      </c>
      <c r="H56" s="3814"/>
      <c r="J56" s="3813">
        <v>30000</v>
      </c>
      <c r="K56" s="3814"/>
      <c r="L56" s="2368"/>
      <c r="M56" s="3813"/>
      <c r="N56" s="3814"/>
      <c r="P56" s="3813"/>
      <c r="Q56" s="3814"/>
      <c r="S56" s="3813">
        <v>5000</v>
      </c>
      <c r="T56" s="3814"/>
      <c r="V56" s="3901"/>
      <c r="W56" s="3877"/>
      <c r="X56" s="3878"/>
    </row>
    <row r="57" spans="1:24" s="293" customFormat="1" ht="12" customHeight="1">
      <c r="B57" s="293" t="s">
        <v>2609</v>
      </c>
      <c r="G57" s="3813"/>
      <c r="H57" s="3814"/>
      <c r="J57" s="3813"/>
      <c r="K57" s="3814"/>
      <c r="L57" s="2368"/>
      <c r="M57" s="3813"/>
      <c r="N57" s="3814"/>
      <c r="P57" s="3813"/>
      <c r="Q57" s="3814"/>
      <c r="S57" s="3813"/>
      <c r="T57" s="3814"/>
      <c r="V57" s="3901"/>
      <c r="W57" s="3877"/>
      <c r="X57" s="3878"/>
    </row>
    <row r="58" spans="1:24" s="293" customFormat="1" ht="12" customHeight="1">
      <c r="B58" s="293" t="s">
        <v>705</v>
      </c>
      <c r="G58" s="3813">
        <v>7500</v>
      </c>
      <c r="H58" s="3814"/>
      <c r="J58" s="3813">
        <v>7500</v>
      </c>
      <c r="K58" s="3814"/>
      <c r="L58" s="2368"/>
      <c r="M58" s="3813"/>
      <c r="N58" s="3814"/>
      <c r="P58" s="3813"/>
      <c r="Q58" s="3814"/>
      <c r="S58" s="3813"/>
      <c r="T58" s="3814"/>
      <c r="V58" s="3901"/>
      <c r="W58" s="3877"/>
      <c r="X58" s="3878"/>
    </row>
    <row r="59" spans="1:24" s="293" customFormat="1" ht="12" customHeight="1">
      <c r="B59" s="293" t="s">
        <v>2289</v>
      </c>
      <c r="G59" s="3813">
        <v>25000</v>
      </c>
      <c r="H59" s="3814"/>
      <c r="J59" s="3813">
        <v>25000</v>
      </c>
      <c r="K59" s="3814"/>
      <c r="L59" s="2368"/>
      <c r="M59" s="3813"/>
      <c r="N59" s="3814"/>
      <c r="P59" s="3813"/>
      <c r="Q59" s="3814"/>
      <c r="S59" s="3813"/>
      <c r="T59" s="3814"/>
      <c r="V59" s="3901"/>
      <c r="W59" s="3877"/>
      <c r="X59" s="3878"/>
    </row>
    <row r="60" spans="1:24" s="293" customFormat="1" ht="12" customHeight="1">
      <c r="B60" s="293" t="s">
        <v>1250</v>
      </c>
      <c r="G60" s="3813">
        <v>35000</v>
      </c>
      <c r="H60" s="3814"/>
      <c r="J60" s="3813">
        <v>25000</v>
      </c>
      <c r="K60" s="3814"/>
      <c r="L60" s="2368"/>
      <c r="M60" s="3813"/>
      <c r="N60" s="3814"/>
      <c r="P60" s="3813"/>
      <c r="Q60" s="3814"/>
      <c r="S60" s="3813">
        <v>10000</v>
      </c>
      <c r="T60" s="3814"/>
      <c r="V60" s="3901"/>
      <c r="W60" s="3877"/>
      <c r="X60" s="3878"/>
    </row>
    <row r="61" spans="1:24" s="293" customFormat="1" ht="12" customHeight="1">
      <c r="B61" s="350" t="s">
        <v>1131</v>
      </c>
      <c r="D61" s="348"/>
      <c r="E61" s="348"/>
      <c r="F61" s="349"/>
      <c r="G61" s="3813"/>
      <c r="H61" s="3814"/>
      <c r="I61" s="311"/>
      <c r="J61" s="3813"/>
      <c r="K61" s="3814"/>
      <c r="L61" s="2368"/>
      <c r="M61" s="3813"/>
      <c r="N61" s="3814"/>
      <c r="P61" s="3813"/>
      <c r="Q61" s="3814"/>
      <c r="S61" s="3813"/>
      <c r="T61" s="3814"/>
      <c r="V61" s="3901"/>
      <c r="W61" s="3877"/>
      <c r="X61" s="3878"/>
    </row>
    <row r="62" spans="1:24" s="293" customFormat="1" ht="12" customHeight="1">
      <c r="A62" s="370" t="str">
        <f>IF(AND(G62&gt;0,OR(C62="",C62="&lt;Enter detailed description here; use Comments section if needed&gt;")),"X","")</f>
        <v/>
      </c>
      <c r="B62" s="293" t="s">
        <v>723</v>
      </c>
      <c r="C62" s="3902" t="s">
        <v>3531</v>
      </c>
      <c r="D62" s="3902"/>
      <c r="E62" s="3902"/>
      <c r="F62" s="3903"/>
      <c r="G62" s="3813"/>
      <c r="H62" s="3814"/>
      <c r="J62" s="3813"/>
      <c r="K62" s="3814"/>
      <c r="L62" s="2368"/>
      <c r="M62" s="3813"/>
      <c r="N62" s="3814"/>
      <c r="P62" s="3813"/>
      <c r="Q62" s="3814"/>
      <c r="S62" s="3813"/>
      <c r="T62" s="3814"/>
      <c r="U62" s="369" t="str">
        <f>IF(AND(G62&gt;0,OR(C62="",C62="&lt;Enter detailed description here; use Comments section if needed&gt;")),"NO DESCRIPTION PROVIDED - please enter detailed description in Other box at left; use Comments section below if needed.","")</f>
        <v/>
      </c>
      <c r="V62" s="3901"/>
      <c r="W62" s="3877"/>
      <c r="X62" s="3878"/>
    </row>
    <row r="63" spans="1:24" s="293" customFormat="1" ht="12" customHeight="1" thickBot="1">
      <c r="A63" s="370" t="str">
        <f>IF(AND(G63&gt;0,OR(C63="",C63="&lt;Enter detailed description here; use Comments section if needed&gt;")),"X","")</f>
        <v/>
      </c>
      <c r="B63" s="293" t="s">
        <v>723</v>
      </c>
      <c r="C63" s="3904" t="s">
        <v>3531</v>
      </c>
      <c r="D63" s="3904"/>
      <c r="E63" s="3904"/>
      <c r="F63" s="3905"/>
      <c r="G63" s="3822"/>
      <c r="H63" s="3823"/>
      <c r="J63" s="3822"/>
      <c r="K63" s="3823"/>
      <c r="L63" s="2368"/>
      <c r="M63" s="3822"/>
      <c r="N63" s="3823"/>
      <c r="P63" s="3822"/>
      <c r="Q63" s="3823"/>
      <c r="S63" s="3822"/>
      <c r="T63" s="3823"/>
      <c r="U63" s="369" t="str">
        <f>IF(AND(G63&gt;0,OR(C63="",C63="&lt;Enter detailed description here; use Comments section if needed&gt;")),"NO DESCRIPTION PROVIDED - please enter detailed description in Other box at left; use Comments section below if needed.","")</f>
        <v/>
      </c>
      <c r="V63" s="3901"/>
      <c r="W63" s="3884"/>
      <c r="X63" s="3885"/>
    </row>
    <row r="64" spans="1:24" s="293" customFormat="1" ht="12" customHeight="1" thickTop="1">
      <c r="F64" s="344" t="s">
        <v>187</v>
      </c>
      <c r="G64" s="2586">
        <f>SUM(G52:H63)</f>
        <v>449515</v>
      </c>
      <c r="H64" s="2587"/>
      <c r="J64" s="2586">
        <f>SUM(J52:K63)</f>
        <v>434515</v>
      </c>
      <c r="K64" s="2587"/>
      <c r="L64" s="346"/>
      <c r="M64" s="2586">
        <f>SUM(M52:N63)</f>
        <v>0</v>
      </c>
      <c r="N64" s="2587"/>
      <c r="P64" s="2586">
        <f>SUM(P52:Q63)</f>
        <v>0</v>
      </c>
      <c r="Q64" s="2587"/>
      <c r="S64" s="2586">
        <f>SUM(S52:T63)</f>
        <v>15000</v>
      </c>
      <c r="T64" s="2587"/>
      <c r="V64" s="3906">
        <f>SUM(V52:V63)</f>
        <v>0</v>
      </c>
      <c r="W64" s="3887"/>
      <c r="X64" s="3888"/>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04">
        <v>120000</v>
      </c>
      <c r="H66" s="3805"/>
      <c r="J66" s="3804">
        <v>120000</v>
      </c>
      <c r="K66" s="3805"/>
      <c r="L66" s="2368"/>
      <c r="M66" s="3804"/>
      <c r="N66" s="3805"/>
      <c r="P66" s="3804"/>
      <c r="Q66" s="3805"/>
      <c r="S66" s="3804"/>
      <c r="T66" s="3805"/>
      <c r="V66" s="3876"/>
      <c r="W66" s="3877"/>
      <c r="X66" s="3878"/>
    </row>
    <row r="67" spans="1:24" s="293" customFormat="1" ht="12" customHeight="1">
      <c r="B67" s="293" t="s">
        <v>469</v>
      </c>
      <c r="G67" s="3813">
        <v>24000</v>
      </c>
      <c r="H67" s="3814"/>
      <c r="J67" s="3813">
        <v>24000</v>
      </c>
      <c r="K67" s="3814"/>
      <c r="L67" s="2368"/>
      <c r="M67" s="3813"/>
      <c r="N67" s="3814"/>
      <c r="P67" s="3813"/>
      <c r="Q67" s="3814"/>
      <c r="S67" s="3813"/>
      <c r="T67" s="3814"/>
      <c r="V67" s="3876"/>
      <c r="W67" s="3877"/>
      <c r="X67" s="3878"/>
    </row>
    <row r="68" spans="1:24" s="293" customFormat="1" ht="12" customHeight="1">
      <c r="B68" s="293" t="s">
        <v>1105</v>
      </c>
      <c r="D68" s="305" t="s">
        <v>3633</v>
      </c>
      <c r="E68" s="1021">
        <f>'DCA Underwriting Assumptions'!R80</f>
        <v>20000</v>
      </c>
      <c r="F68" s="1022" t="str">
        <f>IF(G68&gt;E68,"CHECK!!!","")</f>
        <v/>
      </c>
      <c r="G68" s="3813">
        <v>20000</v>
      </c>
      <c r="H68" s="3814"/>
      <c r="J68" s="3813">
        <v>20000</v>
      </c>
      <c r="K68" s="3814"/>
      <c r="L68" s="2368"/>
      <c r="M68" s="3813"/>
      <c r="N68" s="3814"/>
      <c r="P68" s="3813"/>
      <c r="Q68" s="3814"/>
      <c r="S68" s="3813"/>
      <c r="T68" s="3814"/>
      <c r="V68" s="3876"/>
      <c r="W68" s="3877"/>
      <c r="X68" s="3878"/>
    </row>
    <row r="69" spans="1:24" s="293" customFormat="1" ht="12" customHeight="1">
      <c r="B69" s="293" t="s">
        <v>1106</v>
      </c>
      <c r="G69" s="3813">
        <v>15000</v>
      </c>
      <c r="H69" s="3814"/>
      <c r="J69" s="3813">
        <v>15000</v>
      </c>
      <c r="K69" s="3814"/>
      <c r="L69" s="2368"/>
      <c r="M69" s="3813"/>
      <c r="N69" s="3814"/>
      <c r="P69" s="3813"/>
      <c r="Q69" s="3814"/>
      <c r="S69" s="3813"/>
      <c r="T69" s="3814"/>
      <c r="V69" s="3876"/>
      <c r="W69" s="3877"/>
      <c r="X69" s="3878"/>
    </row>
    <row r="70" spans="1:24" s="293" customFormat="1" ht="12" customHeight="1">
      <c r="B70" s="293" t="s">
        <v>1107</v>
      </c>
      <c r="G70" s="3813">
        <v>25000</v>
      </c>
      <c r="H70" s="3814"/>
      <c r="J70" s="3813">
        <v>25000</v>
      </c>
      <c r="K70" s="3814"/>
      <c r="L70" s="2368"/>
      <c r="M70" s="3813"/>
      <c r="N70" s="3814"/>
      <c r="P70" s="3813"/>
      <c r="Q70" s="3814"/>
      <c r="S70" s="3813"/>
      <c r="T70" s="3814"/>
      <c r="V70" s="3876"/>
      <c r="W70" s="3877"/>
      <c r="X70" s="3878"/>
    </row>
    <row r="71" spans="1:24" s="293" customFormat="1" ht="12" customHeight="1">
      <c r="B71" s="293" t="s">
        <v>1108</v>
      </c>
      <c r="G71" s="3813">
        <v>35000</v>
      </c>
      <c r="H71" s="3814"/>
      <c r="J71" s="3813">
        <v>35000</v>
      </c>
      <c r="K71" s="3814"/>
      <c r="L71" s="2368"/>
      <c r="M71" s="3813"/>
      <c r="N71" s="3814"/>
      <c r="P71" s="3813"/>
      <c r="Q71" s="3814"/>
      <c r="S71" s="3813"/>
      <c r="T71" s="3814"/>
      <c r="V71" s="3876"/>
      <c r="W71" s="3877"/>
      <c r="X71" s="3878"/>
    </row>
    <row r="72" spans="1:24" s="293" customFormat="1" ht="12" customHeight="1">
      <c r="B72" s="293" t="s">
        <v>470</v>
      </c>
      <c r="G72" s="3813">
        <v>90000</v>
      </c>
      <c r="H72" s="3814"/>
      <c r="J72" s="3813">
        <v>90000</v>
      </c>
      <c r="K72" s="3814"/>
      <c r="L72" s="2368"/>
      <c r="M72" s="3813"/>
      <c r="N72" s="3814"/>
      <c r="P72" s="3813"/>
      <c r="Q72" s="3814"/>
      <c r="S72" s="3813"/>
      <c r="T72" s="3814"/>
      <c r="V72" s="3876"/>
      <c r="W72" s="3877"/>
      <c r="X72" s="3878"/>
    </row>
    <row r="73" spans="1:24" s="293" customFormat="1" ht="12" customHeight="1">
      <c r="B73" s="293" t="s">
        <v>471</v>
      </c>
      <c r="G73" s="3813">
        <v>15000</v>
      </c>
      <c r="H73" s="3814"/>
      <c r="J73" s="3813">
        <v>5000</v>
      </c>
      <c r="K73" s="3814"/>
      <c r="L73" s="2368"/>
      <c r="M73" s="3813"/>
      <c r="N73" s="3814"/>
      <c r="P73" s="3813"/>
      <c r="Q73" s="3814"/>
      <c r="S73" s="3813">
        <v>10000</v>
      </c>
      <c r="T73" s="3814"/>
      <c r="V73" s="3876"/>
      <c r="W73" s="3877"/>
      <c r="X73" s="3878"/>
    </row>
    <row r="74" spans="1:24" s="293" customFormat="1" ht="12" customHeight="1">
      <c r="B74" s="293" t="s">
        <v>2000</v>
      </c>
      <c r="G74" s="3813">
        <v>15000</v>
      </c>
      <c r="H74" s="3814"/>
      <c r="J74" s="3813">
        <v>15000</v>
      </c>
      <c r="K74" s="3814"/>
      <c r="L74" s="2368"/>
      <c r="M74" s="3813"/>
      <c r="N74" s="3814"/>
      <c r="P74" s="3813"/>
      <c r="Q74" s="3814"/>
      <c r="S74" s="3813"/>
      <c r="T74" s="3814"/>
      <c r="V74" s="3876"/>
      <c r="W74" s="3877"/>
      <c r="X74" s="3878"/>
    </row>
    <row r="75" spans="1:24" s="293" customFormat="1" ht="12" customHeight="1">
      <c r="B75" s="293" t="s">
        <v>1251</v>
      </c>
      <c r="G75" s="3813">
        <v>12500</v>
      </c>
      <c r="H75" s="3814"/>
      <c r="J75" s="3813">
        <v>12500</v>
      </c>
      <c r="K75" s="3814"/>
      <c r="L75" s="2368"/>
      <c r="M75" s="3813"/>
      <c r="N75" s="3814"/>
      <c r="P75" s="3813"/>
      <c r="Q75" s="3814"/>
      <c r="S75" s="3813"/>
      <c r="T75" s="3814"/>
      <c r="V75" s="3876"/>
      <c r="W75" s="3877"/>
      <c r="X75" s="3878"/>
    </row>
    <row r="76" spans="1:24" s="293" customFormat="1" ht="12" customHeight="1" thickBot="1">
      <c r="A76" s="370" t="str">
        <f>IF(AND(G76&gt;0,OR(C76="",C76="&lt;Enter detailed description here; use Comments section if needed&gt;")),"X","")</f>
        <v/>
      </c>
      <c r="B76" s="293" t="s">
        <v>723</v>
      </c>
      <c r="C76" s="3879"/>
      <c r="D76" s="3879"/>
      <c r="E76" s="3879"/>
      <c r="F76" s="3880"/>
      <c r="G76" s="3822"/>
      <c r="H76" s="3823"/>
      <c r="J76" s="3822"/>
      <c r="K76" s="3823"/>
      <c r="L76" s="2368"/>
      <c r="M76" s="3822"/>
      <c r="N76" s="3823"/>
      <c r="P76" s="3822"/>
      <c r="Q76" s="3823"/>
      <c r="S76" s="3822"/>
      <c r="T76" s="3823"/>
      <c r="U76" s="369" t="str">
        <f>IF(AND(G76&gt;0,OR(C76="",C76="&lt;Enter detailed description here; use Comments section if needed&gt;")),"NO DESCRIPTION PROVIDED - please enter detailed description in Other box at left; use Comments section below if needed.","")</f>
        <v/>
      </c>
      <c r="V76" s="3876"/>
      <c r="W76" s="3884"/>
      <c r="X76" s="3885"/>
    </row>
    <row r="77" spans="1:24" s="293" customFormat="1" ht="12" customHeight="1" thickTop="1">
      <c r="F77" s="344" t="s">
        <v>187</v>
      </c>
      <c r="G77" s="2586">
        <f>SUM(G66:H76)</f>
        <v>371500</v>
      </c>
      <c r="H77" s="2587"/>
      <c r="J77" s="2586">
        <f>SUM(J66:K76)</f>
        <v>361500</v>
      </c>
      <c r="K77" s="2587"/>
      <c r="L77" s="346"/>
      <c r="M77" s="2586">
        <f>SUM(M66:N76)</f>
        <v>0</v>
      </c>
      <c r="N77" s="2587"/>
      <c r="P77" s="2586">
        <f>SUM(P66:Q76)</f>
        <v>0</v>
      </c>
      <c r="Q77" s="2587"/>
      <c r="S77" s="2586">
        <f>SUM(S66:T76)</f>
        <v>10000</v>
      </c>
      <c r="T77" s="2587"/>
      <c r="V77" s="3886">
        <f>SUM(V66:V76)</f>
        <v>0</v>
      </c>
      <c r="W77" s="3887"/>
      <c r="X77" s="3888"/>
    </row>
    <row r="78" spans="1:24" ht="12" customHeight="1">
      <c r="A78" s="293"/>
      <c r="B78" s="295" t="s">
        <v>1243</v>
      </c>
      <c r="C78" s="293"/>
      <c r="D78" s="866" t="s">
        <v>3552</v>
      </c>
      <c r="E78" s="943">
        <f>G83/'Part VI-Revenues &amp; Expenses'!$P$67</f>
        <v>4309.416666666667</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04">
        <v>10052</v>
      </c>
      <c r="H79" s="3805"/>
      <c r="J79" s="3804">
        <v>10052</v>
      </c>
      <c r="K79" s="3805"/>
      <c r="L79" s="2368"/>
      <c r="M79" s="3804"/>
      <c r="N79" s="3805"/>
      <c r="P79" s="3804"/>
      <c r="Q79" s="3805"/>
      <c r="S79" s="3804"/>
      <c r="T79" s="3805"/>
      <c r="V79" s="3876"/>
      <c r="W79" s="3877"/>
      <c r="X79" s="3878"/>
    </row>
    <row r="80" spans="1:24" s="293" customFormat="1" ht="12" customHeight="1">
      <c r="B80" s="293" t="s">
        <v>1245</v>
      </c>
      <c r="G80" s="3813"/>
      <c r="H80" s="3814"/>
      <c r="J80" s="3813"/>
      <c r="K80" s="3814"/>
      <c r="L80" s="2368"/>
      <c r="M80" s="3813"/>
      <c r="N80" s="3814"/>
      <c r="P80" s="3813"/>
      <c r="Q80" s="3814"/>
      <c r="S80" s="3813"/>
      <c r="T80" s="3814"/>
      <c r="V80" s="3876"/>
      <c r="W80" s="3877"/>
      <c r="X80" s="3878"/>
    </row>
    <row r="81" spans="1:24" s="293" customFormat="1" ht="12" customHeight="1">
      <c r="B81" s="293" t="s">
        <v>1246</v>
      </c>
      <c r="D81" s="352" t="s">
        <v>1376</v>
      </c>
      <c r="E81" s="3907" t="s">
        <v>2888</v>
      </c>
      <c r="G81" s="3813">
        <v>72000</v>
      </c>
      <c r="H81" s="3814"/>
      <c r="I81" s="311"/>
      <c r="J81" s="3813">
        <v>72000</v>
      </c>
      <c r="K81" s="3814"/>
      <c r="L81" s="2368"/>
      <c r="M81" s="3813"/>
      <c r="N81" s="3814"/>
      <c r="P81" s="3813"/>
      <c r="Q81" s="3814"/>
      <c r="S81" s="3813"/>
      <c r="T81" s="3814"/>
      <c r="V81" s="3876"/>
      <c r="W81" s="3877"/>
      <c r="X81" s="3878"/>
    </row>
    <row r="82" spans="1:24" s="293" customFormat="1" ht="12" customHeight="1" thickBot="1">
      <c r="B82" s="293" t="s">
        <v>1247</v>
      </c>
      <c r="D82" s="352" t="s">
        <v>1376</v>
      </c>
      <c r="E82" s="3908" t="s">
        <v>2888</v>
      </c>
      <c r="G82" s="3822">
        <v>124800</v>
      </c>
      <c r="H82" s="3823"/>
      <c r="I82" s="311"/>
      <c r="J82" s="3822">
        <v>124800</v>
      </c>
      <c r="K82" s="3823"/>
      <c r="L82" s="2368"/>
      <c r="M82" s="3822"/>
      <c r="N82" s="3823"/>
      <c r="P82" s="3822"/>
      <c r="Q82" s="3823"/>
      <c r="S82" s="3822"/>
      <c r="T82" s="3823"/>
      <c r="V82" s="3876"/>
      <c r="W82" s="3884"/>
      <c r="X82" s="3885"/>
    </row>
    <row r="83" spans="1:24" s="293" customFormat="1" ht="12" customHeight="1" thickTop="1">
      <c r="F83" s="344" t="s">
        <v>187</v>
      </c>
      <c r="G83" s="2586">
        <f>SUM(G79:H82)</f>
        <v>206852</v>
      </c>
      <c r="H83" s="2587"/>
      <c r="J83" s="2586">
        <f>SUM(J79:K82)</f>
        <v>206852</v>
      </c>
      <c r="K83" s="2587"/>
      <c r="L83" s="346"/>
      <c r="M83" s="2586">
        <f>SUM(M79:N82)</f>
        <v>0</v>
      </c>
      <c r="N83" s="2587"/>
      <c r="P83" s="2586">
        <f>SUM(P79:Q82)</f>
        <v>0</v>
      </c>
      <c r="Q83" s="2587"/>
      <c r="S83" s="2586">
        <f>SUM(S79:T82)</f>
        <v>0</v>
      </c>
      <c r="T83" s="2587"/>
      <c r="V83" s="3886">
        <f>SUM(V79:V82)</f>
        <v>0</v>
      </c>
      <c r="W83" s="3887"/>
      <c r="X83" s="3888"/>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04"/>
      <c r="H85" s="3805"/>
      <c r="J85" s="2590"/>
      <c r="K85" s="2590"/>
      <c r="L85" s="2368"/>
      <c r="M85" s="2590"/>
      <c r="N85" s="2590"/>
      <c r="P85" s="2590"/>
      <c r="Q85" s="2590"/>
      <c r="S85" s="3804"/>
      <c r="T85" s="3805"/>
      <c r="V85" s="3876"/>
      <c r="W85" s="3877"/>
      <c r="X85" s="3878"/>
    </row>
    <row r="86" spans="1:24" s="293" customFormat="1" ht="12" customHeight="1">
      <c r="B86" s="293" t="s">
        <v>1249</v>
      </c>
      <c r="G86" s="3813"/>
      <c r="H86" s="3814"/>
      <c r="J86" s="2590"/>
      <c r="K86" s="2590"/>
      <c r="L86" s="2368"/>
      <c r="M86" s="2590"/>
      <c r="N86" s="2590"/>
      <c r="P86" s="2590"/>
      <c r="Q86" s="2590"/>
      <c r="S86" s="3813"/>
      <c r="T86" s="3814"/>
      <c r="V86" s="3876"/>
      <c r="W86" s="3877"/>
      <c r="X86" s="3878"/>
    </row>
    <row r="87" spans="1:24" s="293" customFormat="1" ht="12" customHeight="1">
      <c r="B87" s="293" t="s">
        <v>1250</v>
      </c>
      <c r="G87" s="3813"/>
      <c r="H87" s="3814"/>
      <c r="J87" s="2590"/>
      <c r="K87" s="2590"/>
      <c r="L87" s="2368"/>
      <c r="M87" s="2590"/>
      <c r="N87" s="2590"/>
      <c r="P87" s="2590"/>
      <c r="Q87" s="2590"/>
      <c r="S87" s="3813"/>
      <c r="T87" s="3814"/>
      <c r="V87" s="3876"/>
      <c r="W87" s="3877"/>
      <c r="X87" s="3878"/>
    </row>
    <row r="88" spans="1:24" s="293" customFormat="1" ht="12" customHeight="1">
      <c r="B88" s="293" t="s">
        <v>1252</v>
      </c>
      <c r="G88" s="3813"/>
      <c r="H88" s="3814"/>
      <c r="J88" s="2590"/>
      <c r="K88" s="2590"/>
      <c r="L88" s="2368"/>
      <c r="M88" s="2590"/>
      <c r="N88" s="2590"/>
      <c r="P88" s="2590"/>
      <c r="Q88" s="2590"/>
      <c r="S88" s="3813"/>
      <c r="T88" s="3814"/>
      <c r="V88" s="3876"/>
      <c r="W88" s="3877"/>
      <c r="X88" s="3878"/>
    </row>
    <row r="89" spans="1:24" s="293" customFormat="1" ht="12" customHeight="1">
      <c r="B89" s="293" t="s">
        <v>2239</v>
      </c>
      <c r="G89" s="3813"/>
      <c r="H89" s="3814"/>
      <c r="J89" s="2590"/>
      <c r="K89" s="2590"/>
      <c r="L89" s="2368"/>
      <c r="M89" s="2590"/>
      <c r="N89" s="2590"/>
      <c r="P89" s="2590"/>
      <c r="Q89" s="2590"/>
      <c r="S89" s="3813"/>
      <c r="T89" s="3814"/>
      <c r="V89" s="3876"/>
      <c r="W89" s="3877"/>
      <c r="X89" s="3878"/>
    </row>
    <row r="90" spans="1:24" s="293" customFormat="1" ht="12" customHeight="1" thickBot="1">
      <c r="A90" s="370" t="str">
        <f>IF(AND(G90&gt;0,OR(C90="",C90="&lt;Enter detailed description here; use Comments section if needed&gt;")),"X","")</f>
        <v/>
      </c>
      <c r="B90" s="293" t="s">
        <v>723</v>
      </c>
      <c r="C90" s="3879" t="s">
        <v>3531</v>
      </c>
      <c r="D90" s="3879"/>
      <c r="E90" s="3879"/>
      <c r="F90" s="3880"/>
      <c r="G90" s="3822"/>
      <c r="H90" s="3823"/>
      <c r="J90" s="2590"/>
      <c r="K90" s="2590"/>
      <c r="L90" s="2368"/>
      <c r="M90" s="2590"/>
      <c r="N90" s="2590"/>
      <c r="P90" s="2590"/>
      <c r="Q90" s="2590"/>
      <c r="S90" s="3822"/>
      <c r="T90" s="3823"/>
      <c r="U90" s="369" t="str">
        <f>IF(AND(G90&gt;0,OR(C90="",C90="&lt;Enter detailed description here; use Comments section if needed&gt;")),"NO DESCRIPTION PROVIDED - please enter detailed description in Other box at left; use Comments section below if needed.","")</f>
        <v/>
      </c>
      <c r="V90" s="3876"/>
      <c r="W90" s="3884"/>
      <c r="X90" s="3885"/>
    </row>
    <row r="91" spans="1:24" s="293" customFormat="1" ht="12" customHeight="1" thickTop="1">
      <c r="F91" s="344" t="s">
        <v>187</v>
      </c>
      <c r="G91" s="2586">
        <f>SUM(G85:H90)</f>
        <v>0</v>
      </c>
      <c r="H91" s="2587"/>
      <c r="J91" s="2590"/>
      <c r="K91" s="2590"/>
      <c r="L91" s="346"/>
      <c r="M91" s="2590"/>
      <c r="N91" s="2590"/>
      <c r="P91" s="2590"/>
      <c r="Q91" s="2590"/>
      <c r="S91" s="2586">
        <f>SUM(S85:T90)</f>
        <v>0</v>
      </c>
      <c r="T91" s="2587"/>
      <c r="V91" s="3886">
        <f>SUM(V85:V90)</f>
        <v>0</v>
      </c>
      <c r="W91" s="3887"/>
      <c r="X91" s="3888"/>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04"/>
      <c r="H96" s="3805"/>
      <c r="J96" s="346"/>
      <c r="K96" s="346"/>
      <c r="L96" s="2368"/>
      <c r="M96" s="346"/>
      <c r="N96" s="346"/>
      <c r="P96" s="346"/>
      <c r="Q96" s="346"/>
      <c r="S96" s="3804"/>
      <c r="T96" s="3805"/>
      <c r="V96" s="3876"/>
      <c r="W96" s="3877"/>
      <c r="X96" s="3878"/>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813">
        <v>6500</v>
      </c>
      <c r="H97" s="3814"/>
      <c r="J97" s="346"/>
      <c r="K97" s="346"/>
      <c r="L97" s="353"/>
      <c r="M97" s="346"/>
      <c r="N97" s="346"/>
      <c r="P97" s="346"/>
      <c r="Q97" s="346"/>
      <c r="S97" s="3813">
        <v>6500</v>
      </c>
      <c r="T97" s="3814"/>
      <c r="V97" s="3876"/>
      <c r="W97" s="3877"/>
      <c r="X97" s="3878"/>
    </row>
    <row r="98" spans="1:37" s="293" customFormat="1" ht="12.6" customHeight="1">
      <c r="B98" s="293" t="s">
        <v>3701</v>
      </c>
      <c r="G98" s="3813">
        <v>1000</v>
      </c>
      <c r="H98" s="3814"/>
      <c r="J98" s="346"/>
      <c r="K98" s="346"/>
      <c r="L98" s="353"/>
      <c r="M98" s="346"/>
      <c r="N98" s="346"/>
      <c r="O98" s="2356"/>
      <c r="P98" s="346"/>
      <c r="Q98" s="346"/>
      <c r="S98" s="3813">
        <v>1000</v>
      </c>
      <c r="T98" s="3814"/>
      <c r="V98" s="3876"/>
      <c r="W98" s="3877"/>
      <c r="X98" s="3878"/>
    </row>
    <row r="99" spans="1:37" s="293" customFormat="1" ht="12.6" customHeight="1">
      <c r="B99" s="293" t="s">
        <v>505</v>
      </c>
      <c r="E99" s="2597">
        <f>ROUNDUP('DCA Underwriting Assumptions'!$Q$92*J184,0)</f>
        <v>70960</v>
      </c>
      <c r="F99" s="2598"/>
      <c r="G99" s="3813">
        <v>70960</v>
      </c>
      <c r="H99" s="3814"/>
      <c r="J99" s="944" t="str">
        <f>IF(E99&gt;G99,"WARNING!  LIHTC Allocation Fee proposed is below minimum required.","")</f>
        <v/>
      </c>
      <c r="K99" s="346"/>
      <c r="L99" s="2368"/>
      <c r="M99" s="346"/>
      <c r="N99" s="346"/>
      <c r="O99" s="2356"/>
      <c r="P99" s="346"/>
      <c r="Q99" s="346"/>
      <c r="S99" s="3813">
        <v>70960</v>
      </c>
      <c r="T99" s="3814"/>
      <c r="V99" s="3876"/>
      <c r="W99" s="3877"/>
      <c r="X99" s="3878"/>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48000</v>
      </c>
      <c r="F100" s="2598"/>
      <c r="G100" s="3813">
        <v>48000</v>
      </c>
      <c r="H100" s="3814"/>
      <c r="J100" s="944" t="str">
        <f>IF(E100&gt;G100,"WARNING!  LIHTC Compliance Fee proposed is below minimum required.","")</f>
        <v/>
      </c>
      <c r="K100" s="270"/>
      <c r="L100" s="270"/>
      <c r="M100" s="270"/>
      <c r="N100" s="270"/>
      <c r="O100" s="270"/>
      <c r="P100" s="270"/>
      <c r="Q100" s="270"/>
      <c r="S100" s="3813">
        <v>48000</v>
      </c>
      <c r="T100" s="3814"/>
      <c r="V100" s="3876"/>
      <c r="W100" s="3877"/>
      <c r="X100" s="3878"/>
    </row>
    <row r="101" spans="1:37" s="293" customFormat="1" ht="12.6" customHeight="1">
      <c r="B101" s="293" t="s">
        <v>3880</v>
      </c>
      <c r="F101" s="1164">
        <f>ROUNDUP('DCA Underwriting Assumptions'!$Q$94,0)</f>
        <v>3000</v>
      </c>
      <c r="G101" s="3813">
        <v>3000</v>
      </c>
      <c r="H101" s="3814"/>
      <c r="J101" s="270"/>
      <c r="K101" s="270"/>
      <c r="L101" s="270"/>
      <c r="M101" s="270"/>
      <c r="N101" s="270"/>
      <c r="O101" s="270"/>
      <c r="P101" s="270"/>
      <c r="Q101" s="270"/>
      <c r="S101" s="3813">
        <v>3000</v>
      </c>
      <c r="T101" s="3814"/>
      <c r="V101" s="3876"/>
      <c r="W101" s="3877"/>
      <c r="X101" s="3878"/>
    </row>
    <row r="102" spans="1:37" s="293" customFormat="1" ht="12.6" customHeight="1">
      <c r="B102" s="293" t="s">
        <v>3881</v>
      </c>
      <c r="F102" s="1164">
        <f>ROUNDUP('DCA Underwriting Assumptions'!$Q$128,0)</f>
        <v>3000</v>
      </c>
      <c r="G102" s="3813">
        <v>3000</v>
      </c>
      <c r="H102" s="3814"/>
      <c r="J102" s="270"/>
      <c r="K102" s="270"/>
      <c r="L102" s="270"/>
      <c r="M102" s="270"/>
      <c r="N102" s="270"/>
      <c r="O102" s="270"/>
      <c r="P102" s="270"/>
      <c r="Q102" s="270"/>
      <c r="S102" s="3813">
        <v>3000</v>
      </c>
      <c r="T102" s="3814"/>
      <c r="V102" s="3876"/>
      <c r="W102" s="3877"/>
      <c r="X102" s="3878"/>
    </row>
    <row r="103" spans="1:37" s="293" customFormat="1" ht="12.6" customHeight="1">
      <c r="A103" s="370" t="str">
        <f>IF(AND(G103&gt;0,OR(C103="",C103="&lt;Enter detailed description here; use Comments section if needed&gt;")),"X","")</f>
        <v/>
      </c>
      <c r="B103" s="293" t="s">
        <v>723</v>
      </c>
      <c r="C103" s="3902" t="s">
        <v>3531</v>
      </c>
      <c r="D103" s="3902"/>
      <c r="E103" s="3902"/>
      <c r="F103" s="3903"/>
      <c r="G103" s="3813"/>
      <c r="H103" s="3814"/>
      <c r="J103" s="270"/>
      <c r="K103" s="270"/>
      <c r="L103" s="270"/>
      <c r="M103" s="270"/>
      <c r="N103" s="270"/>
      <c r="O103" s="270"/>
      <c r="P103" s="270"/>
      <c r="Q103" s="270"/>
      <c r="S103" s="3813"/>
      <c r="T103" s="3814"/>
      <c r="U103" s="369" t="str">
        <f>IF(AND(G103&gt;0,OR(C103="",C103="&lt;Enter detailed description here; use Comments section if needed&gt;")),"NO DESCRIPTION PROVIDED - please enter detailed description in Other box at left; use Comments section below if needed.","")</f>
        <v/>
      </c>
      <c r="V103" s="3876"/>
      <c r="W103" s="3877"/>
      <c r="X103" s="3878"/>
    </row>
    <row r="104" spans="1:37" s="293" customFormat="1" ht="12.6" customHeight="1" thickBot="1">
      <c r="A104" s="370" t="str">
        <f>IF(AND(G104&gt;0,OR(C104="",C104="&lt;Enter detailed description here; use Comments section if needed&gt;")),"X","")</f>
        <v/>
      </c>
      <c r="B104" s="293" t="s">
        <v>723</v>
      </c>
      <c r="C104" s="3904" t="s">
        <v>3531</v>
      </c>
      <c r="D104" s="3904"/>
      <c r="E104" s="3904"/>
      <c r="F104" s="3905"/>
      <c r="G104" s="3822"/>
      <c r="H104" s="3823"/>
      <c r="J104" s="270"/>
      <c r="K104" s="270"/>
      <c r="L104" s="270"/>
      <c r="M104" s="270"/>
      <c r="N104" s="270"/>
      <c r="O104" s="270"/>
      <c r="P104" s="270"/>
      <c r="Q104" s="270"/>
      <c r="S104" s="3822"/>
      <c r="T104" s="3823"/>
      <c r="U104" s="369" t="str">
        <f>IF(AND(G104&gt;0,OR(C104="",C104="&lt;Enter detailed description here; use Comments section if needed&gt;")),"NO DESCRIPTION PROVIDED - please enter detailed description in Other box at left; use Comments section below if needed.","")</f>
        <v/>
      </c>
      <c r="V104" s="3876"/>
      <c r="W104" s="3884"/>
      <c r="X104" s="3885"/>
    </row>
    <row r="105" spans="1:37" s="293" customFormat="1" ht="12.6" customHeight="1" thickTop="1">
      <c r="F105" s="344" t="s">
        <v>187</v>
      </c>
      <c r="G105" s="2586">
        <f>SUM(G96:H104)</f>
        <v>132460</v>
      </c>
      <c r="H105" s="2587"/>
      <c r="J105" s="346"/>
      <c r="K105" s="346"/>
      <c r="L105" s="2368"/>
      <c r="M105" s="346"/>
      <c r="N105" s="346"/>
      <c r="P105" s="346"/>
      <c r="Q105" s="346"/>
      <c r="S105" s="2586">
        <f>SUM(S96:T104)</f>
        <v>132460</v>
      </c>
      <c r="T105" s="2587"/>
      <c r="V105" s="3886">
        <f>SUM(V96:V104)</f>
        <v>0</v>
      </c>
      <c r="W105" s="3909"/>
      <c r="X105" s="3910"/>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04">
        <v>2500</v>
      </c>
      <c r="H107" s="3805"/>
      <c r="J107" s="2590"/>
      <c r="K107" s="2590"/>
      <c r="L107" s="2368"/>
      <c r="M107" s="2590"/>
      <c r="N107" s="2590"/>
      <c r="O107" s="2356"/>
      <c r="P107" s="2590"/>
      <c r="Q107" s="2590"/>
      <c r="S107" s="3804">
        <v>2500</v>
      </c>
      <c r="T107" s="3805"/>
      <c r="V107" s="3876"/>
      <c r="W107" s="3877"/>
      <c r="X107" s="3878"/>
    </row>
    <row r="108" spans="1:37" s="293" customFormat="1" ht="12.6" customHeight="1">
      <c r="B108" s="293" t="s">
        <v>275</v>
      </c>
      <c r="G108" s="3813"/>
      <c r="H108" s="3814"/>
      <c r="J108" s="2590"/>
      <c r="K108" s="2590"/>
      <c r="L108" s="2368"/>
      <c r="M108" s="2590"/>
      <c r="N108" s="2590"/>
      <c r="O108" s="2356"/>
      <c r="P108" s="2590"/>
      <c r="Q108" s="2590"/>
      <c r="S108" s="3813"/>
      <c r="T108" s="3814"/>
      <c r="V108" s="3876"/>
      <c r="W108" s="3877"/>
      <c r="X108" s="3878"/>
    </row>
    <row r="109" spans="1:37" s="293" customFormat="1" ht="12.6" customHeight="1">
      <c r="B109" s="293" t="s">
        <v>2323</v>
      </c>
      <c r="G109" s="3813"/>
      <c r="H109" s="3814"/>
      <c r="J109" s="2590"/>
      <c r="K109" s="2590"/>
      <c r="L109" s="2368"/>
      <c r="M109" s="2590"/>
      <c r="N109" s="2590"/>
      <c r="O109" s="2356"/>
      <c r="P109" s="2590"/>
      <c r="Q109" s="2590"/>
      <c r="S109" s="3813"/>
      <c r="T109" s="3814"/>
      <c r="V109" s="3876"/>
      <c r="W109" s="3877"/>
      <c r="X109" s="3878"/>
    </row>
    <row r="110" spans="1:37" s="293" customFormat="1" ht="12.6" customHeight="1" thickBot="1">
      <c r="A110" s="370" t="str">
        <f>IF(AND(G110&gt;0,OR(C110="",C110="&lt;Enter detailed description here; use Comments section if needed&gt;")),"X","")</f>
        <v/>
      </c>
      <c r="B110" s="293" t="s">
        <v>723</v>
      </c>
      <c r="C110" s="3879" t="s">
        <v>3531</v>
      </c>
      <c r="D110" s="3879"/>
      <c r="E110" s="3879"/>
      <c r="F110" s="3880"/>
      <c r="G110" s="3822"/>
      <c r="H110" s="3823"/>
      <c r="J110" s="2590"/>
      <c r="K110" s="2590"/>
      <c r="L110" s="2368"/>
      <c r="M110" s="2590"/>
      <c r="N110" s="2590"/>
      <c r="O110" s="2356"/>
      <c r="P110" s="2590"/>
      <c r="Q110" s="2590"/>
      <c r="S110" s="3822"/>
      <c r="T110" s="3823"/>
      <c r="U110" s="369" t="str">
        <f>IF(AND(G110&gt;0,OR(C110="",C110="&lt;Enter detailed description here; use Comments section if needed&gt;")),"NO DESCRIPTION PROVIDED - please enter detailed description in Other box at left; use Comments section below if needed.","")</f>
        <v/>
      </c>
      <c r="V110" s="3876"/>
      <c r="W110" s="3884"/>
      <c r="X110" s="3885"/>
    </row>
    <row r="111" spans="1:37" s="293" customFormat="1" ht="12.6" customHeight="1" thickTop="1">
      <c r="F111" s="344" t="s">
        <v>187</v>
      </c>
      <c r="G111" s="2586">
        <f>SUM(G107:H110)</f>
        <v>2500</v>
      </c>
      <c r="H111" s="2587"/>
      <c r="J111" s="2590"/>
      <c r="K111" s="2590"/>
      <c r="L111" s="2368"/>
      <c r="M111" s="2590"/>
      <c r="N111" s="2590"/>
      <c r="O111" s="2356"/>
      <c r="P111" s="2590"/>
      <c r="Q111" s="2590"/>
      <c r="S111" s="2586">
        <f>SUM(S107:T110)</f>
        <v>2500</v>
      </c>
      <c r="T111" s="2587"/>
      <c r="V111" s="3886">
        <f>SUM(V107:V110)</f>
        <v>0</v>
      </c>
      <c r="W111" s="3887"/>
      <c r="X111" s="3888"/>
      <c r="AC111" s="3911" t="s">
        <v>4509</v>
      </c>
      <c r="AD111" s="3911" t="s">
        <v>4510</v>
      </c>
      <c r="AE111" s="3912" t="s">
        <v>4515</v>
      </c>
      <c r="AF111" s="2613"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913" t="s">
        <v>4497</v>
      </c>
      <c r="Z112" s="1566"/>
      <c r="AA112" s="277" t="s">
        <v>4506</v>
      </c>
      <c r="AB112" s="277" t="s">
        <v>4507</v>
      </c>
      <c r="AC112" s="3914"/>
      <c r="AD112" s="3914"/>
      <c r="AE112" s="3915"/>
      <c r="AF112" s="2614"/>
      <c r="AI112" s="27"/>
      <c r="AK112" s="427"/>
    </row>
    <row r="113" spans="1:37" s="293" customFormat="1" ht="12.6" customHeight="1">
      <c r="B113" s="293" t="s">
        <v>1813</v>
      </c>
      <c r="F113" s="396">
        <f>IF($G$118=0,0,G113/$G$118)</f>
        <v>0.2</v>
      </c>
      <c r="G113" s="3916">
        <v>240000</v>
      </c>
      <c r="H113" s="3916"/>
      <c r="J113" s="3917">
        <v>240000</v>
      </c>
      <c r="K113" s="3918"/>
      <c r="L113" s="345"/>
      <c r="M113" s="3917"/>
      <c r="N113" s="3918"/>
      <c r="P113" s="3917"/>
      <c r="Q113" s="3918"/>
      <c r="S113" s="3917"/>
      <c r="T113" s="3918"/>
      <c r="V113" s="3876"/>
      <c r="W113" s="3877"/>
      <c r="X113" s="3878"/>
      <c r="Y113" s="158"/>
      <c r="Z113" s="3919">
        <v>0.09</v>
      </c>
      <c r="AA113" s="3920">
        <f>'DCA Underwriting Assumptions'!$J$104</f>
        <v>1</v>
      </c>
      <c r="AB113" s="3920">
        <f>'DCA Underwriting Assumptions'!$K$104</f>
        <v>50</v>
      </c>
      <c r="AC113" s="3921">
        <f>'DCA Underwriting Assumptions'!$Q$104</f>
        <v>25000</v>
      </c>
      <c r="AD113" s="3921">
        <f>AB113*AC113</f>
        <v>1250000</v>
      </c>
      <c r="AE113" s="3921">
        <f>IF('Part VI-Revenues &amp; Expenses'!$P$67&lt;AA114,'Part VI-Revenues &amp; Expenses'!$P$67*'Part IV-A-Uses of Funds'!AC113,AB113*AC113)</f>
        <v>1200000</v>
      </c>
      <c r="AF113" s="3922">
        <f>SUM(AE113:AE115)</f>
        <v>1200000</v>
      </c>
      <c r="AI113" s="27"/>
    </row>
    <row r="114" spans="1:37" s="293" customFormat="1" ht="12.6" customHeight="1">
      <c r="B114" s="293" t="s">
        <v>3841</v>
      </c>
      <c r="F114" s="3923">
        <v>240000</v>
      </c>
      <c r="V114" s="3876"/>
      <c r="W114" s="3877"/>
      <c r="X114" s="3878"/>
      <c r="Y114" s="158"/>
      <c r="Z114" s="120"/>
      <c r="AA114" s="3924">
        <f>'DCA Underwriting Assumptions'!$J$105</f>
        <v>51</v>
      </c>
      <c r="AB114" s="3924">
        <f>'DCA Underwriting Assumptions'!$K$105</f>
        <v>70</v>
      </c>
      <c r="AC114" s="3925">
        <f>'DCA Underwriting Assumptions'!$Q$105</f>
        <v>20000</v>
      </c>
      <c r="AD114" s="3925">
        <f>(AB114-AB113)*AC114</f>
        <v>400000</v>
      </c>
      <c r="AE114" s="3925">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926"/>
      <c r="AI114" s="27"/>
    </row>
    <row r="115" spans="1:37" s="293" customFormat="1" ht="12.6" customHeight="1">
      <c r="B115" s="293" t="s">
        <v>1814</v>
      </c>
      <c r="F115" s="396">
        <f>IF($G$118=0,0,G115/$G$118)</f>
        <v>0</v>
      </c>
      <c r="G115" s="3804"/>
      <c r="H115" s="3805"/>
      <c r="J115" s="3804"/>
      <c r="K115" s="3805"/>
      <c r="L115" s="2368"/>
      <c r="M115" s="3804"/>
      <c r="N115" s="3805"/>
      <c r="P115" s="3804"/>
      <c r="Q115" s="3805"/>
      <c r="S115" s="3804"/>
      <c r="T115" s="3805"/>
      <c r="V115" s="3876"/>
      <c r="W115" s="3877"/>
      <c r="X115" s="3878"/>
      <c r="Y115" s="158"/>
      <c r="Z115" s="120"/>
      <c r="AA115" s="3927">
        <f>'DCA Underwriting Assumptions'!$J$106</f>
        <v>71</v>
      </c>
      <c r="AB115" s="3928"/>
      <c r="AC115" s="3929">
        <f>'DCA Underwriting Assumptions'!$Q$106</f>
        <v>15000</v>
      </c>
      <c r="AD115" s="3929">
        <f>AF121-AD114-AD113</f>
        <v>350000</v>
      </c>
      <c r="AE115" s="3929">
        <f>MIN(AD115,IF('Part VI-Revenues &amp; Expenses'!$P$67&gt;AB114,('Part VI-Revenues &amp; Expenses'!$P$67-AB114)*AC115,0))</f>
        <v>0</v>
      </c>
      <c r="AF115" s="3930"/>
      <c r="AI115" s="27"/>
    </row>
    <row r="116" spans="1:37" s="293" customFormat="1" ht="12.6" customHeight="1">
      <c r="B116" s="293" t="s">
        <v>3466</v>
      </c>
      <c r="F116" s="396">
        <f>IF($G$118=0,0,G116/$G$118)</f>
        <v>0</v>
      </c>
      <c r="G116" s="3813"/>
      <c r="H116" s="3814"/>
      <c r="J116" s="3813"/>
      <c r="K116" s="3814"/>
      <c r="L116" s="2368"/>
      <c r="M116" s="3813"/>
      <c r="N116" s="3814"/>
      <c r="P116" s="3813"/>
      <c r="Q116" s="3814"/>
      <c r="S116" s="3813"/>
      <c r="T116" s="3814"/>
      <c r="V116" s="3876"/>
      <c r="W116" s="3877"/>
      <c r="X116" s="3878"/>
      <c r="Y116" s="27"/>
      <c r="Z116" s="3919">
        <v>0.04</v>
      </c>
      <c r="AA116" s="3931">
        <f>'DCA Underwriting Assumptions'!$J$107</f>
        <v>1</v>
      </c>
      <c r="AB116" s="3931">
        <f>'DCA Underwriting Assumptions'!$K$107</f>
        <v>100</v>
      </c>
      <c r="AC116" s="3921">
        <f>'DCA Underwriting Assumptions'!$Q$107</f>
        <v>18000</v>
      </c>
      <c r="AD116" s="3921">
        <f>AB116*AC116</f>
        <v>1800000</v>
      </c>
      <c r="AE116" s="3921">
        <f>IF('Part VI-Revenues &amp; Expenses'!$P$67&lt;AA117,'Part VI-Revenues &amp; Expenses'!$P$67*'Part IV-A-Uses of Funds'!AC116,AB116*AC116)</f>
        <v>864000</v>
      </c>
      <c r="AF116" s="3922">
        <f>SUM(AE116:AE118)</f>
        <v>864000</v>
      </c>
      <c r="AG116" s="825">
        <f>51*AC116</f>
        <v>918000</v>
      </c>
      <c r="AI116" s="27"/>
    </row>
    <row r="117" spans="1:37" s="293" customFormat="1" ht="12.6" customHeight="1" thickBot="1">
      <c r="B117" s="293" t="s">
        <v>1806</v>
      </c>
      <c r="F117" s="396">
        <f>IF($G$118=0,0,G117/$G$118)</f>
        <v>0.8</v>
      </c>
      <c r="G117" s="3822">
        <v>960000</v>
      </c>
      <c r="H117" s="3823"/>
      <c r="J117" s="3822">
        <v>960000</v>
      </c>
      <c r="K117" s="3823"/>
      <c r="L117" s="2368"/>
      <c r="M117" s="3822"/>
      <c r="N117" s="3823"/>
      <c r="P117" s="3822"/>
      <c r="Q117" s="3823"/>
      <c r="S117" s="3822"/>
      <c r="T117" s="3823"/>
      <c r="V117" s="3876"/>
      <c r="W117" s="3884"/>
      <c r="X117" s="3885"/>
      <c r="Y117" s="27"/>
      <c r="Z117" s="80"/>
      <c r="AA117" s="3924">
        <f>'DCA Underwriting Assumptions'!$J$108</f>
        <v>101</v>
      </c>
      <c r="AB117" s="3924">
        <f>'DCA Underwriting Assumptions'!$K$108</f>
        <v>130</v>
      </c>
      <c r="AC117" s="3925">
        <f>'DCA Underwriting Assumptions'!$Q$108</f>
        <v>15500</v>
      </c>
      <c r="AD117" s="3925">
        <f>(AB117-AB116)*AC117</f>
        <v>465000</v>
      </c>
      <c r="AE117" s="3925">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926"/>
      <c r="AG117" s="825"/>
      <c r="AI117" s="27"/>
    </row>
    <row r="118" spans="1:37" s="293" customFormat="1" ht="12.6" customHeight="1" thickTop="1">
      <c r="A118" s="1587" t="str">
        <f>IF(G118&gt;E118,"DF over limit!  Round down/Enter nbr.","")</f>
        <v/>
      </c>
      <c r="B118" s="1586"/>
      <c r="D118" s="582" t="s">
        <v>4508</v>
      </c>
      <c r="E118" s="1588">
        <f>IF(E112="9%",AF113,IF(E112="4%",AF116,"Enter app type!"))</f>
        <v>1200000</v>
      </c>
      <c r="F118" s="344" t="s">
        <v>187</v>
      </c>
      <c r="G118" s="2588">
        <f>SUM(G113:H117)</f>
        <v>1200000</v>
      </c>
      <c r="H118" s="2589"/>
      <c r="J118" s="2586">
        <f>SUM(J113:K117)</f>
        <v>1200000</v>
      </c>
      <c r="K118" s="2587"/>
      <c r="L118" s="2368"/>
      <c r="M118" s="2586">
        <f>SUM(M113:N117)</f>
        <v>0</v>
      </c>
      <c r="N118" s="2587"/>
      <c r="P118" s="2586">
        <f>SUM(P113:Q117)</f>
        <v>0</v>
      </c>
      <c r="Q118" s="2587"/>
      <c r="S118" s="2586">
        <f>SUM(S113:T117)</f>
        <v>0</v>
      </c>
      <c r="T118" s="2587"/>
      <c r="V118" s="3886">
        <f>SUM(V113:V117)</f>
        <v>0</v>
      </c>
      <c r="W118" s="3887"/>
      <c r="X118" s="3888"/>
      <c r="Y118" s="27"/>
      <c r="Z118" s="80"/>
      <c r="AA118" s="3927">
        <f>'DCA Underwriting Assumptions'!$J$109</f>
        <v>131</v>
      </c>
      <c r="AB118" s="3928"/>
      <c r="AC118" s="3929">
        <f>'DCA Underwriting Assumptions'!$Q$109</f>
        <v>13000</v>
      </c>
      <c r="AD118" s="3929">
        <f>AF122-AD117-AD116</f>
        <v>1235000</v>
      </c>
      <c r="AE118" s="3929">
        <f>MIN(AD118,IF('Part VI-Revenues &amp; Expenses'!$P$67&gt;AB117,('Part VI-Revenues &amp; Expenses'!$P$67-AB117)*AC118,0))</f>
        <v>0</v>
      </c>
      <c r="AF118" s="3930"/>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04">
        <v>30000</v>
      </c>
      <c r="H120" s="3805"/>
      <c r="J120" s="354"/>
      <c r="K120" s="354"/>
      <c r="L120" s="354"/>
      <c r="M120" s="354"/>
      <c r="N120" s="354"/>
      <c r="P120" s="354"/>
      <c r="Q120" s="354"/>
      <c r="S120" s="3804">
        <v>30000</v>
      </c>
      <c r="T120" s="3805"/>
      <c r="V120" s="3876"/>
      <c r="W120" s="3877"/>
      <c r="X120" s="3878"/>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55316.75</v>
      </c>
      <c r="G121" s="3813">
        <v>55317</v>
      </c>
      <c r="H121" s="3814"/>
      <c r="J121" s="946" t="str">
        <f>IF(E121&gt;G121,"WARNING! Rent-Up Reserves proposed is below minimum - add comment.","")</f>
        <v/>
      </c>
      <c r="K121" s="946"/>
      <c r="L121" s="2368"/>
      <c r="M121" s="920"/>
      <c r="N121" s="920"/>
      <c r="O121" s="2356"/>
      <c r="P121" s="920"/>
      <c r="Q121" s="920"/>
      <c r="R121" s="2356"/>
      <c r="S121" s="3813">
        <v>55317</v>
      </c>
      <c r="T121" s="3814"/>
      <c r="V121" s="3876"/>
      <c r="W121" s="3877"/>
      <c r="X121" s="3878"/>
      <c r="Y121" s="27"/>
      <c r="Z121" s="3932">
        <v>0.09</v>
      </c>
      <c r="AB121" s="1566"/>
      <c r="AD121" s="27"/>
      <c r="AF121" s="393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110633.5</v>
      </c>
      <c r="G122" s="3813">
        <v>110634</v>
      </c>
      <c r="H122" s="3814"/>
      <c r="J122" s="946" t="str">
        <f>IF(E122&gt;G122,"WARNING! ODR proposed is below minimum - add comment.","")</f>
        <v/>
      </c>
      <c r="K122" s="353"/>
      <c r="L122" s="353"/>
      <c r="M122" s="353"/>
      <c r="N122" s="353"/>
      <c r="O122" s="2356"/>
      <c r="P122" s="353"/>
      <c r="Q122" s="353"/>
      <c r="R122" s="2356"/>
      <c r="S122" s="3813">
        <v>110634</v>
      </c>
      <c r="T122" s="3814"/>
      <c r="V122" s="3876"/>
      <c r="W122" s="3877"/>
      <c r="X122" s="3878"/>
      <c r="Y122" s="27"/>
      <c r="Z122" s="3932">
        <v>0.04</v>
      </c>
      <c r="AB122" s="1566"/>
      <c r="AD122" s="27"/>
      <c r="AF122" s="3933">
        <f>'DCA Underwriting Assumptions'!$Q$113</f>
        <v>3500000</v>
      </c>
      <c r="AG122" s="27"/>
      <c r="AH122" s="27"/>
      <c r="AI122" s="27"/>
    </row>
    <row r="123" spans="1:37" s="293" customFormat="1" ht="12.6" customHeight="1">
      <c r="B123" s="293" t="s">
        <v>1218</v>
      </c>
      <c r="G123" s="3813">
        <v>0</v>
      </c>
      <c r="H123" s="3814"/>
      <c r="J123" s="354"/>
      <c r="K123" s="354"/>
      <c r="L123" s="354"/>
      <c r="M123" s="354"/>
      <c r="N123" s="354"/>
      <c r="P123" s="354"/>
      <c r="Q123" s="354"/>
      <c r="S123" s="3813"/>
      <c r="T123" s="3814"/>
      <c r="V123" s="3876"/>
      <c r="W123" s="3877"/>
      <c r="X123" s="3878"/>
    </row>
    <row r="124" spans="1:37" s="293" customFormat="1" ht="12.6" customHeight="1">
      <c r="B124" s="293" t="s">
        <v>1219</v>
      </c>
      <c r="E124" s="821" t="s">
        <v>3434</v>
      </c>
      <c r="F124" s="452">
        <f>IF('Part VI-Revenues &amp; Expenses'!$P$67=0,0,G124/'Part VI-Revenues &amp; Expenses'!$P$67)</f>
        <v>1041.6666666666667</v>
      </c>
      <c r="G124" s="3813">
        <v>50000</v>
      </c>
      <c r="H124" s="3814"/>
      <c r="J124" s="3804">
        <v>50000</v>
      </c>
      <c r="K124" s="3805"/>
      <c r="L124" s="2368"/>
      <c r="M124" s="3804"/>
      <c r="N124" s="3805"/>
      <c r="P124" s="3804"/>
      <c r="Q124" s="3805"/>
      <c r="S124" s="3813"/>
      <c r="T124" s="3814"/>
      <c r="V124" s="3876"/>
      <c r="W124" s="3877"/>
      <c r="X124" s="3878"/>
    </row>
    <row r="125" spans="1:37" s="293" customFormat="1" ht="12.6" customHeight="1" thickBot="1">
      <c r="A125" s="370" t="str">
        <f>IF(AND(G125&gt;0,OR(C125="",C125="&lt;Enter detailed description here; use Comments section if needed&gt;")),"X","")</f>
        <v/>
      </c>
      <c r="B125" s="293" t="s">
        <v>723</v>
      </c>
      <c r="C125" s="3879" t="s">
        <v>3531</v>
      </c>
      <c r="D125" s="3879"/>
      <c r="E125" s="3879"/>
      <c r="F125" s="3880"/>
      <c r="G125" s="3822"/>
      <c r="H125" s="3823"/>
      <c r="J125" s="3882"/>
      <c r="K125" s="3883"/>
      <c r="L125" s="2368"/>
      <c r="M125" s="3822"/>
      <c r="N125" s="3823"/>
      <c r="P125" s="3822"/>
      <c r="Q125" s="3823"/>
      <c r="S125" s="3822"/>
      <c r="T125" s="3823"/>
      <c r="U125" s="369" t="str">
        <f>IF(AND(G125&gt;0,OR(C125="",C125="&lt;Enter detailed description here; use Comments section if needed&gt;")),"NO DESCRIPTION PROVIDED - please enter detailed description in Other box at left; use Comments section below if needed.","")</f>
        <v/>
      </c>
      <c r="V125" s="3876"/>
      <c r="W125" s="3884"/>
      <c r="X125" s="3885"/>
    </row>
    <row r="126" spans="1:37" s="293" customFormat="1" ht="12.6" customHeight="1" thickTop="1">
      <c r="B126" s="355"/>
      <c r="F126" s="344" t="s">
        <v>187</v>
      </c>
      <c r="G126" s="2586">
        <f>SUM(G120:H125)</f>
        <v>245951</v>
      </c>
      <c r="H126" s="2587"/>
      <c r="J126" s="2586">
        <f>SUM(J124:K125)</f>
        <v>50000</v>
      </c>
      <c r="K126" s="2587"/>
      <c r="L126" s="2368"/>
      <c r="M126" s="2586">
        <f>SUM(M124:N125)</f>
        <v>0</v>
      </c>
      <c r="N126" s="2587"/>
      <c r="P126" s="2586">
        <f>SUM(P124:Q125)</f>
        <v>0</v>
      </c>
      <c r="Q126" s="2587"/>
      <c r="S126" s="2586">
        <f>SUM(S120:T125)</f>
        <v>195951</v>
      </c>
      <c r="T126" s="2587"/>
      <c r="V126" s="3886">
        <f>SUM(V120:V125)</f>
        <v>0</v>
      </c>
      <c r="W126" s="3887"/>
      <c r="X126" s="3888"/>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804"/>
      <c r="H128" s="3805"/>
      <c r="J128" s="3804"/>
      <c r="K128" s="3805"/>
      <c r="L128" s="345"/>
      <c r="M128" s="3804"/>
      <c r="N128" s="3805"/>
      <c r="P128" s="3804"/>
      <c r="Q128" s="3805"/>
      <c r="S128" s="3804"/>
      <c r="T128" s="3805"/>
      <c r="V128" s="3876"/>
      <c r="W128" s="3877"/>
      <c r="X128" s="3878"/>
    </row>
    <row r="129" spans="1:24" s="293" customFormat="1" ht="12.6" customHeight="1" thickBot="1">
      <c r="A129" s="370" t="str">
        <f>IF(AND(G129&gt;0,OR(C129="",C129="&lt;Enter detailed description here; use Comments section if needed&gt;")),"X","")</f>
        <v/>
      </c>
      <c r="B129" s="293" t="s">
        <v>723</v>
      </c>
      <c r="C129" s="3879" t="s">
        <v>3531</v>
      </c>
      <c r="D129" s="3879"/>
      <c r="E129" s="3879"/>
      <c r="F129" s="3880"/>
      <c r="G129" s="3822"/>
      <c r="H129" s="3823"/>
      <c r="J129" s="3822"/>
      <c r="K129" s="3823"/>
      <c r="L129" s="2368"/>
      <c r="M129" s="3822"/>
      <c r="N129" s="3823"/>
      <c r="P129" s="3822"/>
      <c r="Q129" s="3823"/>
      <c r="S129" s="3822"/>
      <c r="T129" s="3823"/>
      <c r="U129" s="369" t="str">
        <f>IF(AND(G129&gt;0,OR(C129="",C129="&lt;Enter detailed description here; use Comments section if needed&gt;")),"NO DESCRIPTION PROVIDED - please enter detailed description in Other box at left; use Comments section below if needed.","")</f>
        <v/>
      </c>
      <c r="V129" s="3876"/>
      <c r="W129" s="3884"/>
      <c r="X129" s="3885"/>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86">
        <f>SUM(V128:V129)</f>
        <v>0</v>
      </c>
      <c r="W130" s="3887"/>
      <c r="X130" s="3888"/>
    </row>
    <row r="131" spans="1:24" s="293" customFormat="1" ht="3" customHeight="1" thickBot="1">
      <c r="C131" s="2346"/>
      <c r="H131" s="351"/>
      <c r="I131" s="351"/>
      <c r="L131" s="2356"/>
      <c r="V131" s="1029"/>
      <c r="W131" s="3934"/>
      <c r="X131" s="3935"/>
    </row>
    <row r="132" spans="1:24" s="293" customFormat="1" ht="14.1" customHeight="1" thickBot="1">
      <c r="B132" s="298" t="s">
        <v>2677</v>
      </c>
      <c r="E132" s="821"/>
      <c r="F132" s="1589"/>
      <c r="G132" s="2584">
        <f>G17+G23+G27+G33+G38+G41+G47+G64+G77+G83+G91+G105+G111+G118+G126+G130</f>
        <v>10740700</v>
      </c>
      <c r="H132" s="2585"/>
      <c r="J132" s="2584">
        <f>J17+J23+J27+J33+J38+J41+J47+J64+J77+J83+J91+J105+J111+J118+J126+J130</f>
        <v>9863789</v>
      </c>
      <c r="K132" s="2585"/>
      <c r="M132" s="2584">
        <f>M17+M23+M27+M33+M38+M41+M47+M64+M77+M83+M91+M105+M111+M118+M126+M130</f>
        <v>0</v>
      </c>
      <c r="N132" s="2585"/>
      <c r="P132" s="2584">
        <f>P17+P23+P27+P33+P38+P41+P47+P64+P77+P83+P91+P105+P111+P118+P126+P130</f>
        <v>0</v>
      </c>
      <c r="Q132" s="2585"/>
      <c r="S132" s="2584">
        <f>S17+S23+S27+S33+S38+S41+S47+S64+S77+S83+S91+S105+S111+S118+S126+S130</f>
        <v>876911</v>
      </c>
      <c r="T132" s="2585"/>
      <c r="V132" s="3936">
        <f>V17+V23+V27+V33+V38+V41+V47+V64+V77+V83+V91+V105+V111+V118+V126+V130</f>
        <v>0</v>
      </c>
      <c r="W132" s="3937"/>
      <c r="X132" s="3888"/>
    </row>
    <row r="133" spans="1:24" s="293" customFormat="1" ht="3" customHeight="1">
      <c r="C133" s="2346"/>
      <c r="H133" s="351"/>
      <c r="I133" s="351"/>
      <c r="L133" s="2356"/>
      <c r="V133" s="1029"/>
    </row>
    <row r="134" spans="1:24" s="293" customFormat="1" ht="14.1" customHeight="1">
      <c r="B134" s="490" t="s">
        <v>2674</v>
      </c>
      <c r="C134" s="488"/>
      <c r="D134" s="2577">
        <f>IF('Part VI-Revenues &amp; Expenses'!$P$67=0,0,G132/'Part VI-Revenues &amp; Expenses'!$P$67)</f>
        <v>223764.58333333334</v>
      </c>
      <c r="E134" s="2577"/>
      <c r="F134" s="489" t="s">
        <v>2673</v>
      </c>
      <c r="G134" s="2578">
        <f>IF('Part I-Project Information'!$P$75=0,0,G132/'Part I-Project Information'!$P$75)</f>
        <v>208.96303501945525</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1995</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938">
        <v>0</v>
      </c>
      <c r="K140" s="3939"/>
      <c r="P140" s="3938"/>
      <c r="Q140" s="3939"/>
      <c r="V140" s="3876"/>
      <c r="W140" s="3877"/>
      <c r="X140" s="3878"/>
    </row>
    <row r="141" spans="1:24" s="293" customFormat="1" ht="14.1" customHeight="1">
      <c r="B141" s="2356" t="s">
        <v>2101</v>
      </c>
      <c r="D141" s="2356"/>
      <c r="E141" s="2356"/>
      <c r="F141" s="2356"/>
      <c r="G141" s="2356"/>
      <c r="H141" s="2356"/>
      <c r="I141" s="358"/>
      <c r="J141" s="3940">
        <v>0</v>
      </c>
      <c r="K141" s="3941"/>
      <c r="P141" s="3940"/>
      <c r="Q141" s="3941"/>
      <c r="V141" s="3876"/>
      <c r="W141" s="3877"/>
      <c r="X141" s="3878"/>
    </row>
    <row r="142" spans="1:24" s="293" customFormat="1" ht="14.1" customHeight="1">
      <c r="B142" s="2356" t="s">
        <v>1816</v>
      </c>
      <c r="D142" s="2356"/>
      <c r="E142" s="2356"/>
      <c r="I142" s="358"/>
      <c r="J142" s="3940">
        <v>0</v>
      </c>
      <c r="K142" s="3941"/>
      <c r="P142" s="3940"/>
      <c r="Q142" s="3941"/>
      <c r="V142" s="3876"/>
      <c r="W142" s="3877"/>
      <c r="X142" s="3878"/>
    </row>
    <row r="143" spans="1:24" s="293" customFormat="1" ht="14.1" customHeight="1">
      <c r="B143" s="2356" t="s">
        <v>1817</v>
      </c>
      <c r="D143" s="2356"/>
      <c r="E143" s="2356"/>
      <c r="I143" s="358"/>
      <c r="J143" s="3940">
        <v>0</v>
      </c>
      <c r="K143" s="3941"/>
      <c r="P143" s="3940"/>
      <c r="Q143" s="3941"/>
      <c r="V143" s="3876"/>
      <c r="W143" s="3877"/>
      <c r="X143" s="3878"/>
    </row>
    <row r="144" spans="1:24" s="293" customFormat="1" ht="14.1" customHeight="1">
      <c r="B144" s="2356" t="s">
        <v>249</v>
      </c>
      <c r="D144" s="2356"/>
      <c r="E144" s="2356"/>
      <c r="I144" s="358"/>
      <c r="J144" s="3940">
        <v>0</v>
      </c>
      <c r="K144" s="3941"/>
      <c r="P144" s="3940"/>
      <c r="Q144" s="3941"/>
      <c r="V144" s="3876"/>
      <c r="W144" s="3877"/>
      <c r="X144" s="3878"/>
    </row>
    <row r="145" spans="1:24" s="293" customFormat="1" ht="14.1" customHeight="1" thickBot="1">
      <c r="B145" s="2356" t="s">
        <v>1568</v>
      </c>
      <c r="C145" s="3942" t="s">
        <v>2352</v>
      </c>
      <c r="D145" s="3942"/>
      <c r="E145" s="3942"/>
      <c r="F145" s="3942"/>
      <c r="G145" s="3942"/>
      <c r="H145" s="3942"/>
      <c r="I145" s="3943"/>
      <c r="J145" s="3944">
        <v>0</v>
      </c>
      <c r="K145" s="3945"/>
      <c r="P145" s="3944"/>
      <c r="Q145" s="3945"/>
      <c r="V145" s="3876"/>
      <c r="W145" s="3884"/>
      <c r="X145" s="3885"/>
    </row>
    <row r="146" spans="1:24" s="293" customFormat="1" ht="14.1" customHeight="1" thickBot="1">
      <c r="B146" s="303" t="s">
        <v>1818</v>
      </c>
      <c r="C146" s="306"/>
      <c r="J146" s="2485">
        <f>SUM(J140:K145)</f>
        <v>0</v>
      </c>
      <c r="K146" s="2486"/>
      <c r="P146" s="2485">
        <f>SUM(P140:Q145)</f>
        <v>0</v>
      </c>
      <c r="Q146" s="2486"/>
      <c r="V146" s="3886">
        <f>SUM(V140:V145)</f>
        <v>0</v>
      </c>
      <c r="W146" s="3887"/>
      <c r="X146" s="3888"/>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8">
        <f>J132</f>
        <v>9863789</v>
      </c>
      <c r="K149" s="2619"/>
      <c r="M149" s="2620">
        <f>M132</f>
        <v>0</v>
      </c>
      <c r="N149" s="2621"/>
      <c r="P149" s="2618">
        <f>P132</f>
        <v>0</v>
      </c>
      <c r="Q149" s="2619"/>
      <c r="R149" s="2544" t="s">
        <v>4230</v>
      </c>
      <c r="S149" s="2545"/>
      <c r="T149" s="2545"/>
      <c r="V149" s="3876"/>
      <c r="W149" s="3877"/>
      <c r="X149" s="3878"/>
    </row>
    <row r="150" spans="1:24" s="293" customFormat="1" ht="14.1" customHeight="1">
      <c r="B150" s="293" t="s">
        <v>2163</v>
      </c>
      <c r="J150" s="2555">
        <f>J146</f>
        <v>0</v>
      </c>
      <c r="K150" s="2556"/>
      <c r="M150" s="2567"/>
      <c r="N150" s="2567"/>
      <c r="P150" s="2555">
        <f>P146</f>
        <v>0</v>
      </c>
      <c r="Q150" s="2556"/>
      <c r="R150" s="2544"/>
      <c r="S150" s="2545"/>
      <c r="T150" s="2545"/>
      <c r="U150" s="1405"/>
      <c r="V150" s="3876"/>
      <c r="W150" s="3877"/>
      <c r="X150" s="3878"/>
    </row>
    <row r="151" spans="1:24" s="293" customFormat="1" ht="14.1" customHeight="1">
      <c r="B151" s="293" t="s">
        <v>2164</v>
      </c>
      <c r="J151" s="2555">
        <f>J149-J150</f>
        <v>9863789</v>
      </c>
      <c r="K151" s="2556"/>
      <c r="M151" s="2555">
        <f>M149</f>
        <v>0</v>
      </c>
      <c r="N151" s="2556"/>
      <c r="P151" s="2555">
        <f>P149-P150</f>
        <v>0</v>
      </c>
      <c r="Q151" s="2556"/>
      <c r="R151" s="2544"/>
      <c r="S151" s="2545"/>
      <c r="T151" s="2545"/>
      <c r="U151" s="1405"/>
      <c r="V151" s="3876"/>
      <c r="W151" s="3877"/>
      <c r="X151" s="3878"/>
    </row>
    <row r="152" spans="1:24" s="293" customFormat="1" ht="14.1" customHeight="1">
      <c r="B152" s="293" t="s">
        <v>1454</v>
      </c>
      <c r="G152" s="2351" t="s">
        <v>1672</v>
      </c>
      <c r="H152" s="3484" t="s">
        <v>1727</v>
      </c>
      <c r="I152" s="3485"/>
      <c r="J152" s="3946">
        <v>1</v>
      </c>
      <c r="K152" s="3947"/>
      <c r="M152" s="2574"/>
      <c r="N152" s="2574"/>
      <c r="P152" s="3946"/>
      <c r="Q152" s="3947"/>
      <c r="R152" s="3948" t="s">
        <v>3521</v>
      </c>
      <c r="S152" s="3949"/>
      <c r="T152" s="3950"/>
      <c r="U152" s="1406"/>
      <c r="V152" s="3876"/>
      <c r="W152" s="3877"/>
      <c r="X152" s="3878"/>
    </row>
    <row r="153" spans="1:24" s="293" customFormat="1" ht="14.1" customHeight="1">
      <c r="B153" s="293" t="s">
        <v>2005</v>
      </c>
      <c r="J153" s="2555">
        <f>J151*J152</f>
        <v>9863789</v>
      </c>
      <c r="K153" s="2556"/>
      <c r="M153" s="2555">
        <f>+M151</f>
        <v>0</v>
      </c>
      <c r="N153" s="2556"/>
      <c r="P153" s="2555">
        <f>P151*P152</f>
        <v>0</v>
      </c>
      <c r="Q153" s="2556"/>
      <c r="R153" s="3951"/>
      <c r="S153" s="3952"/>
      <c r="T153" s="3953"/>
      <c r="U153" s="1406"/>
      <c r="V153" s="3876"/>
      <c r="W153" s="3877"/>
      <c r="X153" s="3878"/>
    </row>
    <row r="154" spans="1:24" s="293" customFormat="1" ht="14.1" customHeight="1">
      <c r="B154" s="293" t="s">
        <v>2474</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954"/>
      <c r="S154" s="3955"/>
      <c r="T154" s="3956"/>
      <c r="V154" s="3876"/>
      <c r="W154" s="3877"/>
      <c r="X154" s="3878"/>
    </row>
    <row r="155" spans="1:24" s="293" customFormat="1" ht="14.1" customHeight="1">
      <c r="B155" s="293" t="s">
        <v>1996</v>
      </c>
      <c r="J155" s="2555">
        <f>J153*J154</f>
        <v>9863789</v>
      </c>
      <c r="K155" s="2556"/>
      <c r="M155" s="2555">
        <f>M153*M154</f>
        <v>0</v>
      </c>
      <c r="N155" s="2556"/>
      <c r="P155" s="2555">
        <f>P153*P154</f>
        <v>0</v>
      </c>
      <c r="Q155" s="2556"/>
      <c r="V155" s="3876"/>
      <c r="W155" s="3877"/>
      <c r="X155" s="3878"/>
    </row>
    <row r="156" spans="1:24" s="293" customFormat="1" ht="14.1" customHeight="1">
      <c r="B156" s="293" t="s">
        <v>1997</v>
      </c>
      <c r="J156" s="3946">
        <v>0.09</v>
      </c>
      <c r="K156" s="3947"/>
      <c r="M156" s="3946"/>
      <c r="N156" s="3947"/>
      <c r="P156" s="3946"/>
      <c r="Q156" s="3947"/>
      <c r="V156" s="3876"/>
      <c r="W156" s="3877"/>
      <c r="X156" s="3878"/>
    </row>
    <row r="157" spans="1:24" s="293" customFormat="1" ht="14.1" customHeight="1" thickBot="1">
      <c r="B157" s="293" t="s">
        <v>2475</v>
      </c>
      <c r="J157" s="2558">
        <f>J155*J156</f>
        <v>887741.01</v>
      </c>
      <c r="K157" s="2559"/>
      <c r="M157" s="2558">
        <f>M155*M156</f>
        <v>0</v>
      </c>
      <c r="N157" s="2559"/>
      <c r="P157" s="2558">
        <f>P155*P156</f>
        <v>0</v>
      </c>
      <c r="Q157" s="2559"/>
      <c r="V157" s="3957"/>
      <c r="W157" s="3884"/>
      <c r="X157" s="3885"/>
    </row>
    <row r="158" spans="1:24" s="293" customFormat="1" ht="14.1" customHeight="1" thickBot="1">
      <c r="B158" s="295" t="s">
        <v>1396</v>
      </c>
      <c r="J158" s="2485">
        <f>ROUNDDOWN(J157+M157+P157,0)</f>
        <v>887741</v>
      </c>
      <c r="K158" s="2563"/>
      <c r="L158" s="2563"/>
      <c r="M158" s="2563"/>
      <c r="N158" s="2563"/>
      <c r="O158" s="2563"/>
      <c r="P158" s="2563"/>
      <c r="Q158" s="2486"/>
      <c r="V158" s="3886"/>
      <c r="W158" s="3909"/>
      <c r="X158" s="3910"/>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58"/>
      <c r="I161" s="3958"/>
      <c r="M161" s="535"/>
      <c r="O161" s="3959"/>
      <c r="P161" s="3959"/>
      <c r="Q161" s="3959"/>
      <c r="R161" s="3959"/>
      <c r="S161" s="3959"/>
      <c r="T161" s="3959"/>
      <c r="U161" s="3959"/>
      <c r="V161" s="3959"/>
    </row>
    <row r="162" spans="2:24" s="168" customFormat="1" ht="14.1" customHeight="1">
      <c r="B162" s="3960" t="s">
        <v>4524</v>
      </c>
      <c r="H162" s="3958"/>
      <c r="I162" s="3958"/>
      <c r="M162" s="535"/>
      <c r="O162" s="3961"/>
      <c r="P162" s="3961"/>
      <c r="Q162" s="3961"/>
      <c r="R162" s="3961"/>
      <c r="S162" s="3961"/>
      <c r="T162" s="3961"/>
      <c r="U162" s="3961"/>
      <c r="V162" s="3961"/>
    </row>
    <row r="163" spans="2:24" s="168" customFormat="1" ht="15" customHeight="1">
      <c r="B163" s="168" t="s">
        <v>4526</v>
      </c>
      <c r="J163" s="3962">
        <f>G132</f>
        <v>10740700</v>
      </c>
      <c r="K163" s="3963"/>
      <c r="L163" s="3964"/>
      <c r="V163" s="3965"/>
      <c r="W163" s="3966"/>
    </row>
    <row r="164" spans="2:24" s="168" customFormat="1" ht="13.5" customHeight="1">
      <c r="B164" s="168" t="s">
        <v>4528</v>
      </c>
      <c r="J164" s="3962">
        <f>'Part IV-A-Uses of Funds'!$G$83+'Part IV-A-Uses of Funds'!$G$105+SUM('Part IV-A-Uses of Funds'!$G$121:$H$123)</f>
        <v>505263</v>
      </c>
      <c r="K164" s="3963"/>
      <c r="L164" s="3964"/>
      <c r="V164" s="3965"/>
      <c r="W164" s="3966"/>
    </row>
    <row r="165" spans="2:24" s="168" customFormat="1" ht="13.5" customHeight="1">
      <c r="B165" s="3967" t="s">
        <v>4527</v>
      </c>
      <c r="J165" s="3962">
        <f>J163-J164</f>
        <v>10235437</v>
      </c>
      <c r="K165" s="3963"/>
      <c r="L165" s="3964"/>
      <c r="M165" s="2542" t="str">
        <f>IF(J165&lt;=J166, "","Exceeds Project Cost Limit!   Needs Cost Limit waiver.")</f>
        <v/>
      </c>
      <c r="N165" s="2542"/>
      <c r="O165" s="2542"/>
      <c r="P165" s="2542"/>
      <c r="Q165" s="2542"/>
      <c r="R165" s="2542"/>
      <c r="S165" s="2542"/>
      <c r="T165" s="2542"/>
      <c r="V165" s="3965"/>
      <c r="W165" s="3966"/>
    </row>
    <row r="166" spans="2:24" s="168" customFormat="1" ht="13.5" customHeight="1">
      <c r="B166" s="3968" t="s">
        <v>2678</v>
      </c>
      <c r="C166" s="3967"/>
      <c r="D166" s="3967"/>
      <c r="J166" s="3962">
        <f>'Part VIII-Threshold Criteria'!$P$63</f>
        <v>10239777.099999998</v>
      </c>
      <c r="K166" s="3963"/>
      <c r="L166" s="3964"/>
      <c r="V166" s="3965"/>
      <c r="W166" s="3966"/>
    </row>
    <row r="167" spans="2:24" s="168" customFormat="1" ht="3" customHeight="1">
      <c r="B167" s="3968"/>
      <c r="C167" s="3967"/>
      <c r="D167" s="3967"/>
      <c r="J167" s="3969"/>
      <c r="K167" s="3969"/>
      <c r="L167" s="3969"/>
      <c r="V167" s="3965"/>
      <c r="W167" s="3966"/>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4529</v>
      </c>
      <c r="J169" s="3970">
        <f>MIN(J163,J166+J164)</f>
        <v>10740700</v>
      </c>
      <c r="K169" s="3971"/>
      <c r="L169" s="3972"/>
      <c r="M169" s="2549" t="s">
        <v>4552</v>
      </c>
      <c r="N169" s="2550"/>
      <c r="O169" s="2550"/>
      <c r="P169" s="2550"/>
      <c r="Q169" s="2550"/>
      <c r="R169" s="2551"/>
      <c r="S169" s="2549" t="s">
        <v>3499</v>
      </c>
      <c r="T169" s="2551"/>
      <c r="V169" s="3876"/>
      <c r="W169" s="3877"/>
      <c r="X169" s="3878"/>
    </row>
    <row r="170" spans="2:24" s="293" customFormat="1" ht="14.1" customHeight="1">
      <c r="B170" s="293" t="s">
        <v>258</v>
      </c>
      <c r="J170" s="2555">
        <f>'Part III-Sources of Funds'!$I$58-'Part III-Sources of Funds'!$I$42-'Part III-Sources of Funds'!$I$43-'Part III-Sources of Funds'!$I$49-'Part III-Sources of Funds'!$I$50</f>
        <v>110</v>
      </c>
      <c r="K170" s="2567"/>
      <c r="L170" s="2568"/>
      <c r="M170" s="2552"/>
      <c r="N170" s="2553"/>
      <c r="O170" s="2553"/>
      <c r="P170" s="2553"/>
      <c r="Q170" s="2553"/>
      <c r="R170" s="2554"/>
      <c r="S170" s="2552"/>
      <c r="T170" s="2554"/>
      <c r="V170" s="3876"/>
      <c r="W170" s="3877"/>
      <c r="X170" s="3878"/>
    </row>
    <row r="171" spans="2:24" s="293" customFormat="1" ht="14.1" customHeight="1">
      <c r="B171" s="293" t="s">
        <v>2175</v>
      </c>
      <c r="J171" s="2555">
        <f>+J169-J170</f>
        <v>10740590</v>
      </c>
      <c r="K171" s="2567"/>
      <c r="L171" s="2568"/>
      <c r="M171" s="2552"/>
      <c r="N171" s="2553"/>
      <c r="O171" s="2553"/>
      <c r="P171" s="2553"/>
      <c r="Q171" s="2553"/>
      <c r="R171" s="2554"/>
      <c r="S171" s="2552"/>
      <c r="T171" s="2554"/>
      <c r="V171" s="3876"/>
      <c r="W171" s="3877"/>
      <c r="X171" s="3878"/>
    </row>
    <row r="172" spans="2:24" s="293" customFormat="1" ht="14.1" customHeight="1" thickBot="1">
      <c r="B172" s="293" t="s">
        <v>1260</v>
      </c>
      <c r="J172" s="2573" t="str">
        <f>"/ 10"</f>
        <v>/ 10</v>
      </c>
      <c r="K172" s="2573"/>
      <c r="L172" s="2573"/>
      <c r="M172" s="2569" t="s">
        <v>2660</v>
      </c>
      <c r="N172" s="2570"/>
      <c r="O172" s="2571">
        <f>'Part III-Sources of Funds'!$I$42</f>
        <v>0</v>
      </c>
      <c r="P172" s="2571"/>
      <c r="Q172" s="2571"/>
      <c r="R172" s="2572"/>
      <c r="S172" s="406" t="s">
        <v>1623</v>
      </c>
      <c r="T172" s="3973"/>
      <c r="V172" s="3876"/>
      <c r="W172" s="3877"/>
      <c r="X172" s="3878"/>
    </row>
    <row r="173" spans="2:24" s="293" customFormat="1" ht="14.1" customHeight="1">
      <c r="B173" s="293" t="s">
        <v>1261</v>
      </c>
      <c r="J173" s="2555">
        <f>J171/10</f>
        <v>1074059</v>
      </c>
      <c r="K173" s="2567"/>
      <c r="L173" s="2556"/>
      <c r="M173" s="2356"/>
      <c r="N173" s="464"/>
      <c r="O173" s="464"/>
      <c r="P173" s="464"/>
      <c r="Q173" s="464"/>
      <c r="R173" s="464"/>
      <c r="V173" s="1029"/>
      <c r="W173" s="3877"/>
      <c r="X173" s="3878"/>
    </row>
    <row r="174" spans="2:24" s="293" customFormat="1" ht="14.1" customHeight="1">
      <c r="M174" s="311"/>
      <c r="N174" s="2432" t="s">
        <v>1262</v>
      </c>
      <c r="O174" s="2432"/>
      <c r="Q174" s="2432" t="s">
        <v>1754</v>
      </c>
      <c r="R174" s="2432"/>
      <c r="V174" s="3876"/>
      <c r="W174" s="3877"/>
      <c r="X174" s="3878"/>
    </row>
    <row r="175" spans="2:24" s="293" customFormat="1" ht="14.1" customHeight="1" thickBot="1">
      <c r="B175" s="293" t="s">
        <v>1453</v>
      </c>
      <c r="J175" s="2560">
        <f>N175+Q175</f>
        <v>1.21</v>
      </c>
      <c r="K175" s="2561"/>
      <c r="L175" s="2562"/>
      <c r="M175" s="2351" t="s">
        <v>1263</v>
      </c>
      <c r="N175" s="3974">
        <v>0.84</v>
      </c>
      <c r="O175" s="3975"/>
      <c r="P175" s="2351" t="s">
        <v>595</v>
      </c>
      <c r="Q175" s="3974">
        <v>0.37</v>
      </c>
      <c r="R175" s="3975"/>
      <c r="V175" s="3876"/>
      <c r="W175" s="3877"/>
      <c r="X175" s="3878"/>
    </row>
    <row r="176" spans="2:24" s="293" customFormat="1" ht="14.1" customHeight="1" thickBot="1">
      <c r="B176" s="295" t="s">
        <v>1397</v>
      </c>
      <c r="J176" s="2485">
        <f>ROUNDDOWN(IF(J175=0,"",J173/J175),0)</f>
        <v>887652</v>
      </c>
      <c r="K176" s="2563"/>
      <c r="L176" s="2486"/>
      <c r="M176" s="311"/>
      <c r="N176" s="2356"/>
      <c r="O176" s="2356"/>
      <c r="V176" s="3876"/>
      <c r="W176" s="3877"/>
      <c r="X176" s="3878"/>
    </row>
    <row r="177" spans="1:24" s="293" customFormat="1" ht="6" customHeight="1">
      <c r="J177" s="361"/>
      <c r="K177" s="361"/>
      <c r="L177" s="361"/>
      <c r="M177" s="311"/>
      <c r="N177" s="2357"/>
      <c r="O177" s="2357"/>
      <c r="V177" s="1029"/>
      <c r="W177" s="3877"/>
      <c r="X177" s="3878"/>
    </row>
    <row r="178" spans="1:24" s="293" customFormat="1" ht="14.1" customHeight="1">
      <c r="A178" s="419" t="s">
        <v>1748</v>
      </c>
      <c r="B178" s="419" t="s">
        <v>4525</v>
      </c>
      <c r="H178" s="351"/>
      <c r="I178" s="351"/>
      <c r="L178" s="2356"/>
      <c r="M178" s="467"/>
      <c r="N178" s="2356"/>
      <c r="O178" s="2356"/>
      <c r="P178" s="2356"/>
      <c r="Q178" s="2356"/>
      <c r="R178" s="2356"/>
      <c r="S178" s="2356"/>
      <c r="T178" s="2356"/>
      <c r="V178" s="1029"/>
    </row>
    <row r="179" spans="1:24" s="168" customFormat="1" ht="3" customHeight="1">
      <c r="H179" s="3958"/>
      <c r="I179" s="3958"/>
      <c r="M179" s="535"/>
      <c r="O179" s="3959"/>
      <c r="P179" s="3959"/>
      <c r="Q179" s="3959"/>
      <c r="R179" s="3959"/>
      <c r="S179" s="3959"/>
      <c r="T179" s="3959"/>
      <c r="U179" s="3959"/>
      <c r="V179" s="3959"/>
    </row>
    <row r="180" spans="1:24" s="293" customFormat="1" ht="16.350000000000001" customHeight="1">
      <c r="B180" s="295" t="s">
        <v>4803</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887652</v>
      </c>
      <c r="K180" s="2565"/>
      <c r="L180" s="2566"/>
      <c r="M180" s="311"/>
      <c r="N180" s="2357"/>
      <c r="O180" s="2357"/>
      <c r="V180" s="3876"/>
      <c r="W180" s="3877"/>
      <c r="X180" s="3878"/>
    </row>
    <row r="181" spans="1:24" s="293" customFormat="1" ht="3" customHeight="1">
      <c r="J181" s="361"/>
      <c r="K181" s="361"/>
      <c r="L181" s="361"/>
      <c r="M181" s="311"/>
      <c r="N181" s="2357"/>
      <c r="O181" s="2357"/>
      <c r="V181" s="1029"/>
      <c r="W181" s="3934"/>
      <c r="X181" s="3935"/>
    </row>
    <row r="182" spans="1:24" s="293" customFormat="1" ht="16.350000000000001" customHeight="1">
      <c r="B182" s="295" t="s">
        <v>4804</v>
      </c>
      <c r="J182" s="3976">
        <v>887000</v>
      </c>
      <c r="K182" s="3977"/>
      <c r="L182" s="3978"/>
      <c r="M182" s="362" t="str">
        <f>IF(J180=0,"",IF(J182&gt;J180,"ALLOCATION CANNOT EXCEED MAXIMUM - REVISE REQUEST (Try Round Down)!",""))</f>
        <v/>
      </c>
      <c r="N182" s="2357"/>
      <c r="O182" s="2357"/>
      <c r="V182" s="3876"/>
      <c r="W182" s="3877"/>
      <c r="X182" s="3878"/>
    </row>
    <row r="183" spans="1:24" s="293" customFormat="1" ht="3" customHeight="1">
      <c r="J183" s="361"/>
      <c r="K183" s="361"/>
      <c r="L183" s="361"/>
      <c r="M183" s="311"/>
      <c r="N183" s="2357"/>
      <c r="O183" s="2357"/>
      <c r="V183" s="1029"/>
      <c r="W183" s="3934"/>
      <c r="X183" s="3935"/>
    </row>
    <row r="184" spans="1:24" s="293" customFormat="1" ht="16.350000000000001" customHeight="1">
      <c r="A184" s="419"/>
      <c r="B184" s="419" t="s">
        <v>4805</v>
      </c>
      <c r="D184" s="311"/>
      <c r="E184" s="311"/>
      <c r="F184" s="2348"/>
      <c r="J184" s="2546">
        <f>IF(J182="",0,+MIN(J180,J182))</f>
        <v>887000</v>
      </c>
      <c r="K184" s="2547"/>
      <c r="L184" s="2548"/>
      <c r="N184" s="3979"/>
      <c r="O184" s="3979"/>
      <c r="P184" s="3979"/>
      <c r="Q184" s="3979"/>
      <c r="R184" s="3979"/>
      <c r="S184" s="3979"/>
      <c r="T184" s="3979"/>
      <c r="V184" s="3876"/>
      <c r="W184" s="3877"/>
      <c r="X184" s="3878"/>
    </row>
    <row r="185" spans="1:24" ht="3" customHeight="1"/>
    <row r="186" spans="1:24" ht="6" customHeight="1"/>
    <row r="187" spans="1:24" ht="12" customHeight="1">
      <c r="A187" s="295" t="s">
        <v>1750</v>
      </c>
      <c r="B187" s="319" t="s">
        <v>555</v>
      </c>
      <c r="N187" s="295" t="s">
        <v>516</v>
      </c>
      <c r="O187" s="295" t="s">
        <v>77</v>
      </c>
    </row>
    <row r="188" spans="1:24" ht="352.5" customHeight="1">
      <c r="A188" s="3874" t="s">
        <v>3551</v>
      </c>
      <c r="B188" s="3874"/>
      <c r="C188" s="3874"/>
      <c r="D188" s="3874"/>
      <c r="E188" s="3874"/>
      <c r="F188" s="3874"/>
      <c r="G188" s="3874"/>
      <c r="H188" s="3874"/>
      <c r="I188" s="3874"/>
      <c r="J188" s="3874"/>
      <c r="K188" s="3874"/>
      <c r="L188" s="3874"/>
      <c r="M188" s="3874"/>
      <c r="N188" s="3980"/>
      <c r="O188" s="3980"/>
      <c r="P188" s="3980"/>
      <c r="Q188" s="3980"/>
      <c r="R188" s="3980"/>
      <c r="S188" s="3980"/>
      <c r="T188" s="3980"/>
      <c r="V188" s="924"/>
      <c r="W188" s="2490" t="s">
        <v>2613</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XX//hErhNKAOHUd9pg7nCT9r+b0VQn//azZyCwNBk1i5pZ2nptKmcP5FwycBFzpWdAiQ1jhMcZYhLpm32RXY8Q==" saltValue="1+De5jLpx9yfKTgDbwiGF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2020-059 - Dulles Park II  -  Gray  -  Jones,  County</v>
      </c>
      <c r="B1" s="2632"/>
      <c r="C1" s="2632"/>
      <c r="D1" s="2632"/>
      <c r="E1" s="2632"/>
      <c r="F1" s="2632"/>
      <c r="G1" s="2632"/>
      <c r="H1" s="2632"/>
      <c r="I1" s="900"/>
      <c r="J1" s="900"/>
      <c r="K1" s="900"/>
      <c r="L1" s="900"/>
      <c r="M1" s="900"/>
      <c r="N1" s="900"/>
    </row>
    <row r="2" spans="1:14" ht="9" customHeight="1"/>
    <row r="3" spans="1:14" ht="57" customHeight="1">
      <c r="A3" s="3981" t="s">
        <v>3533</v>
      </c>
      <c r="B3" s="3982"/>
      <c r="C3" s="3982"/>
      <c r="D3" s="3982"/>
      <c r="E3" s="3982"/>
      <c r="F3" s="3982"/>
      <c r="G3" s="3982"/>
      <c r="H3" s="3983"/>
    </row>
    <row r="4" spans="1:14" ht="6" customHeight="1"/>
    <row r="5" spans="1:14" ht="38.25" customHeight="1">
      <c r="A5" s="2633" t="s">
        <v>3624</v>
      </c>
      <c r="B5" s="2633"/>
      <c r="C5" s="2633"/>
      <c r="D5" s="2633"/>
      <c r="F5" s="901" t="s">
        <v>3524</v>
      </c>
      <c r="G5" s="537"/>
      <c r="H5" s="901" t="s">
        <v>3525</v>
      </c>
    </row>
    <row r="6" spans="1:14" ht="6.75" customHeight="1">
      <c r="A6" s="537"/>
      <c r="B6" s="537"/>
      <c r="C6" s="537"/>
      <c r="D6" s="537"/>
    </row>
    <row r="7" spans="1:14" s="3984" customFormat="1" ht="4.5" customHeight="1">
      <c r="A7" s="902"/>
      <c r="B7" s="902"/>
      <c r="C7" s="902"/>
      <c r="D7" s="902"/>
      <c r="E7" s="902"/>
      <c r="F7" s="902"/>
      <c r="G7" s="902"/>
    </row>
    <row r="8" spans="1:14" s="3984" customFormat="1">
      <c r="A8" s="911" t="s">
        <v>99</v>
      </c>
      <c r="B8" s="903"/>
      <c r="C8" s="903"/>
      <c r="D8" s="903"/>
      <c r="E8" s="903"/>
      <c r="F8" s="903"/>
      <c r="G8" s="903"/>
      <c r="H8" s="903"/>
    </row>
    <row r="9" spans="1:14" s="3984" customFormat="1" ht="41.25" customHeight="1">
      <c r="A9" s="2628" t="str">
        <f>'Part IV-A-Uses of Funds'!$C$14</f>
        <v>&lt;&lt; Enter description here; provide detail &amp; justification in tab Part IV-b &gt;&gt;</v>
      </c>
      <c r="B9" s="2629"/>
      <c r="C9" s="2629"/>
      <c r="D9" s="2630"/>
      <c r="F9" s="3985"/>
      <c r="G9" s="903"/>
      <c r="H9" s="3985"/>
    </row>
    <row r="10" spans="1:14" s="3984" customFormat="1" ht="41.25" customHeight="1">
      <c r="A10" s="2625"/>
      <c r="B10" s="2626"/>
      <c r="C10" s="2626"/>
      <c r="D10" s="2627"/>
      <c r="F10" s="3986"/>
      <c r="G10" s="903"/>
      <c r="H10" s="3986"/>
    </row>
    <row r="11" spans="1:14" s="3984" customFormat="1" ht="4.5" customHeight="1">
      <c r="F11" s="3986"/>
      <c r="G11" s="903"/>
      <c r="H11" s="3986"/>
    </row>
    <row r="12" spans="1:14" s="3984" customFormat="1" ht="15" customHeight="1">
      <c r="A12" s="910" t="s">
        <v>3527</v>
      </c>
      <c r="B12" s="909">
        <f>'Part IV-A-Uses of Funds'!$G$14</f>
        <v>0</v>
      </c>
      <c r="C12" s="910" t="s">
        <v>1746</v>
      </c>
      <c r="D12" s="909">
        <f>'Part IV-A-Uses of Funds'!$J$14+'Part IV-A-Uses of Funds'!$M$14+'Part IV-A-Uses of Funds'!$P$14</f>
        <v>0</v>
      </c>
      <c r="F12" s="3986"/>
      <c r="G12" s="903"/>
      <c r="H12" s="3986"/>
    </row>
    <row r="13" spans="1:14" s="3984" customFormat="1" ht="6" customHeight="1">
      <c r="A13" s="903"/>
      <c r="B13" s="904"/>
      <c r="C13" s="903"/>
      <c r="D13" s="903"/>
      <c r="F13" s="3986"/>
      <c r="G13" s="905"/>
      <c r="H13" s="3986"/>
    </row>
    <row r="14" spans="1:14" s="3984" customFormat="1" ht="41.25" customHeight="1">
      <c r="A14" s="2628" t="str">
        <f>'Part IV-A-Uses of Funds'!$C$15</f>
        <v>&lt;&lt; Enter description here; provide detail &amp; justification in tab Part IV-b &gt;&gt;</v>
      </c>
      <c r="B14" s="2629"/>
      <c r="C14" s="2629"/>
      <c r="D14" s="2630"/>
      <c r="F14" s="3986"/>
      <c r="G14" s="903"/>
      <c r="H14" s="3986"/>
    </row>
    <row r="15" spans="1:14" s="3984" customFormat="1" ht="41.25" customHeight="1">
      <c r="A15" s="2625"/>
      <c r="B15" s="2626"/>
      <c r="C15" s="2626"/>
      <c r="D15" s="2627"/>
      <c r="F15" s="3986"/>
      <c r="G15" s="903"/>
      <c r="H15" s="3986"/>
    </row>
    <row r="16" spans="1:14" s="3984" customFormat="1" ht="4.5" customHeight="1">
      <c r="F16" s="3986"/>
      <c r="G16" s="903"/>
      <c r="H16" s="3986"/>
    </row>
    <row r="17" spans="1:8" s="3984" customFormat="1" ht="15" customHeight="1">
      <c r="A17" s="910" t="s">
        <v>3527</v>
      </c>
      <c r="B17" s="909">
        <f>'Part IV-A-Uses of Funds'!$G$15</f>
        <v>0</v>
      </c>
      <c r="C17" s="910" t="s">
        <v>1746</v>
      </c>
      <c r="D17" s="909">
        <f>'Part IV-A-Uses of Funds'!$J$15+'Part IV-A-Uses of Funds'!$M$15+'Part IV-A-Uses of Funds'!$P$15</f>
        <v>0</v>
      </c>
      <c r="F17" s="3986"/>
      <c r="G17" s="903"/>
      <c r="H17" s="3986"/>
    </row>
    <row r="18" spans="1:8" s="3984" customFormat="1" ht="6" customHeight="1">
      <c r="A18" s="903"/>
      <c r="B18" s="904"/>
      <c r="C18" s="903"/>
      <c r="D18" s="903"/>
      <c r="F18" s="3986"/>
      <c r="G18" s="905"/>
      <c r="H18" s="3986"/>
    </row>
    <row r="19" spans="1:8" s="3984" customFormat="1" ht="41.25" customHeight="1">
      <c r="A19" s="2628" t="str">
        <f>'Part IV-A-Uses of Funds'!$C$16</f>
        <v>&lt;&lt; Enter description here; provide detail &amp; justification in tab Part IV-b &gt;&gt;</v>
      </c>
      <c r="B19" s="2629"/>
      <c r="C19" s="2629"/>
      <c r="D19" s="2630"/>
      <c r="F19" s="3986"/>
      <c r="G19" s="903"/>
      <c r="H19" s="3986"/>
    </row>
    <row r="20" spans="1:8" s="3984" customFormat="1" ht="41.25" customHeight="1">
      <c r="A20" s="2625"/>
      <c r="B20" s="2626"/>
      <c r="C20" s="2626"/>
      <c r="D20" s="2627"/>
      <c r="F20" s="3986"/>
      <c r="G20" s="903"/>
      <c r="H20" s="3986"/>
    </row>
    <row r="21" spans="1:8" s="3984" customFormat="1" ht="4.5" customHeight="1">
      <c r="F21" s="3986"/>
      <c r="G21" s="903"/>
      <c r="H21" s="3986"/>
    </row>
    <row r="22" spans="1:8" s="3984" customFormat="1" ht="15" customHeight="1">
      <c r="A22" s="910" t="s">
        <v>3527</v>
      </c>
      <c r="B22" s="909">
        <f>'Part IV-A-Uses of Funds'!$G$16</f>
        <v>0</v>
      </c>
      <c r="C22" s="910" t="s">
        <v>1746</v>
      </c>
      <c r="D22" s="909">
        <f>'Part IV-A-Uses of Funds'!$J$16+'Part IV-A-Uses of Funds'!$M$16+'Part IV-A-Uses of Funds'!$P$16</f>
        <v>0</v>
      </c>
      <c r="F22" s="3986"/>
      <c r="G22" s="903"/>
      <c r="H22" s="3986"/>
    </row>
    <row r="23" spans="1:8" s="3984" customFormat="1" ht="6" customHeight="1">
      <c r="A23" s="903"/>
      <c r="B23" s="904"/>
      <c r="C23" s="903"/>
      <c r="D23" s="903"/>
      <c r="F23" s="3987"/>
      <c r="G23" s="905"/>
      <c r="H23" s="3987"/>
    </row>
    <row r="24" spans="1:8" s="3984" customFormat="1">
      <c r="A24" s="911" t="s">
        <v>3526</v>
      </c>
      <c r="B24" s="903"/>
      <c r="C24" s="903"/>
      <c r="D24" s="903"/>
      <c r="E24" s="903"/>
      <c r="F24" s="903"/>
      <c r="G24" s="903"/>
    </row>
    <row r="25" spans="1:8" s="3984" customFormat="1" ht="41.25" customHeight="1">
      <c r="A25" s="2628" t="str">
        <f>'Part IV-A-Uses of Funds'!$C$41</f>
        <v>&lt;&lt; Enter description here; provide detail &amp; justification in tab Part IV-b &gt;&gt;</v>
      </c>
      <c r="B25" s="2629"/>
      <c r="C25" s="2629"/>
      <c r="D25" s="2630"/>
      <c r="E25" s="903"/>
      <c r="F25" s="3988"/>
      <c r="G25" s="903"/>
      <c r="H25" s="3988"/>
    </row>
    <row r="26" spans="1:8" s="3984" customFormat="1" ht="41.25" customHeight="1">
      <c r="A26" s="2625"/>
      <c r="B26" s="2626"/>
      <c r="C26" s="2626"/>
      <c r="D26" s="2627"/>
      <c r="E26" s="903"/>
      <c r="F26" s="3989"/>
      <c r="G26" s="903"/>
      <c r="H26" s="3989"/>
    </row>
    <row r="27" spans="1:8" s="3984" customFormat="1" ht="4.5" customHeight="1">
      <c r="A27" s="903"/>
      <c r="B27" s="903"/>
      <c r="C27" s="903"/>
      <c r="D27" s="903"/>
      <c r="E27" s="903"/>
      <c r="F27" s="3989"/>
      <c r="G27" s="903"/>
      <c r="H27" s="3989"/>
    </row>
    <row r="28" spans="1:8" s="3984" customFormat="1" ht="10.199999999999999">
      <c r="A28" s="910" t="s">
        <v>3527</v>
      </c>
      <c r="B28" s="909">
        <f>'Part IV-A-Uses of Funds'!$G$41</f>
        <v>0</v>
      </c>
      <c r="C28" s="910" t="s">
        <v>1746</v>
      </c>
      <c r="D28" s="909">
        <f>'Part IV-A-Uses of Funds'!$J$41+'Part IV-A-Uses of Funds'!$M$41+'Part IV-A-Uses of Funds'!$P$41</f>
        <v>0</v>
      </c>
      <c r="E28" s="903"/>
      <c r="F28" s="3989"/>
      <c r="G28" s="903"/>
      <c r="H28" s="3989"/>
    </row>
    <row r="29" spans="1:8" s="3984" customFormat="1" ht="6" customHeight="1">
      <c r="A29" s="903"/>
      <c r="B29" s="904"/>
      <c r="C29" s="903"/>
      <c r="D29" s="903"/>
      <c r="E29" s="903"/>
      <c r="F29" s="3990"/>
      <c r="G29" s="905"/>
      <c r="H29" s="3990"/>
    </row>
    <row r="30" spans="1:8" s="3984" customFormat="1">
      <c r="A30" s="911" t="s">
        <v>704</v>
      </c>
      <c r="B30" s="903"/>
      <c r="C30" s="903"/>
      <c r="D30" s="903"/>
      <c r="E30" s="903"/>
      <c r="F30" s="903"/>
      <c r="G30" s="903"/>
    </row>
    <row r="31" spans="1:8" s="3984" customFormat="1" ht="41.25" customHeight="1">
      <c r="A31" s="2622" t="str">
        <f>'Part IV-A-Uses of Funds'!$C$62</f>
        <v>&lt;&lt; Enter description here; provide detail &amp; justification in tab Part IV-b &gt;&gt;</v>
      </c>
      <c r="B31" s="2623"/>
      <c r="C31" s="2623"/>
      <c r="D31" s="2624"/>
      <c r="E31" s="903"/>
      <c r="F31" s="3985"/>
      <c r="G31" s="903"/>
      <c r="H31" s="3985"/>
    </row>
    <row r="32" spans="1:8" s="3984" customFormat="1" ht="41.25" customHeight="1">
      <c r="A32" s="2625"/>
      <c r="B32" s="2626"/>
      <c r="C32" s="2626"/>
      <c r="D32" s="2627"/>
      <c r="E32" s="903"/>
      <c r="F32" s="3986"/>
      <c r="G32" s="903"/>
      <c r="H32" s="3986"/>
    </row>
    <row r="33" spans="1:8" s="3984" customFormat="1" ht="4.5" customHeight="1">
      <c r="A33" s="903"/>
      <c r="B33" s="903"/>
      <c r="C33" s="903"/>
      <c r="D33" s="903"/>
      <c r="E33" s="903"/>
      <c r="F33" s="3986"/>
      <c r="G33" s="903"/>
      <c r="H33" s="3986"/>
    </row>
    <row r="34" spans="1:8" s="3984" customFormat="1" ht="14.25" customHeight="1">
      <c r="A34" s="910" t="s">
        <v>3527</v>
      </c>
      <c r="B34" s="909">
        <f>'Part IV-A-Uses of Funds'!$G$62</f>
        <v>0</v>
      </c>
      <c r="C34" s="910" t="s">
        <v>1746</v>
      </c>
      <c r="D34" s="909">
        <f>'Part IV-A-Uses of Funds'!$J$62+'Part IV-A-Uses of Funds'!$M$62+'Part IV-A-Uses of Funds'!$P$62</f>
        <v>0</v>
      </c>
      <c r="E34" s="903"/>
      <c r="F34" s="3986"/>
      <c r="G34" s="903"/>
      <c r="H34" s="3986"/>
    </row>
    <row r="35" spans="1:8" s="3984" customFormat="1" ht="6" customHeight="1">
      <c r="D35" s="903"/>
      <c r="E35" s="903"/>
      <c r="F35" s="3986"/>
      <c r="G35" s="905"/>
      <c r="H35" s="3986"/>
    </row>
    <row r="36" spans="1:8" s="3984" customFormat="1" ht="41.25" customHeight="1">
      <c r="A36" s="2622" t="str">
        <f>'Part IV-A-Uses of Funds'!$C$63</f>
        <v>&lt;&lt; Enter description here; provide detail &amp; justification in tab Part IV-b &gt;&gt;</v>
      </c>
      <c r="B36" s="2623"/>
      <c r="C36" s="2623"/>
      <c r="D36" s="2624"/>
      <c r="E36" s="903"/>
      <c r="F36" s="3986"/>
      <c r="G36" s="903"/>
      <c r="H36" s="3986"/>
    </row>
    <row r="37" spans="1:8" s="3984" customFormat="1" ht="41.25" customHeight="1">
      <c r="A37" s="2625"/>
      <c r="B37" s="2626"/>
      <c r="C37" s="2626"/>
      <c r="D37" s="2627"/>
      <c r="E37" s="903"/>
      <c r="F37" s="3986"/>
      <c r="G37" s="903"/>
      <c r="H37" s="3986"/>
    </row>
    <row r="38" spans="1:8" s="3984" customFormat="1" ht="4.5" customHeight="1">
      <c r="A38" s="903"/>
      <c r="B38" s="903"/>
      <c r="C38" s="903"/>
      <c r="D38" s="903"/>
      <c r="E38" s="903"/>
      <c r="F38" s="3986"/>
      <c r="G38" s="903"/>
      <c r="H38" s="3986"/>
    </row>
    <row r="39" spans="1:8" s="3984" customFormat="1" ht="14.25" customHeight="1">
      <c r="A39" s="910" t="s">
        <v>3527</v>
      </c>
      <c r="B39" s="909">
        <f>'Part IV-A-Uses of Funds'!$G$63</f>
        <v>0</v>
      </c>
      <c r="C39" s="910" t="s">
        <v>1746</v>
      </c>
      <c r="D39" s="909">
        <f>'Part IV-A-Uses of Funds'!$J$63+'Part IV-A-Uses of Funds'!$M$63+'Part IV-A-Uses of Funds'!$P$63</f>
        <v>0</v>
      </c>
      <c r="E39" s="903"/>
      <c r="F39" s="3986"/>
      <c r="G39" s="903"/>
      <c r="H39" s="3986"/>
    </row>
    <row r="40" spans="1:8" s="3984" customFormat="1" ht="6" customHeight="1">
      <c r="D40" s="903"/>
      <c r="E40" s="903"/>
      <c r="F40" s="3987"/>
      <c r="G40" s="905"/>
      <c r="H40" s="3987"/>
    </row>
    <row r="41" spans="1:8" s="3984" customFormat="1">
      <c r="A41" s="911" t="s">
        <v>467</v>
      </c>
      <c r="B41" s="903"/>
      <c r="C41" s="903"/>
      <c r="D41" s="903"/>
      <c r="E41" s="907"/>
      <c r="F41" s="907"/>
      <c r="G41" s="903"/>
    </row>
    <row r="42" spans="1:8" s="3984" customFormat="1" ht="41.25" customHeight="1">
      <c r="A42" s="2622">
        <f>'Part IV-A-Uses of Funds'!$C$76</f>
        <v>0</v>
      </c>
      <c r="B42" s="2623"/>
      <c r="C42" s="2623"/>
      <c r="D42" s="2624"/>
      <c r="F42" s="3988"/>
      <c r="G42" s="903"/>
      <c r="H42" s="3988"/>
    </row>
    <row r="43" spans="1:8" s="3984" customFormat="1" ht="41.25" customHeight="1">
      <c r="A43" s="2625"/>
      <c r="B43" s="2626"/>
      <c r="C43" s="2626"/>
      <c r="D43" s="2627"/>
      <c r="E43" s="903"/>
      <c r="F43" s="3989"/>
      <c r="G43" s="903"/>
      <c r="H43" s="3989"/>
    </row>
    <row r="44" spans="1:8" s="3984" customFormat="1" ht="4.5" customHeight="1">
      <c r="A44" s="903"/>
      <c r="B44" s="903"/>
      <c r="C44" s="903"/>
      <c r="D44" s="903"/>
      <c r="E44" s="903"/>
      <c r="F44" s="3989"/>
      <c r="G44" s="903"/>
      <c r="H44" s="3989"/>
    </row>
    <row r="45" spans="1:8" s="3984" customFormat="1" ht="13.5" customHeight="1">
      <c r="A45" s="910" t="s">
        <v>3527</v>
      </c>
      <c r="B45" s="909">
        <f>'Part IV-A-Uses of Funds'!$G$76</f>
        <v>0</v>
      </c>
      <c r="C45" s="910" t="s">
        <v>1746</v>
      </c>
      <c r="D45" s="909">
        <f>'Part IV-A-Uses of Funds'!$J$76+'Part IV-A-Uses of Funds'!$M$76+'Part IV-A-Uses of Funds'!$P$76</f>
        <v>0</v>
      </c>
      <c r="E45" s="903"/>
      <c r="F45" s="3989"/>
      <c r="G45" s="903"/>
      <c r="H45" s="3989"/>
    </row>
    <row r="46" spans="1:8" s="3984" customFormat="1" ht="6" customHeight="1">
      <c r="A46" s="903"/>
      <c r="B46" s="904"/>
      <c r="C46" s="903"/>
      <c r="D46" s="903"/>
      <c r="E46" s="903"/>
      <c r="F46" s="3990"/>
      <c r="G46" s="905"/>
      <c r="H46" s="3990"/>
    </row>
    <row r="47" spans="1:8" s="3984" customFormat="1">
      <c r="A47" s="911" t="s">
        <v>706</v>
      </c>
      <c r="B47" s="903"/>
      <c r="C47" s="903"/>
      <c r="D47" s="903"/>
      <c r="E47" s="903"/>
      <c r="F47" s="903"/>
      <c r="G47" s="903"/>
    </row>
    <row r="48" spans="1:8" s="3984" customFormat="1" ht="41.25" customHeight="1">
      <c r="A48" s="2622" t="str">
        <f>'Part IV-A-Uses of Funds'!$C$90</f>
        <v>&lt;&lt; Enter description here; provide detail &amp; justification in tab Part IV-b &gt;&gt;</v>
      </c>
      <c r="B48" s="2623"/>
      <c r="C48" s="2623"/>
      <c r="D48" s="2624"/>
      <c r="F48" s="3988"/>
      <c r="G48" s="903"/>
    </row>
    <row r="49" spans="1:7" s="3984" customFormat="1" ht="41.25" customHeight="1">
      <c r="A49" s="2625"/>
      <c r="B49" s="2626"/>
      <c r="C49" s="2626"/>
      <c r="D49" s="2627"/>
      <c r="E49" s="903"/>
      <c r="F49" s="3989"/>
      <c r="G49" s="903"/>
    </row>
    <row r="50" spans="1:7" s="3984" customFormat="1" ht="3" customHeight="1">
      <c r="A50" s="903"/>
      <c r="B50" s="903"/>
      <c r="C50" s="903"/>
      <c r="D50" s="903"/>
      <c r="E50" s="903"/>
      <c r="F50" s="3989"/>
      <c r="G50" s="903"/>
    </row>
    <row r="51" spans="1:7" s="3984" customFormat="1" ht="13.5" customHeight="1">
      <c r="A51" s="910" t="s">
        <v>3527</v>
      </c>
      <c r="B51" s="909">
        <f>'Part IV-A-Uses of Funds'!$G$90</f>
        <v>0</v>
      </c>
      <c r="C51" s="906"/>
      <c r="D51" s="906"/>
      <c r="E51" s="903"/>
      <c r="F51" s="3989"/>
      <c r="G51" s="903"/>
    </row>
    <row r="52" spans="1:7" s="3984" customFormat="1" ht="3.75" customHeight="1">
      <c r="A52" s="903"/>
      <c r="B52" s="903"/>
      <c r="C52" s="903"/>
      <c r="D52" s="903"/>
      <c r="E52" s="903"/>
      <c r="F52" s="3990"/>
      <c r="G52" s="905"/>
    </row>
    <row r="53" spans="1:7" s="3984" customFormat="1">
      <c r="A53" s="911" t="s">
        <v>3528</v>
      </c>
      <c r="B53" s="903"/>
      <c r="C53" s="903"/>
      <c r="D53" s="903"/>
      <c r="E53" s="903"/>
      <c r="F53" s="903"/>
      <c r="G53" s="903"/>
    </row>
    <row r="54" spans="1:7" s="3984" customFormat="1" ht="41.25" customHeight="1">
      <c r="A54" s="2622" t="str">
        <f>'Part IV-A-Uses of Funds'!$C$103</f>
        <v>&lt;&lt; Enter description here; provide detail &amp; justification in tab Part IV-b &gt;&gt;</v>
      </c>
      <c r="B54" s="2623"/>
      <c r="C54" s="2623"/>
      <c r="D54" s="2624"/>
      <c r="F54" s="3985"/>
      <c r="G54" s="903"/>
    </row>
    <row r="55" spans="1:7" s="3984" customFormat="1" ht="41.25" customHeight="1">
      <c r="A55" s="2625"/>
      <c r="B55" s="2626"/>
      <c r="C55" s="2626"/>
      <c r="D55" s="2627"/>
      <c r="E55" s="903"/>
      <c r="F55" s="3986"/>
      <c r="G55" s="903"/>
    </row>
    <row r="56" spans="1:7" s="3984" customFormat="1" ht="3" customHeight="1">
      <c r="A56" s="903"/>
      <c r="B56" s="903"/>
      <c r="C56" s="903"/>
      <c r="D56" s="903"/>
      <c r="E56" s="903"/>
      <c r="F56" s="3986"/>
      <c r="G56" s="903"/>
    </row>
    <row r="57" spans="1:7" s="3984" customFormat="1" ht="10.199999999999999">
      <c r="A57" s="910" t="s">
        <v>3527</v>
      </c>
      <c r="B57" s="909">
        <f>'Part IV-A-Uses of Funds'!$G$103</f>
        <v>0</v>
      </c>
      <c r="C57" s="906"/>
      <c r="D57" s="906"/>
      <c r="E57" s="903"/>
      <c r="F57" s="3986"/>
      <c r="G57" s="903"/>
    </row>
    <row r="58" spans="1:7" s="3984" customFormat="1" ht="3.75" customHeight="1">
      <c r="A58" s="902"/>
      <c r="B58" s="902"/>
      <c r="C58" s="902"/>
      <c r="D58" s="902"/>
      <c r="E58" s="902"/>
      <c r="F58" s="3986"/>
      <c r="G58" s="905"/>
    </row>
    <row r="59" spans="1:7" s="3984" customFormat="1" ht="41.25" customHeight="1">
      <c r="A59" s="2622" t="str">
        <f>'Part IV-A-Uses of Funds'!$C$104</f>
        <v>&lt;&lt; Enter description here; provide detail &amp; justification in tab Part IV-b &gt;&gt;</v>
      </c>
      <c r="B59" s="2623"/>
      <c r="C59" s="2623"/>
      <c r="D59" s="2624"/>
      <c r="F59" s="3986"/>
      <c r="G59" s="903"/>
    </row>
    <row r="60" spans="1:7" s="3984" customFormat="1" ht="41.25" customHeight="1">
      <c r="A60" s="2625"/>
      <c r="B60" s="2626"/>
      <c r="C60" s="2626"/>
      <c r="D60" s="2627"/>
      <c r="E60" s="903"/>
      <c r="F60" s="3986"/>
      <c r="G60" s="903"/>
    </row>
    <row r="61" spans="1:7" s="3984" customFormat="1" ht="3" customHeight="1">
      <c r="A61" s="903"/>
      <c r="B61" s="903"/>
      <c r="C61" s="903"/>
      <c r="D61" s="903"/>
      <c r="E61" s="903"/>
      <c r="F61" s="3986"/>
      <c r="G61" s="903"/>
    </row>
    <row r="62" spans="1:7" s="3984" customFormat="1" ht="10.199999999999999">
      <c r="A62" s="910" t="s">
        <v>3527</v>
      </c>
      <c r="B62" s="909">
        <f>'Part IV-A-Uses of Funds'!$G$104</f>
        <v>0</v>
      </c>
      <c r="C62" s="906"/>
      <c r="D62" s="906"/>
      <c r="E62" s="903"/>
      <c r="F62" s="3986"/>
      <c r="G62" s="903"/>
    </row>
    <row r="63" spans="1:7" s="3984" customFormat="1" ht="3.75" customHeight="1">
      <c r="A63" s="902"/>
      <c r="B63" s="902"/>
      <c r="C63" s="902"/>
      <c r="D63" s="902"/>
      <c r="E63" s="902"/>
      <c r="F63" s="3987"/>
      <c r="G63" s="905"/>
    </row>
    <row r="64" spans="1:7" s="3984" customFormat="1">
      <c r="A64" s="911" t="s">
        <v>3529</v>
      </c>
      <c r="B64" s="903"/>
      <c r="C64" s="903"/>
      <c r="D64" s="903"/>
      <c r="E64" s="903"/>
      <c r="F64" s="903"/>
      <c r="G64" s="903"/>
    </row>
    <row r="65" spans="1:8" s="3984" customFormat="1" ht="41.25" customHeight="1">
      <c r="A65" s="2622" t="str">
        <f>'Part IV-A-Uses of Funds'!$C$110</f>
        <v>&lt;&lt; Enter description here; provide detail &amp; justification in tab Part IV-b &gt;&gt;</v>
      </c>
      <c r="B65" s="2623"/>
      <c r="C65" s="2623"/>
      <c r="D65" s="2624"/>
      <c r="F65" s="3988"/>
      <c r="G65" s="903"/>
    </row>
    <row r="66" spans="1:8" s="3984" customFormat="1" ht="41.25" customHeight="1">
      <c r="A66" s="2625"/>
      <c r="B66" s="2626"/>
      <c r="C66" s="2626"/>
      <c r="D66" s="2627"/>
      <c r="E66" s="903"/>
      <c r="F66" s="3989"/>
      <c r="G66" s="903"/>
    </row>
    <row r="67" spans="1:8" s="3984" customFormat="1" ht="3" customHeight="1">
      <c r="A67" s="903"/>
      <c r="B67" s="903"/>
      <c r="C67" s="903"/>
      <c r="D67" s="903"/>
      <c r="E67" s="903"/>
      <c r="F67" s="3989"/>
      <c r="G67" s="903"/>
    </row>
    <row r="68" spans="1:8" s="3984" customFormat="1" ht="10.199999999999999">
      <c r="A68" s="910" t="s">
        <v>3527</v>
      </c>
      <c r="B68" s="909">
        <f>'Part IV-A-Uses of Funds'!$G$110</f>
        <v>0</v>
      </c>
      <c r="C68" s="906"/>
      <c r="D68" s="906"/>
      <c r="E68" s="903"/>
      <c r="F68" s="3989"/>
      <c r="G68" s="903"/>
    </row>
    <row r="69" spans="1:8" s="3984" customFormat="1" ht="3.75" customHeight="1">
      <c r="A69" s="903"/>
      <c r="B69" s="904"/>
      <c r="C69" s="903"/>
      <c r="D69" s="903"/>
      <c r="E69" s="903"/>
      <c r="F69" s="3990"/>
      <c r="G69" s="905"/>
    </row>
    <row r="70" spans="1:8" s="3984" customFormat="1">
      <c r="A70" s="911" t="s">
        <v>1282</v>
      </c>
      <c r="B70" s="903"/>
      <c r="C70" s="903"/>
      <c r="D70" s="903"/>
      <c r="E70" s="903"/>
      <c r="F70" s="903"/>
      <c r="G70" s="903"/>
    </row>
    <row r="71" spans="1:8" s="3984" customFormat="1" ht="41.25" customHeight="1">
      <c r="A71" s="2622" t="str">
        <f>'Part IV-A-Uses of Funds'!$C$125</f>
        <v>&lt;&lt; Enter description here; provide detail &amp; justification in tab Part IV-b &gt;&gt;</v>
      </c>
      <c r="B71" s="2623"/>
      <c r="C71" s="2623"/>
      <c r="D71" s="2624"/>
      <c r="F71" s="3988"/>
      <c r="G71" s="903"/>
      <c r="H71" s="3988"/>
    </row>
    <row r="72" spans="1:8" s="3984" customFormat="1" ht="41.25" customHeight="1">
      <c r="A72" s="2625"/>
      <c r="B72" s="2626"/>
      <c r="C72" s="2626"/>
      <c r="D72" s="2627"/>
      <c r="E72" s="903"/>
      <c r="F72" s="3989"/>
      <c r="G72" s="903"/>
      <c r="H72" s="3989"/>
    </row>
    <row r="73" spans="1:8" s="3984" customFormat="1" ht="4.5" customHeight="1">
      <c r="A73" s="903"/>
      <c r="B73" s="903"/>
      <c r="C73" s="903"/>
      <c r="D73" s="903"/>
      <c r="E73" s="903"/>
      <c r="F73" s="3989"/>
      <c r="G73" s="903"/>
      <c r="H73" s="3989"/>
    </row>
    <row r="74" spans="1:8" s="3984" customFormat="1" ht="12.75" customHeight="1">
      <c r="A74" s="910" t="s">
        <v>3527</v>
      </c>
      <c r="B74" s="909">
        <f>'Part IV-A-Uses of Funds'!$G$125</f>
        <v>0</v>
      </c>
      <c r="C74" s="910" t="s">
        <v>1746</v>
      </c>
      <c r="D74" s="909">
        <f>'Part IV-A-Uses of Funds'!$J$125+'Part IV-A-Uses of Funds'!$M$125+'Part IV-A-Uses of Funds'!$P$125</f>
        <v>0</v>
      </c>
      <c r="E74" s="903"/>
      <c r="F74" s="3989"/>
      <c r="G74" s="903"/>
      <c r="H74" s="3989"/>
    </row>
    <row r="75" spans="1:8" s="3984" customFormat="1" ht="6" customHeight="1">
      <c r="A75" s="903"/>
      <c r="B75" s="904"/>
      <c r="C75" s="903"/>
      <c r="D75" s="903"/>
      <c r="E75" s="903"/>
      <c r="F75" s="3990"/>
      <c r="G75" s="905"/>
      <c r="H75" s="3990"/>
    </row>
    <row r="76" spans="1:8" s="3984" customFormat="1">
      <c r="A76" s="911" t="s">
        <v>3530</v>
      </c>
      <c r="B76" s="904"/>
      <c r="C76" s="903"/>
      <c r="D76" s="903"/>
      <c r="E76" s="903"/>
      <c r="F76" s="903"/>
      <c r="G76" s="905"/>
    </row>
    <row r="77" spans="1:8" s="3984" customFormat="1" ht="41.25" customHeight="1">
      <c r="A77" s="2622" t="str">
        <f>'Part IV-A-Uses of Funds'!$C$129</f>
        <v>&lt;&lt; Enter description here; provide detail &amp; justification in tab Part IV-b &gt;&gt;</v>
      </c>
      <c r="B77" s="2623"/>
      <c r="C77" s="2623"/>
      <c r="D77" s="2624"/>
      <c r="F77" s="3988"/>
      <c r="G77" s="903"/>
      <c r="H77" s="3988"/>
    </row>
    <row r="78" spans="1:8" s="3984" customFormat="1" ht="41.25" customHeight="1">
      <c r="A78" s="2625"/>
      <c r="B78" s="2626"/>
      <c r="C78" s="2626"/>
      <c r="D78" s="2627"/>
      <c r="E78" s="903"/>
      <c r="F78" s="3989"/>
      <c r="G78" s="903"/>
      <c r="H78" s="3989"/>
    </row>
    <row r="79" spans="1:8" s="3984" customFormat="1" ht="4.5" customHeight="1">
      <c r="A79" s="903"/>
      <c r="B79" s="903"/>
      <c r="C79" s="903"/>
      <c r="D79" s="903"/>
      <c r="E79" s="903"/>
      <c r="F79" s="3989"/>
      <c r="G79" s="903"/>
      <c r="H79" s="3989"/>
    </row>
    <row r="80" spans="1:8" s="3984" customFormat="1" ht="12.75" customHeight="1">
      <c r="A80" s="910" t="s">
        <v>3527</v>
      </c>
      <c r="B80" s="909">
        <f>'Part IV-A-Uses of Funds'!$G$129</f>
        <v>0</v>
      </c>
      <c r="C80" s="910" t="s">
        <v>1746</v>
      </c>
      <c r="D80" s="909">
        <f>'Part IV-A-Uses of Funds'!$J$129+'Part IV-A-Uses of Funds'!$M$129+'Part IV-A-Uses of Funds'!$P$129</f>
        <v>0</v>
      </c>
      <c r="E80" s="908"/>
      <c r="F80" s="3989"/>
      <c r="G80" s="903"/>
      <c r="H80" s="3989"/>
    </row>
    <row r="81" spans="4:8" s="3984" customFormat="1" ht="6" customHeight="1">
      <c r="D81" s="3991"/>
      <c r="E81" s="3992"/>
      <c r="F81" s="3990"/>
      <c r="G81" s="905"/>
      <c r="H81" s="3990"/>
    </row>
    <row r="82" spans="4:8" s="3984" customFormat="1" ht="10.199999999999999"/>
    <row r="83" spans="4:8" s="3984" customFormat="1" ht="10.199999999999999"/>
    <row r="84" spans="4:8" s="3984" customFormat="1" ht="10.199999999999999"/>
    <row r="85" spans="4:8" s="3984" customFormat="1" ht="10.199999999999999"/>
    <row r="86" spans="4:8" s="3984" customFormat="1" ht="10.199999999999999"/>
    <row r="87" spans="4:8" s="3984" customFormat="1" ht="10.199999999999999"/>
    <row r="88" spans="4:8" s="3984" customFormat="1" ht="10.199999999999999"/>
    <row r="89" spans="4:8" s="3984" customFormat="1" ht="10.199999999999999"/>
    <row r="90" spans="4:8" s="3984" customFormat="1" ht="10.199999999999999"/>
    <row r="91" spans="4:8" s="3984" customFormat="1" ht="10.199999999999999"/>
    <row r="92" spans="4:8" s="3984" customFormat="1" ht="10.199999999999999"/>
  </sheetData>
  <sheetProtection algorithmName="SHA-512" hashValue="44tusTuh995BmzlffisXphWCibHJIhN+iYKyCNo0FUlve9X/W8ZkATzcYuJCY17ksIoqWPVdZU5Eei4HEg0jbg==" saltValue="L53owVYBPSp+hsngEjCgm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2020-059 Dulles Park II, Gray, Jones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4117</v>
      </c>
      <c r="I3" s="2372" t="str">
        <f>VLOOKUP('Part I-Project Information'!$J$39,'DCA Underwriting Assumptions'!$G$173:$H$332,2)</f>
        <v>South</v>
      </c>
    </row>
    <row r="4" spans="1:20" s="8" customFormat="1" ht="6" customHeight="1"/>
    <row r="5" spans="1:20">
      <c r="A5" s="251" t="s">
        <v>3611</v>
      </c>
    </row>
    <row r="6" spans="1:20" ht="6" customHeight="1">
      <c r="A6" s="8"/>
    </row>
    <row r="7" spans="1:20" s="8" customFormat="1">
      <c r="A7" s="13" t="s">
        <v>598</v>
      </c>
      <c r="B7" s="13" t="s">
        <v>2170</v>
      </c>
      <c r="F7" s="1" t="s">
        <v>2452</v>
      </c>
      <c r="G7" s="1"/>
      <c r="H7" s="1"/>
      <c r="I7" s="3993" t="s">
        <v>7050</v>
      </c>
      <c r="J7" s="3994"/>
      <c r="K7" s="3994"/>
      <c r="L7" s="3994"/>
      <c r="M7" s="3995"/>
    </row>
    <row r="8" spans="1:20" s="8" customFormat="1" ht="13.35" customHeight="1">
      <c r="A8" s="13"/>
      <c r="F8" s="1" t="s">
        <v>618</v>
      </c>
      <c r="G8" s="1"/>
      <c r="H8" s="33"/>
      <c r="I8" s="3996">
        <v>43831</v>
      </c>
      <c r="J8" s="3997"/>
      <c r="K8" s="6" t="s">
        <v>525</v>
      </c>
      <c r="L8" s="3998" t="s">
        <v>2536</v>
      </c>
      <c r="M8" s="3999"/>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4000" t="s">
        <v>7117</v>
      </c>
      <c r="E12" s="4001"/>
      <c r="F12" s="4002" t="s">
        <v>433</v>
      </c>
      <c r="G12" s="4002"/>
      <c r="H12" s="993"/>
      <c r="I12" s="4003"/>
      <c r="J12" s="4003">
        <v>4</v>
      </c>
      <c r="K12" s="4003">
        <v>5</v>
      </c>
      <c r="L12" s="4003"/>
      <c r="M12" s="4003"/>
      <c r="O12" s="2634" t="s">
        <v>3623</v>
      </c>
      <c r="P12" s="2634"/>
    </row>
    <row r="13" spans="1:20" s="8" customFormat="1" ht="12" customHeight="1">
      <c r="B13" s="1541" t="s">
        <v>1564</v>
      </c>
      <c r="C13" s="1542"/>
      <c r="D13" s="4004" t="s">
        <v>1563</v>
      </c>
      <c r="E13" s="4005"/>
      <c r="F13" s="4006" t="s">
        <v>433</v>
      </c>
      <c r="G13" s="4006"/>
      <c r="H13" s="992"/>
      <c r="I13" s="4007"/>
      <c r="J13" s="4007">
        <v>7</v>
      </c>
      <c r="K13" s="4007">
        <v>9</v>
      </c>
      <c r="L13" s="4008"/>
      <c r="M13" s="4008"/>
      <c r="O13" s="2634"/>
      <c r="P13" s="2634"/>
    </row>
    <row r="14" spans="1:20" s="8" customFormat="1" ht="12" customHeight="1">
      <c r="B14" s="1543" t="s">
        <v>1565</v>
      </c>
      <c r="C14" s="1544"/>
      <c r="D14" s="4004" t="s">
        <v>1563</v>
      </c>
      <c r="E14" s="4005"/>
      <c r="F14" s="4006" t="s">
        <v>433</v>
      </c>
      <c r="G14" s="4006"/>
      <c r="H14" s="248"/>
      <c r="I14" s="4007"/>
      <c r="J14" s="4007">
        <v>14</v>
      </c>
      <c r="K14" s="4007">
        <v>18</v>
      </c>
      <c r="L14" s="4008"/>
      <c r="M14" s="4008"/>
      <c r="O14" s="2634"/>
      <c r="P14" s="2634"/>
    </row>
    <row r="15" spans="1:20" s="8" customFormat="1" ht="12" customHeight="1">
      <c r="B15" s="1545" t="s">
        <v>458</v>
      </c>
      <c r="C15" s="1546"/>
      <c r="D15" s="1545" t="s">
        <v>1563</v>
      </c>
      <c r="E15" s="249"/>
      <c r="F15" s="4006" t="s">
        <v>433</v>
      </c>
      <c r="G15" s="4006"/>
      <c r="H15" s="991"/>
      <c r="I15" s="4007"/>
      <c r="J15" s="4007">
        <v>12</v>
      </c>
      <c r="K15" s="4007">
        <v>15</v>
      </c>
      <c r="L15" s="4008"/>
      <c r="M15" s="4008"/>
      <c r="O15" s="2634"/>
      <c r="P15" s="2634"/>
    </row>
    <row r="16" spans="1:20" s="8" customFormat="1" ht="12" customHeight="1">
      <c r="B16" s="1547" t="s">
        <v>3608</v>
      </c>
      <c r="C16" s="1542"/>
      <c r="D16" s="1541" t="s">
        <v>1563</v>
      </c>
      <c r="E16" s="990"/>
      <c r="F16" s="4006"/>
      <c r="G16" s="4006" t="s">
        <v>433</v>
      </c>
      <c r="H16" s="992"/>
      <c r="I16" s="4007"/>
      <c r="J16" s="4007"/>
      <c r="K16" s="4007"/>
      <c r="L16" s="4008"/>
      <c r="M16" s="4008"/>
      <c r="O16" s="2634"/>
      <c r="P16" s="2634"/>
    </row>
    <row r="17" spans="1:19" s="8" customFormat="1" ht="12" customHeight="1">
      <c r="B17" s="1547" t="s">
        <v>3609</v>
      </c>
      <c r="C17" s="1542"/>
      <c r="D17" s="1541" t="s">
        <v>1563</v>
      </c>
      <c r="E17" s="990"/>
      <c r="F17" s="4006"/>
      <c r="G17" s="4006" t="s">
        <v>433</v>
      </c>
      <c r="H17" s="992"/>
      <c r="I17" s="4007"/>
      <c r="J17" s="4007"/>
      <c r="K17" s="4007"/>
      <c r="L17" s="4008"/>
      <c r="M17" s="4008"/>
      <c r="O17" s="2634"/>
      <c r="P17" s="2634"/>
    </row>
    <row r="18" spans="1:19" s="8" customFormat="1" ht="12" customHeight="1">
      <c r="B18" s="1548" t="s">
        <v>3610</v>
      </c>
      <c r="C18" s="1544"/>
      <c r="D18" s="1543" t="s">
        <v>1563</v>
      </c>
      <c r="E18" s="990"/>
      <c r="F18" s="4006" t="s">
        <v>433</v>
      </c>
      <c r="G18" s="4006"/>
      <c r="H18" s="248"/>
      <c r="I18" s="4007"/>
      <c r="J18" s="4007">
        <v>21</v>
      </c>
      <c r="K18" s="4007">
        <v>27</v>
      </c>
      <c r="L18" s="4008"/>
      <c r="M18" s="4008"/>
      <c r="O18" s="2634"/>
      <c r="P18" s="2634"/>
    </row>
    <row r="19" spans="1:19" s="8" customFormat="1" ht="12" customHeight="1">
      <c r="B19" s="1545" t="s">
        <v>1343</v>
      </c>
      <c r="C19" s="1546"/>
      <c r="D19" s="1551" t="s">
        <v>3350</v>
      </c>
      <c r="E19" s="4009" t="s">
        <v>2885</v>
      </c>
      <c r="F19" s="4006" t="s">
        <v>433</v>
      </c>
      <c r="G19" s="4006"/>
      <c r="H19" s="991"/>
      <c r="I19" s="4007"/>
      <c r="J19" s="4007">
        <v>39</v>
      </c>
      <c r="K19" s="4007">
        <v>49</v>
      </c>
      <c r="L19" s="4008"/>
      <c r="M19" s="4008"/>
      <c r="O19" s="2634"/>
      <c r="P19" s="2634"/>
    </row>
    <row r="20" spans="1:19" s="8" customFormat="1" ht="12" customHeight="1">
      <c r="B20" s="1549" t="s">
        <v>1804</v>
      </c>
      <c r="C20" s="1550"/>
      <c r="D20" s="250"/>
      <c r="E20" s="222"/>
      <c r="F20" s="4006"/>
      <c r="G20" s="4006" t="s">
        <v>433</v>
      </c>
      <c r="H20" s="992"/>
      <c r="I20" s="4007"/>
      <c r="J20" s="4007"/>
      <c r="K20" s="4007"/>
      <c r="L20" s="4008"/>
      <c r="M20" s="4008"/>
      <c r="O20" s="2634"/>
      <c r="P20" s="2634"/>
    </row>
    <row r="21" spans="1:19" s="8" customFormat="1" ht="12" customHeight="1">
      <c r="B21" s="1549" t="s">
        <v>723</v>
      </c>
      <c r="C21" s="3063"/>
      <c r="D21" s="3064"/>
      <c r="E21" s="3065"/>
      <c r="F21" s="4010"/>
      <c r="G21" s="4010"/>
      <c r="H21" s="994"/>
      <c r="I21" s="4011"/>
      <c r="J21" s="4011"/>
      <c r="K21" s="4011"/>
      <c r="L21" s="4012"/>
      <c r="M21" s="4012"/>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123</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93"/>
      <c r="J24" s="3994"/>
      <c r="K24" s="3994"/>
      <c r="L24" s="3994"/>
      <c r="M24" s="3995"/>
    </row>
    <row r="25" spans="1:19" s="8" customFormat="1" ht="13.35" customHeight="1">
      <c r="A25" s="13"/>
      <c r="B25" s="13"/>
      <c r="F25" s="1" t="s">
        <v>618</v>
      </c>
      <c r="G25" s="1"/>
      <c r="H25" s="33"/>
      <c r="I25" s="3996"/>
      <c r="J25" s="3997"/>
      <c r="K25" s="6" t="s">
        <v>525</v>
      </c>
      <c r="L25" s="3998"/>
      <c r="M25" s="3999"/>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4000" t="s">
        <v>1774</v>
      </c>
      <c r="E29" s="4001"/>
      <c r="F29" s="4002"/>
      <c r="G29" s="4002"/>
      <c r="H29" s="993"/>
      <c r="I29" s="4003"/>
      <c r="J29" s="4003"/>
      <c r="K29" s="4003"/>
      <c r="L29" s="4003"/>
      <c r="M29" s="4003"/>
      <c r="O29" s="2634" t="s">
        <v>3623</v>
      </c>
      <c r="P29" s="2634"/>
    </row>
    <row r="30" spans="1:19" s="8" customFormat="1" ht="12" customHeight="1">
      <c r="B30" s="1541" t="s">
        <v>1564</v>
      </c>
      <c r="C30" s="1542"/>
      <c r="D30" s="4004" t="s">
        <v>1774</v>
      </c>
      <c r="E30" s="4005"/>
      <c r="F30" s="4006"/>
      <c r="G30" s="4006"/>
      <c r="H30" s="992"/>
      <c r="I30" s="4007"/>
      <c r="J30" s="4007"/>
      <c r="K30" s="4007"/>
      <c r="L30" s="4008"/>
      <c r="M30" s="4008"/>
      <c r="O30" s="2634"/>
      <c r="P30" s="2634"/>
    </row>
    <row r="31" spans="1:19" s="8" customFormat="1" ht="12" customHeight="1">
      <c r="B31" s="1543" t="s">
        <v>1565</v>
      </c>
      <c r="C31" s="1544"/>
      <c r="D31" s="4004" t="s">
        <v>1774</v>
      </c>
      <c r="E31" s="4005"/>
      <c r="F31" s="4006"/>
      <c r="G31" s="4006"/>
      <c r="H31" s="248"/>
      <c r="I31" s="4007"/>
      <c r="J31" s="4007"/>
      <c r="K31" s="4007"/>
      <c r="L31" s="4008"/>
      <c r="M31" s="4008"/>
      <c r="O31" s="2634"/>
      <c r="P31" s="2634"/>
    </row>
    <row r="32" spans="1:19" s="8" customFormat="1" ht="12" customHeight="1">
      <c r="B32" s="1545" t="s">
        <v>458</v>
      </c>
      <c r="C32" s="1546"/>
      <c r="D32" s="1545" t="s">
        <v>1563</v>
      </c>
      <c r="E32" s="249"/>
      <c r="F32" s="4006"/>
      <c r="G32" s="4006"/>
      <c r="H32" s="991"/>
      <c r="I32" s="4007"/>
      <c r="J32" s="4007"/>
      <c r="K32" s="4007"/>
      <c r="L32" s="4008"/>
      <c r="M32" s="4008"/>
      <c r="O32" s="2634"/>
      <c r="P32" s="2634"/>
    </row>
    <row r="33" spans="1:19" s="8" customFormat="1" ht="12" customHeight="1">
      <c r="B33" s="1547" t="s">
        <v>3608</v>
      </c>
      <c r="C33" s="1542"/>
      <c r="D33" s="1541" t="s">
        <v>1563</v>
      </c>
      <c r="E33" s="990"/>
      <c r="F33" s="4006"/>
      <c r="G33" s="4006"/>
      <c r="H33" s="992"/>
      <c r="I33" s="4007"/>
      <c r="J33" s="4007"/>
      <c r="K33" s="4007"/>
      <c r="L33" s="4008"/>
      <c r="M33" s="4008"/>
      <c r="O33" s="2634"/>
      <c r="P33" s="2634"/>
    </row>
    <row r="34" spans="1:19" s="8" customFormat="1" ht="12" customHeight="1">
      <c r="B34" s="1547" t="s">
        <v>3609</v>
      </c>
      <c r="C34" s="1542"/>
      <c r="D34" s="1541" t="s">
        <v>1563</v>
      </c>
      <c r="E34" s="990"/>
      <c r="F34" s="4006"/>
      <c r="G34" s="4006"/>
      <c r="H34" s="992"/>
      <c r="I34" s="4007"/>
      <c r="J34" s="4007"/>
      <c r="K34" s="4007"/>
      <c r="L34" s="4008"/>
      <c r="M34" s="4008"/>
      <c r="O34" s="2634"/>
      <c r="P34" s="2634"/>
    </row>
    <row r="35" spans="1:19" s="8" customFormat="1" ht="12" customHeight="1">
      <c r="B35" s="1548" t="s">
        <v>3610</v>
      </c>
      <c r="C35" s="1544"/>
      <c r="D35" s="1543" t="s">
        <v>1563</v>
      </c>
      <c r="E35" s="990"/>
      <c r="F35" s="4006"/>
      <c r="G35" s="4006"/>
      <c r="H35" s="248"/>
      <c r="I35" s="4007"/>
      <c r="J35" s="4007"/>
      <c r="K35" s="4007"/>
      <c r="L35" s="4008"/>
      <c r="M35" s="4008"/>
      <c r="O35" s="2634"/>
      <c r="P35" s="2634"/>
    </row>
    <row r="36" spans="1:19" s="8" customFormat="1" ht="12" customHeight="1">
      <c r="B36" s="1545" t="s">
        <v>1343</v>
      </c>
      <c r="C36" s="1546"/>
      <c r="D36" s="1551" t="s">
        <v>3350</v>
      </c>
      <c r="E36" s="4009" t="s">
        <v>197</v>
      </c>
      <c r="F36" s="4006"/>
      <c r="G36" s="4006"/>
      <c r="H36" s="991"/>
      <c r="I36" s="4007"/>
      <c r="J36" s="4007"/>
      <c r="K36" s="4007"/>
      <c r="L36" s="4008"/>
      <c r="M36" s="4008"/>
      <c r="O36" s="2634"/>
      <c r="P36" s="2634"/>
    </row>
    <row r="37" spans="1:19" s="8" customFormat="1" ht="12" customHeight="1">
      <c r="B37" s="1549" t="s">
        <v>1804</v>
      </c>
      <c r="C37" s="1550"/>
      <c r="D37" s="250"/>
      <c r="E37" s="222"/>
      <c r="F37" s="4006"/>
      <c r="G37" s="4006"/>
      <c r="H37" s="992"/>
      <c r="I37" s="4007"/>
      <c r="J37" s="4007"/>
      <c r="K37" s="4007"/>
      <c r="L37" s="4008"/>
      <c r="M37" s="4008"/>
      <c r="O37" s="2634"/>
      <c r="P37" s="2634"/>
    </row>
    <row r="38" spans="1:19" s="8" customFormat="1" ht="12" customHeight="1">
      <c r="B38" s="1549" t="s">
        <v>723</v>
      </c>
      <c r="C38" s="3063"/>
      <c r="D38" s="3064"/>
      <c r="E38" s="3065"/>
      <c r="F38" s="4010"/>
      <c r="G38" s="4010"/>
      <c r="H38" s="994"/>
      <c r="I38" s="4011"/>
      <c r="J38" s="4011"/>
      <c r="K38" s="4011"/>
      <c r="L38" s="4012"/>
      <c r="M38" s="4012"/>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4013" t="s">
        <v>7138</v>
      </c>
      <c r="C43" s="4014"/>
      <c r="D43" s="4014"/>
      <c r="E43" s="4014"/>
      <c r="F43" s="4014"/>
      <c r="G43" s="4014"/>
      <c r="H43" s="4014"/>
      <c r="I43" s="4014"/>
      <c r="J43" s="4014"/>
      <c r="K43" s="4014"/>
      <c r="L43" s="4014"/>
      <c r="M43" s="4015"/>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4016"/>
      <c r="C46" s="4017"/>
      <c r="D46" s="4017"/>
      <c r="E46" s="4017"/>
      <c r="F46" s="4017"/>
      <c r="G46" s="4017"/>
      <c r="H46" s="4017"/>
      <c r="I46" s="4017"/>
      <c r="J46" s="4017"/>
      <c r="K46" s="4017"/>
      <c r="L46" s="4017"/>
      <c r="M46" s="4018"/>
      <c r="N46" s="27"/>
      <c r="O46" s="2401"/>
      <c r="P46" s="2401"/>
      <c r="Q46" s="2401"/>
      <c r="R46" s="2401"/>
      <c r="S46" s="2401"/>
    </row>
  </sheetData>
  <sheetProtection algorithmName="SHA-512" hashValue="q/PvAVDSNoiUHbiWXTL9F8GUYdTm+R65riNXs+ECptlpzQA49pJ+GGcKPtp7bKxG4TpYl26ZhHW88Tgx21E5wQ==" saltValue="1IU7ESDjRbgtEnTiUhEhc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2020-10-01T13:42:32Z</dcterms:modified>
</cp:coreProperties>
</file>