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F07E926D-4F08-4616-A65D-30F4F874379B}" xr6:coauthVersionLast="44" xr6:coauthVersionMax="44" xr10:uidLastSave="{00000000-0000-0000-0000-000000000000}"/>
  <workbookProtection workbookAlgorithmName="SHA-512" workbookHashValue="tRA8QbrFK5CkkTfqg7EcNm83BTeBumIcskBEaRuXGuzl6W5PC6Q+N3oac7PUkYe6HjlAUflDyuWWUQ6QaMfWwg==" workbookSaltValue="1/IycsFGCPBSAmTdN/2oJA==" workbookSpinCount="100000" lockStructure="1"/>
  <bookViews>
    <workbookView xWindow="2052" yWindow="3048" windowWidth="2034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G5" i="74" l="1"/>
  <c r="F244" i="75" l="1"/>
  <c r="H20" i="75" l="1"/>
  <c r="H19" i="75"/>
  <c r="H18" i="75"/>
  <c r="H17" i="75"/>
  <c r="P6" i="75"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K1826" i="94"/>
  <c r="M1826" i="94" s="1"/>
  <c r="U1826" i="94" s="1"/>
  <c r="K1822" i="94"/>
  <c r="K1820" i="94"/>
  <c r="M1820" i="94" s="1"/>
  <c r="K1818" i="94"/>
  <c r="M1818" i="94" s="1"/>
  <c r="U1818" i="94" s="1"/>
  <c r="F1812" i="94"/>
  <c r="Q1783" i="94"/>
  <c r="J1769" i="94"/>
  <c r="Q1754" i="94"/>
  <c r="Q1753" i="94"/>
  <c r="F1748" i="94"/>
  <c r="Q1747" i="94"/>
  <c r="Q1746" i="94"/>
  <c r="J1730" i="94"/>
  <c r="Q1711" i="94"/>
  <c r="Q1710" i="94"/>
  <c r="K1707" i="94"/>
  <c r="O1691" i="94"/>
  <c r="P1688" i="94" s="1"/>
  <c r="J1691" i="94"/>
  <c r="F1691" i="94"/>
  <c r="P1684" i="94"/>
  <c r="P1683" i="94"/>
  <c r="P1665" i="94"/>
  <c r="M1661" i="94"/>
  <c r="B1661" i="94"/>
  <c r="A1656" i="94"/>
  <c r="Q276" i="72"/>
  <c r="L1769" i="94" l="1"/>
  <c r="M1825" i="94"/>
  <c r="U1825" i="94" s="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K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MH784" i="94" s="1"/>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LZ781" i="94" s="1"/>
  <c r="D781" i="94"/>
  <c r="E781" i="94"/>
  <c r="F781" i="94"/>
  <c r="G781" i="94"/>
  <c r="H781" i="94"/>
  <c r="I781" i="94"/>
  <c r="B782" i="94"/>
  <c r="C782" i="94"/>
  <c r="D782" i="94"/>
  <c r="E782" i="94"/>
  <c r="F782" i="94"/>
  <c r="G782" i="94"/>
  <c r="H782" i="94"/>
  <c r="I782" i="94"/>
  <c r="B783" i="94"/>
  <c r="C783" i="94"/>
  <c r="MJ783" i="94" s="1"/>
  <c r="D783" i="94"/>
  <c r="E783" i="94"/>
  <c r="FU783" i="94" s="1"/>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LV787" i="94" s="1"/>
  <c r="C787" i="94"/>
  <c r="D787" i="94"/>
  <c r="E787" i="94"/>
  <c r="F787" i="94"/>
  <c r="G787" i="94"/>
  <c r="H787" i="94"/>
  <c r="I787" i="94"/>
  <c r="B788" i="94"/>
  <c r="C788" i="94"/>
  <c r="D788" i="94"/>
  <c r="E788" i="94"/>
  <c r="F788" i="94"/>
  <c r="G788" i="94"/>
  <c r="H788" i="94"/>
  <c r="I788" i="94"/>
  <c r="B789" i="94"/>
  <c r="FU789" i="94" s="1"/>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W791" i="94"/>
  <c r="LU791" i="94"/>
  <c r="ID791" i="94"/>
  <c r="GE791" i="94"/>
  <c r="FT791" i="94"/>
  <c r="FR791" i="94"/>
  <c r="FL791" i="94"/>
  <c r="FJ791" i="94"/>
  <c r="FD791" i="94"/>
  <c r="FB791" i="94"/>
  <c r="EV791" i="94"/>
  <c r="ET791" i="94"/>
  <c r="EN791" i="94"/>
  <c r="EL791" i="94"/>
  <c r="EF791" i="94"/>
  <c r="ED791" i="94"/>
  <c r="BG791" i="94"/>
  <c r="BE791" i="94"/>
  <c r="AY791" i="94"/>
  <c r="AW791" i="94"/>
  <c r="AQ791" i="94"/>
  <c r="AO791" i="94"/>
  <c r="AI791" i="94"/>
  <c r="AG791" i="94"/>
  <c r="AA791" i="94"/>
  <c r="Y791"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O790" i="94"/>
  <c r="LG790" i="94"/>
  <c r="KY790" i="94"/>
  <c r="KQ790" i="94"/>
  <c r="KI790" i="94"/>
  <c r="KA790" i="94"/>
  <c r="JS790" i="94"/>
  <c r="JK790" i="94"/>
  <c r="JC790" i="94"/>
  <c r="IU790" i="94"/>
  <c r="IM790" i="94"/>
  <c r="IE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HZ789" i="94"/>
  <c r="GB789" i="94"/>
  <c r="EQ789" i="94"/>
  <c r="EG789" i="94"/>
  <c r="BH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O788" i="94"/>
  <c r="LG788" i="94"/>
  <c r="KY788" i="94"/>
  <c r="KQ788" i="94"/>
  <c r="KI788" i="94"/>
  <c r="KA788" i="94"/>
  <c r="JS788" i="94"/>
  <c r="JK788" i="94"/>
  <c r="JC788" i="94"/>
  <c r="IU788" i="94"/>
  <c r="IM788" i="94"/>
  <c r="IE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GF787" i="94"/>
  <c r="GE787" i="94"/>
  <c r="GB787" i="94"/>
  <c r="EH787" i="94"/>
  <c r="EF787" i="94"/>
  <c r="EE787" i="94"/>
  <c r="BA787" i="94"/>
  <c r="ND786" i="94"/>
  <c r="LX786" i="94"/>
  <c r="LN786" i="94"/>
  <c r="LF786" i="94"/>
  <c r="KX786" i="94"/>
  <c r="KP786" i="94"/>
  <c r="KH786" i="94"/>
  <c r="JZ786" i="94"/>
  <c r="JR786" i="94"/>
  <c r="JJ786" i="94"/>
  <c r="JB786" i="94"/>
  <c r="IT786" i="94"/>
  <c r="IL786" i="94"/>
  <c r="ID786" i="94"/>
  <c r="HP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Z784" i="94"/>
  <c r="LR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LU783" i="94"/>
  <c r="GK783" i="94"/>
  <c r="FM783" i="94"/>
  <c r="FE783" i="94"/>
  <c r="EW783" i="94"/>
  <c r="EO783" i="94"/>
  <c r="EG783" i="94"/>
  <c r="BI783" i="94"/>
  <c r="BA783" i="94"/>
  <c r="AS783" i="94"/>
  <c r="AK783" i="94"/>
  <c r="AC783" i="94"/>
  <c r="LD782" i="94"/>
  <c r="IR782" i="94"/>
  <c r="AD782"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D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Q779" i="94"/>
  <c r="GR779" i="94"/>
  <c r="GJ779" i="94"/>
  <c r="GF779" i="94"/>
  <c r="GE779" i="94"/>
  <c r="GD779" i="94"/>
  <c r="GC779" i="94"/>
  <c r="GB779" i="94"/>
  <c r="GA779" i="94"/>
  <c r="FZ779" i="94"/>
  <c r="FY779" i="94"/>
  <c r="FX779" i="94"/>
  <c r="FW779" i="94"/>
  <c r="FL779" i="94"/>
  <c r="FD779" i="94"/>
  <c r="EH779" i="94"/>
  <c r="EG779" i="94"/>
  <c r="EF779" i="94"/>
  <c r="EE779" i="94"/>
  <c r="ED779" i="94"/>
  <c r="DN779" i="94"/>
  <c r="DF779" i="94"/>
  <c r="CH779" i="94"/>
  <c r="BZ779" i="94"/>
  <c r="BB779" i="94"/>
  <c r="AT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EW789" i="94" l="1"/>
  <c r="AB789" i="94"/>
  <c r="BB789" i="94"/>
  <c r="AD789" i="94"/>
  <c r="BJ789" i="94"/>
  <c r="EY789" i="94"/>
  <c r="LR789" i="94"/>
  <c r="AJ789" i="94"/>
  <c r="CT789" i="94"/>
  <c r="FE789" i="94"/>
  <c r="LX789" i="94"/>
  <c r="AL789" i="94"/>
  <c r="DJ789" i="94"/>
  <c r="FG789" i="94"/>
  <c r="LZ789" i="94"/>
  <c r="AR789" i="94"/>
  <c r="FM789" i="94"/>
  <c r="AT789" i="94"/>
  <c r="EI789" i="94"/>
  <c r="FO789" i="94"/>
  <c r="AZ789" i="94"/>
  <c r="EO789" i="94"/>
  <c r="ER787" i="94"/>
  <c r="AM787" i="94"/>
  <c r="EP787" i="94"/>
  <c r="LX787" i="94"/>
  <c r="FF787" i="94"/>
  <c r="DE787" i="94"/>
  <c r="FH787" i="94"/>
  <c r="DU787" i="94"/>
  <c r="FV787" i="94"/>
  <c r="BC787" i="94"/>
  <c r="AK787" i="94"/>
  <c r="Z787" i="94"/>
  <c r="AP787" i="94"/>
  <c r="BF787" i="94"/>
  <c r="EU787" i="94"/>
  <c r="FK787" i="94"/>
  <c r="AA787" i="94"/>
  <c r="AQ787" i="94"/>
  <c r="BG787" i="94"/>
  <c r="EV787" i="94"/>
  <c r="FL787" i="94"/>
  <c r="AC787" i="94"/>
  <c r="AS787" i="94"/>
  <c r="BI787" i="94"/>
  <c r="EX787" i="94"/>
  <c r="FN787" i="94"/>
  <c r="HT787" i="94"/>
  <c r="AE787" i="94"/>
  <c r="AU787" i="94"/>
  <c r="BK787" i="94"/>
  <c r="EJ787" i="94"/>
  <c r="EZ787" i="94"/>
  <c r="FP787" i="94"/>
  <c r="LR787" i="94"/>
  <c r="AX787" i="94"/>
  <c r="EM787" i="94"/>
  <c r="FC787" i="94"/>
  <c r="LU787" i="94"/>
  <c r="AH787" i="94"/>
  <c r="CG787" i="94"/>
  <c r="FS787" i="94"/>
  <c r="AI787" i="94"/>
  <c r="AY787" i="94"/>
  <c r="CO787" i="94"/>
  <c r="EN787" i="94"/>
  <c r="FD787" i="94"/>
  <c r="FT787" i="94"/>
  <c r="NC786" i="94"/>
  <c r="CL790" i="94"/>
  <c r="HG791" i="94"/>
  <c r="LT791" i="94"/>
  <c r="ND790" i="94"/>
  <c r="HT789" i="94"/>
  <c r="LW789" i="94"/>
  <c r="ND788" i="94"/>
  <c r="GN787" i="94"/>
  <c r="LT787" i="94"/>
  <c r="HH786" i="94"/>
  <c r="KV782" i="94"/>
  <c r="LT782"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HZ790" i="94"/>
  <c r="IH790" i="94"/>
  <c r="IP790" i="94"/>
  <c r="IX790" i="94"/>
  <c r="JF790" i="94"/>
  <c r="JN790" i="94"/>
  <c r="JV790" i="94"/>
  <c r="KD790" i="94"/>
  <c r="KL790" i="94"/>
  <c r="KT790" i="94"/>
  <c r="LB790" i="94"/>
  <c r="LJ790" i="94"/>
  <c r="MZ790" i="94"/>
  <c r="IA790" i="94"/>
  <c r="II790" i="94"/>
  <c r="IQ790" i="94"/>
  <c r="IY790" i="94"/>
  <c r="JG790" i="94"/>
  <c r="JO790" i="94"/>
  <c r="JW790" i="94"/>
  <c r="KE790" i="94"/>
  <c r="KM790" i="94"/>
  <c r="KU790" i="94"/>
  <c r="LC790" i="94"/>
  <c r="LK790" i="94"/>
  <c r="NA790" i="94"/>
  <c r="IB790" i="94"/>
  <c r="IJ790" i="94"/>
  <c r="IR790" i="94"/>
  <c r="IZ790" i="94"/>
  <c r="JH790" i="94"/>
  <c r="JP790" i="94"/>
  <c r="JX790" i="94"/>
  <c r="KF790" i="94"/>
  <c r="KN790" i="94"/>
  <c r="KV790" i="94"/>
  <c r="LD790" i="94"/>
  <c r="LL790" i="94"/>
  <c r="NB790" i="94"/>
  <c r="IC790" i="94"/>
  <c r="IK790" i="94"/>
  <c r="IS790" i="94"/>
  <c r="JA790" i="94"/>
  <c r="JI790" i="94"/>
  <c r="JQ790" i="94"/>
  <c r="JY790" i="94"/>
  <c r="KG790" i="94"/>
  <c r="KO790" i="94"/>
  <c r="KW790" i="94"/>
  <c r="LE790" i="94"/>
  <c r="LM790" i="94"/>
  <c r="NC790" i="94"/>
  <c r="ID790" i="94"/>
  <c r="IL790" i="94"/>
  <c r="IT790" i="94"/>
  <c r="JB790" i="94"/>
  <c r="JJ790" i="94"/>
  <c r="JR790" i="94"/>
  <c r="JZ790" i="94"/>
  <c r="KH790" i="94"/>
  <c r="KP790" i="94"/>
  <c r="KX790" i="94"/>
  <c r="LF790" i="94"/>
  <c r="LN790" i="94"/>
  <c r="JT788" i="94"/>
  <c r="LH788" i="94"/>
  <c r="IG788" i="94"/>
  <c r="IO788" i="94"/>
  <c r="IW788" i="94"/>
  <c r="JE788" i="94"/>
  <c r="JM788" i="94"/>
  <c r="JU788" i="94"/>
  <c r="KC788" i="94"/>
  <c r="KK788" i="94"/>
  <c r="KS788" i="94"/>
  <c r="LA788" i="94"/>
  <c r="LI788" i="94"/>
  <c r="JD788" i="94"/>
  <c r="KR788" i="94"/>
  <c r="HZ788" i="94"/>
  <c r="IH788" i="94"/>
  <c r="IP788" i="94"/>
  <c r="IX788" i="94"/>
  <c r="JF788" i="94"/>
  <c r="JN788" i="94"/>
  <c r="JV788" i="94"/>
  <c r="KD788" i="94"/>
  <c r="KL788" i="94"/>
  <c r="KT788" i="94"/>
  <c r="LB788" i="94"/>
  <c r="LJ788" i="94"/>
  <c r="MZ788" i="94"/>
  <c r="IV788" i="94"/>
  <c r="KZ788" i="94"/>
  <c r="IA788" i="94"/>
  <c r="II788" i="94"/>
  <c r="IQ788" i="94"/>
  <c r="IY788" i="94"/>
  <c r="JG788" i="94"/>
  <c r="JO788" i="94"/>
  <c r="JW788" i="94"/>
  <c r="KE788" i="94"/>
  <c r="KM788" i="94"/>
  <c r="KU788" i="94"/>
  <c r="LC788" i="94"/>
  <c r="LK788" i="94"/>
  <c r="NA788" i="94"/>
  <c r="JL788" i="94"/>
  <c r="LP788" i="94"/>
  <c r="IB788" i="94"/>
  <c r="IJ788" i="94"/>
  <c r="IR788" i="94"/>
  <c r="IZ788" i="94"/>
  <c r="JH788" i="94"/>
  <c r="JP788" i="94"/>
  <c r="JX788" i="94"/>
  <c r="KF788" i="94"/>
  <c r="KN788" i="94"/>
  <c r="KV788" i="94"/>
  <c r="LD788" i="94"/>
  <c r="LL788" i="94"/>
  <c r="NB788" i="94"/>
  <c r="IF788" i="94"/>
  <c r="KB788" i="94"/>
  <c r="IC788" i="94"/>
  <c r="IK788" i="94"/>
  <c r="IS788" i="94"/>
  <c r="JA788" i="94"/>
  <c r="JI788" i="94"/>
  <c r="JQ788" i="94"/>
  <c r="JY788" i="94"/>
  <c r="KG788" i="94"/>
  <c r="KO788" i="94"/>
  <c r="KW788" i="94"/>
  <c r="LE788" i="94"/>
  <c r="LM788" i="94"/>
  <c r="NC788" i="94"/>
  <c r="IN788" i="94"/>
  <c r="KJ788" i="94"/>
  <c r="ID788" i="94"/>
  <c r="IL788" i="94"/>
  <c r="IT788" i="94"/>
  <c r="JB788" i="94"/>
  <c r="JJ788" i="94"/>
  <c r="JR788" i="94"/>
  <c r="JZ788" i="94"/>
  <c r="KH788" i="94"/>
  <c r="KP788" i="94"/>
  <c r="KX788" i="94"/>
  <c r="LF788" i="94"/>
  <c r="LN788"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LI786" i="94"/>
  <c r="HZ786" i="94"/>
  <c r="IH786" i="94"/>
  <c r="IP786" i="94"/>
  <c r="IX786" i="94"/>
  <c r="JF786" i="94"/>
  <c r="JN786" i="94"/>
  <c r="JV786" i="94"/>
  <c r="KD786" i="94"/>
  <c r="KL786" i="94"/>
  <c r="KT786" i="94"/>
  <c r="LB786" i="94"/>
  <c r="LJ786" i="94"/>
  <c r="MZ786" i="94"/>
  <c r="IA786" i="94"/>
  <c r="II786" i="94"/>
  <c r="IQ786" i="94"/>
  <c r="IY786" i="94"/>
  <c r="JG786" i="94"/>
  <c r="JO786" i="94"/>
  <c r="JW786" i="94"/>
  <c r="KE786" i="94"/>
  <c r="KM786" i="94"/>
  <c r="KU786" i="94"/>
  <c r="LC786" i="94"/>
  <c r="LK786" i="94"/>
  <c r="NA786" i="94"/>
  <c r="IB786" i="94"/>
  <c r="IJ786" i="94"/>
  <c r="IR786" i="94"/>
  <c r="IZ786" i="94"/>
  <c r="JH786" i="94"/>
  <c r="JP786" i="94"/>
  <c r="JX786" i="94"/>
  <c r="KF786" i="94"/>
  <c r="KN786" i="94"/>
  <c r="KV786" i="94"/>
  <c r="LD786" i="94"/>
  <c r="LL786" i="94"/>
  <c r="NB786" i="94"/>
  <c r="IC786" i="94"/>
  <c r="IK786" i="94"/>
  <c r="IS786" i="94"/>
  <c r="JA786" i="94"/>
  <c r="JI786" i="94"/>
  <c r="JQ786" i="94"/>
  <c r="JY786" i="94"/>
  <c r="KG786" i="94"/>
  <c r="KO786" i="94"/>
  <c r="KW786" i="94"/>
  <c r="LE786" i="94"/>
  <c r="LM786" i="94"/>
  <c r="JH782" i="94"/>
  <c r="NB782" i="94"/>
  <c r="JP782" i="94"/>
  <c r="JX782" i="94"/>
  <c r="KF782" i="94"/>
  <c r="LL782" i="94"/>
  <c r="IB782" i="94"/>
  <c r="KN782" i="94"/>
  <c r="IZ782" i="94"/>
  <c r="IJ782" i="94"/>
  <c r="NA782" i="94"/>
  <c r="E818" i="94"/>
  <c r="FD782" i="94"/>
  <c r="HT782" i="94"/>
  <c r="GT784" i="94"/>
  <c r="HX786" i="94"/>
  <c r="HB784" i="94"/>
  <c r="MF786" i="94"/>
  <c r="MK786" i="94"/>
  <c r="MM784" i="94"/>
  <c r="HJ784" i="94"/>
  <c r="MN786" i="94"/>
  <c r="HR784" i="94"/>
  <c r="GJ786" i="94"/>
  <c r="GR786" i="94"/>
  <c r="GZ786" i="94"/>
  <c r="FL782" i="94"/>
  <c r="DK784" i="94"/>
  <c r="FW784" i="94"/>
  <c r="HC784" i="94"/>
  <c r="AG786" i="94"/>
  <c r="CK786" i="94"/>
  <c r="FM786" i="94"/>
  <c r="BJ782" i="94"/>
  <c r="BJ784" i="94"/>
  <c r="EN782" i="94"/>
  <c r="HD782" i="94"/>
  <c r="MB782"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LX784" i="94"/>
  <c r="MF784" i="94"/>
  <c r="MN784" i="94"/>
  <c r="AD786" i="94"/>
  <c r="AL786" i="94"/>
  <c r="AT786" i="94"/>
  <c r="BB786" i="94"/>
  <c r="BJ786" i="94"/>
  <c r="BR786" i="94"/>
  <c r="BZ786" i="94"/>
  <c r="CH786" i="94"/>
  <c r="CP786" i="94"/>
  <c r="CX786" i="94"/>
  <c r="DF786" i="94"/>
  <c r="DN786" i="94"/>
  <c r="DV786" i="94"/>
  <c r="ED786" i="94"/>
  <c r="EL786" i="94"/>
  <c r="ET786" i="94"/>
  <c r="FB786" i="94"/>
  <c r="FJ786" i="94"/>
  <c r="FR786" i="94"/>
  <c r="FZ786" i="94"/>
  <c r="GH786" i="94"/>
  <c r="GP786" i="94"/>
  <c r="GX786" i="94"/>
  <c r="HF786" i="94"/>
  <c r="HN786" i="94"/>
  <c r="HV786" i="94"/>
  <c r="LV786" i="94"/>
  <c r="MD786" i="94"/>
  <c r="ML786" i="94"/>
  <c r="AL782" i="94"/>
  <c r="AI784" i="94"/>
  <c r="CE784" i="94"/>
  <c r="EA784" i="94"/>
  <c r="FO784" i="94"/>
  <c r="HK784" i="94"/>
  <c r="MI784" i="94"/>
  <c r="CC786" i="94"/>
  <c r="EW786" i="94"/>
  <c r="AT784" i="94"/>
  <c r="EV782" i="94"/>
  <c r="HL782" i="94"/>
  <c r="MJ782"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Q784" i="94"/>
  <c r="HY784" i="94"/>
  <c r="LQ784" i="94"/>
  <c r="LY784" i="94"/>
  <c r="MG784" i="94"/>
  <c r="MO784"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LW786" i="94"/>
  <c r="ME786" i="94"/>
  <c r="MM786" i="94"/>
  <c r="AA784" i="94"/>
  <c r="BO784" i="94"/>
  <c r="DS784" i="94"/>
  <c r="FG784" i="94"/>
  <c r="GU784" i="94"/>
  <c r="HS784" i="94"/>
  <c r="AW786" i="94"/>
  <c r="DI786" i="94"/>
  <c r="FU786" i="94"/>
  <c r="GS786" i="94"/>
  <c r="HQ786" i="94"/>
  <c r="HY786" i="94"/>
  <c r="LY786" i="94"/>
  <c r="AY784" i="94"/>
  <c r="CU784" i="94"/>
  <c r="EI784" i="94"/>
  <c r="GE784" i="94"/>
  <c r="MA784" i="94"/>
  <c r="BE786" i="94"/>
  <c r="DA786" i="94"/>
  <c r="DY786" i="94"/>
  <c r="GK786" i="94"/>
  <c r="MG786" i="94"/>
  <c r="AT782" i="94"/>
  <c r="FT782"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LT784" i="94"/>
  <c r="MB784" i="94"/>
  <c r="MJ784" i="94"/>
  <c r="Z786" i="94"/>
  <c r="AH786" i="94"/>
  <c r="AP786" i="94"/>
  <c r="AX786" i="94"/>
  <c r="BF786" i="94"/>
  <c r="BN786" i="94"/>
  <c r="BV786" i="94"/>
  <c r="CD786" i="94"/>
  <c r="CL786" i="94"/>
  <c r="CT786" i="94"/>
  <c r="DB786" i="94"/>
  <c r="DJ786" i="94"/>
  <c r="DR786" i="94"/>
  <c r="DZ786" i="94"/>
  <c r="EH786" i="94"/>
  <c r="EP786" i="94"/>
  <c r="EX786" i="94"/>
  <c r="FF786" i="94"/>
  <c r="FN786" i="94"/>
  <c r="FV786" i="94"/>
  <c r="GD786" i="94"/>
  <c r="GL786" i="94"/>
  <c r="GT786" i="94"/>
  <c r="HB786" i="94"/>
  <c r="HJ786" i="94"/>
  <c r="HR786" i="94"/>
  <c r="LR786" i="94"/>
  <c r="LZ786" i="94"/>
  <c r="MH786" i="94"/>
  <c r="BW784" i="94"/>
  <c r="Y786" i="94"/>
  <c r="BM786" i="94"/>
  <c r="DQ786" i="94"/>
  <c r="EG786" i="94"/>
  <c r="GC786" i="94"/>
  <c r="MO786" i="94"/>
  <c r="BB782" i="94"/>
  <c r="GF782" i="94"/>
  <c r="AC784" i="94"/>
  <c r="AK784" i="94"/>
  <c r="AS784" i="94"/>
  <c r="BA784" i="94"/>
  <c r="BI784" i="94"/>
  <c r="BQ784" i="94"/>
  <c r="BY784" i="94"/>
  <c r="CG784" i="94"/>
  <c r="CO784" i="94"/>
  <c r="CW784" i="94"/>
  <c r="DE784" i="94"/>
  <c r="DM784" i="94"/>
  <c r="DU784" i="94"/>
  <c r="EC784" i="94"/>
  <c r="EK784" i="94"/>
  <c r="ES784" i="94"/>
  <c r="FA784" i="94"/>
  <c r="FI784" i="94"/>
  <c r="FQ784" i="94"/>
  <c r="FY784" i="94"/>
  <c r="GG784" i="94"/>
  <c r="GO784" i="94"/>
  <c r="GW784" i="94"/>
  <c r="HE784" i="94"/>
  <c r="HM784" i="94"/>
  <c r="HU784" i="94"/>
  <c r="LU784" i="94"/>
  <c r="MC784" i="94"/>
  <c r="MK784"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LS786" i="94"/>
  <c r="MA786" i="94"/>
  <c r="MI786" i="94"/>
  <c r="CM784" i="94"/>
  <c r="EQ784" i="94"/>
  <c r="LS784" i="94"/>
  <c r="BU786" i="94"/>
  <c r="FE786" i="94"/>
  <c r="HI786" i="94"/>
  <c r="GN782" i="94"/>
  <c r="AD784" i="94"/>
  <c r="AL784" i="94"/>
  <c r="BR784" i="94"/>
  <c r="BZ784" i="94"/>
  <c r="CH784" i="94"/>
  <c r="CP784" i="94"/>
  <c r="CX784" i="94"/>
  <c r="DF784" i="94"/>
  <c r="DN784" i="94"/>
  <c r="DV784" i="94"/>
  <c r="ED784" i="94"/>
  <c r="EL784" i="94"/>
  <c r="ET784" i="94"/>
  <c r="FB784" i="94"/>
  <c r="FJ784" i="94"/>
  <c r="FR784" i="94"/>
  <c r="FZ784" i="94"/>
  <c r="GH784" i="94"/>
  <c r="GP784" i="94"/>
  <c r="GX784" i="94"/>
  <c r="HF784" i="94"/>
  <c r="HN784" i="94"/>
  <c r="HV784" i="94"/>
  <c r="LV784" i="94"/>
  <c r="MD784" i="94"/>
  <c r="ML784"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LT786" i="94"/>
  <c r="MB786" i="94"/>
  <c r="MJ786" i="94"/>
  <c r="AQ784" i="94"/>
  <c r="BG784" i="94"/>
  <c r="DC784" i="94"/>
  <c r="EY784" i="94"/>
  <c r="GM784" i="94"/>
  <c r="AO786" i="94"/>
  <c r="CS786" i="94"/>
  <c r="EO786" i="94"/>
  <c r="HA786" i="94"/>
  <c r="LQ786" i="94"/>
  <c r="BB784" i="94"/>
  <c r="EF782" i="94"/>
  <c r="GV782" i="94"/>
  <c r="AE784" i="94"/>
  <c r="AM784" i="94"/>
  <c r="AU784" i="94"/>
  <c r="BC784" i="94"/>
  <c r="BK784" i="94"/>
  <c r="BS784" i="94"/>
  <c r="CA784" i="94"/>
  <c r="CI784" i="94"/>
  <c r="CQ784" i="94"/>
  <c r="CY784" i="94"/>
  <c r="DG784" i="94"/>
  <c r="DO784" i="94"/>
  <c r="DW784" i="94"/>
  <c r="EE784" i="94"/>
  <c r="EM784" i="94"/>
  <c r="EU784" i="94"/>
  <c r="FC784" i="94"/>
  <c r="FK784" i="94"/>
  <c r="FS784" i="94"/>
  <c r="GA784" i="94"/>
  <c r="GI784" i="94"/>
  <c r="GQ784" i="94"/>
  <c r="GY784" i="94"/>
  <c r="HG784" i="94"/>
  <c r="HO784" i="94"/>
  <c r="HW784" i="94"/>
  <c r="LW784" i="94"/>
  <c r="ME784"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LU786" i="94"/>
  <c r="MC786" i="94"/>
  <c r="AD783" i="94"/>
  <c r="AL783" i="94"/>
  <c r="AT783" i="94"/>
  <c r="BB783" i="94"/>
  <c r="BJ783" i="94"/>
  <c r="EH783" i="94"/>
  <c r="EP783" i="94"/>
  <c r="EX783" i="94"/>
  <c r="FF783" i="94"/>
  <c r="FN783" i="94"/>
  <c r="FV783" i="94"/>
  <c r="HI783" i="94"/>
  <c r="LV783" i="94"/>
  <c r="AE783" i="94"/>
  <c r="AM783" i="94"/>
  <c r="AU783" i="94"/>
  <c r="BC783" i="94"/>
  <c r="BK783" i="94"/>
  <c r="EI783" i="94"/>
  <c r="EQ783" i="94"/>
  <c r="EY783" i="94"/>
  <c r="FG783" i="94"/>
  <c r="FO783" i="94"/>
  <c r="FZ783" i="94"/>
  <c r="HQ783" i="94"/>
  <c r="LW783" i="94"/>
  <c r="X783" i="94"/>
  <c r="AF783" i="94"/>
  <c r="AN783" i="94"/>
  <c r="AV783" i="94"/>
  <c r="BD783" i="94"/>
  <c r="CI783" i="94"/>
  <c r="EJ783" i="94"/>
  <c r="ER783" i="94"/>
  <c r="EZ783" i="94"/>
  <c r="FH783" i="94"/>
  <c r="FP783" i="94"/>
  <c r="GB783" i="94"/>
  <c r="IA783" i="94"/>
  <c r="LX783" i="94"/>
  <c r="Y783" i="94"/>
  <c r="AG783" i="94"/>
  <c r="AO783" i="94"/>
  <c r="AW783" i="94"/>
  <c r="BE783" i="94"/>
  <c r="DO783" i="94"/>
  <c r="EK783" i="94"/>
  <c r="ES783" i="94"/>
  <c r="FA783" i="94"/>
  <c r="FI783" i="94"/>
  <c r="FQ783" i="94"/>
  <c r="GC783" i="94"/>
  <c r="LQ783" i="94"/>
  <c r="LY783" i="94"/>
  <c r="Z783" i="94"/>
  <c r="AH783" i="94"/>
  <c r="AP783" i="94"/>
  <c r="AX783" i="94"/>
  <c r="BF783" i="94"/>
  <c r="ED783" i="94"/>
  <c r="EL783" i="94"/>
  <c r="ET783" i="94"/>
  <c r="FB783" i="94"/>
  <c r="FJ783" i="94"/>
  <c r="FR783" i="94"/>
  <c r="GD783" i="94"/>
  <c r="LR783" i="94"/>
  <c r="LZ783" i="94"/>
  <c r="AA783" i="94"/>
  <c r="AI783" i="94"/>
  <c r="AQ783" i="94"/>
  <c r="AY783" i="94"/>
  <c r="BG783" i="94"/>
  <c r="EE783" i="94"/>
  <c r="EM783" i="94"/>
  <c r="EU783" i="94"/>
  <c r="FC783" i="94"/>
  <c r="FK783" i="94"/>
  <c r="FS783" i="94"/>
  <c r="GE783" i="94"/>
  <c r="LS783" i="94"/>
  <c r="MB783" i="94"/>
  <c r="AB783" i="94"/>
  <c r="AJ783" i="94"/>
  <c r="AR783" i="94"/>
  <c r="AZ783" i="94"/>
  <c r="BH783" i="94"/>
  <c r="EF783" i="94"/>
  <c r="EN783" i="94"/>
  <c r="EV783" i="94"/>
  <c r="FD783" i="94"/>
  <c r="FL783" i="94"/>
  <c r="FT783" i="94"/>
  <c r="GF783" i="94"/>
  <c r="LT783" i="94"/>
  <c r="AE782" i="94"/>
  <c r="AM782" i="94"/>
  <c r="AU782" i="94"/>
  <c r="BC782" i="94"/>
  <c r="BK782" i="94"/>
  <c r="EG782" i="94"/>
  <c r="EO782" i="94"/>
  <c r="EW782" i="94"/>
  <c r="FE782" i="94"/>
  <c r="FM782" i="94"/>
  <c r="FU782" i="94"/>
  <c r="GG782" i="94"/>
  <c r="GO782" i="94"/>
  <c r="GW782" i="94"/>
  <c r="HE782" i="94"/>
  <c r="HM782" i="94"/>
  <c r="HU782" i="94"/>
  <c r="IC782" i="94"/>
  <c r="IK782" i="94"/>
  <c r="IS782" i="94"/>
  <c r="JA782" i="94"/>
  <c r="JI782" i="94"/>
  <c r="JQ782" i="94"/>
  <c r="JY782" i="94"/>
  <c r="KG782" i="94"/>
  <c r="KO782" i="94"/>
  <c r="KW782" i="94"/>
  <c r="LE782" i="94"/>
  <c r="LM782" i="94"/>
  <c r="LU782" i="94"/>
  <c r="MC782" i="94"/>
  <c r="MK782" i="94"/>
  <c r="NC782" i="94"/>
  <c r="X782" i="94"/>
  <c r="AF782" i="94"/>
  <c r="AN782" i="94"/>
  <c r="AV782" i="94"/>
  <c r="BD782" i="94"/>
  <c r="CD782" i="94"/>
  <c r="EH782" i="94"/>
  <c r="EP782" i="94"/>
  <c r="EX782" i="94"/>
  <c r="FF782" i="94"/>
  <c r="FN782" i="94"/>
  <c r="FV782" i="94"/>
  <c r="GH782" i="94"/>
  <c r="GP782" i="94"/>
  <c r="GX782" i="94"/>
  <c r="HF782" i="94"/>
  <c r="HN782" i="94"/>
  <c r="HV782" i="94"/>
  <c r="ID782" i="94"/>
  <c r="IL782" i="94"/>
  <c r="IT782" i="94"/>
  <c r="JB782" i="94"/>
  <c r="JJ782" i="94"/>
  <c r="JR782" i="94"/>
  <c r="JZ782" i="94"/>
  <c r="KH782" i="94"/>
  <c r="KP782" i="94"/>
  <c r="KX782" i="94"/>
  <c r="LF782" i="94"/>
  <c r="LN782" i="94"/>
  <c r="LV782" i="94"/>
  <c r="MD782" i="94"/>
  <c r="ML782" i="94"/>
  <c r="ND782" i="94"/>
  <c r="Y782" i="94"/>
  <c r="AG782" i="94"/>
  <c r="AO782" i="94"/>
  <c r="AW782" i="94"/>
  <c r="BE782" i="94"/>
  <c r="CL782" i="94"/>
  <c r="EI782" i="94"/>
  <c r="EQ782" i="94"/>
  <c r="EY782" i="94"/>
  <c r="FG782" i="94"/>
  <c r="FO782" i="94"/>
  <c r="GA782" i="94"/>
  <c r="GI782" i="94"/>
  <c r="GQ782" i="94"/>
  <c r="GY782" i="94"/>
  <c r="HG782" i="94"/>
  <c r="HO782" i="94"/>
  <c r="HW782" i="94"/>
  <c r="IE782" i="94"/>
  <c r="IM782" i="94"/>
  <c r="IU782" i="94"/>
  <c r="JC782" i="94"/>
  <c r="JK782" i="94"/>
  <c r="JS782" i="94"/>
  <c r="KA782" i="94"/>
  <c r="KI782" i="94"/>
  <c r="KQ782" i="94"/>
  <c r="KY782" i="94"/>
  <c r="LG782" i="94"/>
  <c r="LO782" i="94"/>
  <c r="LW782" i="94"/>
  <c r="ME782" i="94"/>
  <c r="MM782" i="94"/>
  <c r="Z782" i="94"/>
  <c r="AH782" i="94"/>
  <c r="AP782" i="94"/>
  <c r="AX782" i="94"/>
  <c r="BF782" i="94"/>
  <c r="DJ782" i="94"/>
  <c r="EJ782" i="94"/>
  <c r="ER782" i="94"/>
  <c r="EZ782" i="94"/>
  <c r="FH782" i="94"/>
  <c r="FP782" i="94"/>
  <c r="GB782" i="94"/>
  <c r="GJ782" i="94"/>
  <c r="GR782" i="94"/>
  <c r="GZ782" i="94"/>
  <c r="HH782" i="94"/>
  <c r="HP782" i="94"/>
  <c r="HX782" i="94"/>
  <c r="IF782" i="94"/>
  <c r="IN782" i="94"/>
  <c r="IV782" i="94"/>
  <c r="JD782" i="94"/>
  <c r="JL782" i="94"/>
  <c r="JT782" i="94"/>
  <c r="KB782" i="94"/>
  <c r="KJ782" i="94"/>
  <c r="KR782" i="94"/>
  <c r="KZ782" i="94"/>
  <c r="LH782" i="94"/>
  <c r="LP782" i="94"/>
  <c r="LX782" i="94"/>
  <c r="MF782" i="94"/>
  <c r="MN782" i="94"/>
  <c r="AA782" i="94"/>
  <c r="AI782" i="94"/>
  <c r="AQ782" i="94"/>
  <c r="AY782" i="94"/>
  <c r="BG782" i="94"/>
  <c r="DR782" i="94"/>
  <c r="EK782" i="94"/>
  <c r="ES782" i="94"/>
  <c r="FA782" i="94"/>
  <c r="FI782" i="94"/>
  <c r="FQ782" i="94"/>
  <c r="GC782" i="94"/>
  <c r="GK782" i="94"/>
  <c r="GS782" i="94"/>
  <c r="HA782" i="94"/>
  <c r="HI782" i="94"/>
  <c r="HQ782" i="94"/>
  <c r="HY782" i="94"/>
  <c r="IG782" i="94"/>
  <c r="IO782" i="94"/>
  <c r="IW782" i="94"/>
  <c r="JE782" i="94"/>
  <c r="JM782" i="94"/>
  <c r="JU782" i="94"/>
  <c r="KC782" i="94"/>
  <c r="KK782" i="94"/>
  <c r="KS782" i="94"/>
  <c r="LA782" i="94"/>
  <c r="LI782" i="94"/>
  <c r="LQ782" i="94"/>
  <c r="LY782" i="94"/>
  <c r="MG782" i="94"/>
  <c r="MO782" i="94"/>
  <c r="AB782" i="94"/>
  <c r="AJ782" i="94"/>
  <c r="AR782" i="94"/>
  <c r="AZ782" i="94"/>
  <c r="BH782" i="94"/>
  <c r="ED782" i="94"/>
  <c r="EL782" i="94"/>
  <c r="ET782" i="94"/>
  <c r="FB782" i="94"/>
  <c r="FJ782" i="94"/>
  <c r="FR782" i="94"/>
  <c r="GD782" i="94"/>
  <c r="GL782" i="94"/>
  <c r="GT782" i="94"/>
  <c r="HB782" i="94"/>
  <c r="HJ782" i="94"/>
  <c r="HR782" i="94"/>
  <c r="HZ782" i="94"/>
  <c r="IH782" i="94"/>
  <c r="IP782" i="94"/>
  <c r="IX782" i="94"/>
  <c r="JF782" i="94"/>
  <c r="JN782" i="94"/>
  <c r="JV782" i="94"/>
  <c r="KD782" i="94"/>
  <c r="KL782" i="94"/>
  <c r="KT782" i="94"/>
  <c r="LB782" i="94"/>
  <c r="LJ782" i="94"/>
  <c r="LR782" i="94"/>
  <c r="LZ782" i="94"/>
  <c r="MH782" i="94"/>
  <c r="MZ782" i="94"/>
  <c r="AC782" i="94"/>
  <c r="AK782" i="94"/>
  <c r="AS782" i="94"/>
  <c r="BA782" i="94"/>
  <c r="BI782" i="94"/>
  <c r="EE782" i="94"/>
  <c r="EM782" i="94"/>
  <c r="EU782" i="94"/>
  <c r="FC782" i="94"/>
  <c r="FK782" i="94"/>
  <c r="FS782" i="94"/>
  <c r="GE782" i="94"/>
  <c r="GM782" i="94"/>
  <c r="GU782" i="94"/>
  <c r="HC782" i="94"/>
  <c r="HK782" i="94"/>
  <c r="HS782" i="94"/>
  <c r="IA782" i="94"/>
  <c r="II782" i="94"/>
  <c r="IQ782" i="94"/>
  <c r="IY782" i="94"/>
  <c r="JG782" i="94"/>
  <c r="JO782" i="94"/>
  <c r="JW782" i="94"/>
  <c r="KE782" i="94"/>
  <c r="KM782" i="94"/>
  <c r="KU782" i="94"/>
  <c r="LC782" i="94"/>
  <c r="LK782" i="94"/>
  <c r="LS782" i="94"/>
  <c r="MA782" i="94"/>
  <c r="MI782" i="94"/>
  <c r="GG781" i="94"/>
  <c r="LS781" i="94"/>
  <c r="CT781" i="94"/>
  <c r="DP781" i="94"/>
  <c r="AC781" i="94"/>
  <c r="EG781" i="94"/>
  <c r="MC781" i="94"/>
  <c r="AK781" i="94"/>
  <c r="EO781" i="94"/>
  <c r="AS781" i="94"/>
  <c r="EW781" i="94"/>
  <c r="BA781" i="94"/>
  <c r="FE781" i="94"/>
  <c r="BI781" i="94"/>
  <c r="FM781" i="94"/>
  <c r="CA781" i="94"/>
  <c r="FU781" i="94"/>
  <c r="AD781" i="94"/>
  <c r="AL781" i="94"/>
  <c r="AT781" i="94"/>
  <c r="BB781" i="94"/>
  <c r="BJ781" i="94"/>
  <c r="CB781" i="94"/>
  <c r="CY781" i="94"/>
  <c r="DR781" i="94"/>
  <c r="EH781" i="94"/>
  <c r="EP781" i="94"/>
  <c r="EX781" i="94"/>
  <c r="FF781" i="94"/>
  <c r="FN781" i="94"/>
  <c r="FV781" i="94"/>
  <c r="GO781" i="94"/>
  <c r="LT781" i="94"/>
  <c r="MK781" i="94"/>
  <c r="AE781" i="94"/>
  <c r="AM781" i="94"/>
  <c r="AU781" i="94"/>
  <c r="BC781" i="94"/>
  <c r="BK781" i="94"/>
  <c r="CD781" i="94"/>
  <c r="CZ781" i="94"/>
  <c r="DW781" i="94"/>
  <c r="EI781" i="94"/>
  <c r="EQ781" i="94"/>
  <c r="EY781" i="94"/>
  <c r="FG781" i="94"/>
  <c r="FO781" i="94"/>
  <c r="GA781" i="94"/>
  <c r="HM781" i="94"/>
  <c r="LU781" i="94"/>
  <c r="X781" i="94"/>
  <c r="AF781" i="94"/>
  <c r="AN781" i="94"/>
  <c r="AV781" i="94"/>
  <c r="BD781" i="94"/>
  <c r="BL781" i="94"/>
  <c r="CI781" i="94"/>
  <c r="DB781" i="94"/>
  <c r="DX781" i="94"/>
  <c r="EJ781" i="94"/>
  <c r="ER781" i="94"/>
  <c r="EZ781" i="94"/>
  <c r="FH781" i="94"/>
  <c r="FP781" i="94"/>
  <c r="GB781" i="94"/>
  <c r="HU781" i="94"/>
  <c r="LV781" i="94"/>
  <c r="Y781" i="94"/>
  <c r="AG781" i="94"/>
  <c r="AO781" i="94"/>
  <c r="AW781" i="94"/>
  <c r="BE781" i="94"/>
  <c r="BN781" i="94"/>
  <c r="CJ781" i="94"/>
  <c r="DG781" i="94"/>
  <c r="DZ781" i="94"/>
  <c r="EK781" i="94"/>
  <c r="ES781" i="94"/>
  <c r="FA781" i="94"/>
  <c r="FI781" i="94"/>
  <c r="FQ781" i="94"/>
  <c r="GC781" i="94"/>
  <c r="HZ781" i="94"/>
  <c r="LW781" i="94"/>
  <c r="Z781" i="94"/>
  <c r="AH781" i="94"/>
  <c r="AP781" i="94"/>
  <c r="AX781" i="94"/>
  <c r="BF781" i="94"/>
  <c r="BS781" i="94"/>
  <c r="CL781" i="94"/>
  <c r="DH781" i="94"/>
  <c r="ED781" i="94"/>
  <c r="EL781" i="94"/>
  <c r="ET781" i="94"/>
  <c r="FB781" i="94"/>
  <c r="FJ781" i="94"/>
  <c r="FR781" i="94"/>
  <c r="GD781" i="94"/>
  <c r="JE781" i="94"/>
  <c r="LX781" i="94"/>
  <c r="AI781" i="94"/>
  <c r="AY781" i="94"/>
  <c r="CQ781" i="94"/>
  <c r="EE781" i="94"/>
  <c r="EM781" i="94"/>
  <c r="FC781" i="94"/>
  <c r="FK781" i="94"/>
  <c r="FS781" i="94"/>
  <c r="GE781" i="94"/>
  <c r="LY781" i="94"/>
  <c r="AA781" i="94"/>
  <c r="AQ781" i="94"/>
  <c r="BG781" i="94"/>
  <c r="BT781" i="94"/>
  <c r="DJ781" i="94"/>
  <c r="EU781" i="94"/>
  <c r="LQ781" i="94"/>
  <c r="AB781" i="94"/>
  <c r="AJ781" i="94"/>
  <c r="AR781" i="94"/>
  <c r="AZ781" i="94"/>
  <c r="BH781" i="94"/>
  <c r="BV781" i="94"/>
  <c r="CR781" i="94"/>
  <c r="DO781" i="94"/>
  <c r="EF781" i="94"/>
  <c r="EN781" i="94"/>
  <c r="EV781" i="94"/>
  <c r="FD781" i="94"/>
  <c r="FL781" i="94"/>
  <c r="FT781" i="94"/>
  <c r="GF781" i="94"/>
  <c r="LR781" i="94"/>
  <c r="AB787" i="94"/>
  <c r="AJ787" i="94"/>
  <c r="AR787" i="94"/>
  <c r="AZ787" i="94"/>
  <c r="BH787" i="94"/>
  <c r="CW787" i="94"/>
  <c r="EG787" i="94"/>
  <c r="EO787" i="94"/>
  <c r="EW787" i="94"/>
  <c r="FE787" i="94"/>
  <c r="FM787" i="94"/>
  <c r="FU787" i="94"/>
  <c r="LW787" i="94"/>
  <c r="AC789" i="94"/>
  <c r="AK789" i="94"/>
  <c r="AS789" i="94"/>
  <c r="BA789" i="94"/>
  <c r="BI789" i="94"/>
  <c r="DB789" i="94"/>
  <c r="EH789" i="94"/>
  <c r="EP789" i="94"/>
  <c r="EX789" i="94"/>
  <c r="FF789" i="94"/>
  <c r="FN789" i="94"/>
  <c r="FV789" i="94"/>
  <c r="LQ789" i="94"/>
  <c r="LY789" i="94"/>
  <c r="Z791" i="94"/>
  <c r="AH791" i="94"/>
  <c r="AP791" i="94"/>
  <c r="AX791" i="94"/>
  <c r="BF791" i="94"/>
  <c r="EE791" i="94"/>
  <c r="EM791" i="94"/>
  <c r="EU791" i="94"/>
  <c r="FC791" i="94"/>
  <c r="FK791" i="94"/>
  <c r="FS791" i="94"/>
  <c r="GF791" i="94"/>
  <c r="LV791" i="94"/>
  <c r="AD787" i="94"/>
  <c r="AL787" i="94"/>
  <c r="AT787" i="94"/>
  <c r="BB787" i="94"/>
  <c r="BJ787" i="94"/>
  <c r="DM787" i="94"/>
  <c r="EI787" i="94"/>
  <c r="EQ787" i="94"/>
  <c r="EY787" i="94"/>
  <c r="FG787" i="94"/>
  <c r="FO787" i="94"/>
  <c r="FY787" i="94"/>
  <c r="LQ787" i="94"/>
  <c r="LY787" i="94"/>
  <c r="AE789" i="94"/>
  <c r="AM789" i="94"/>
  <c r="AU789" i="94"/>
  <c r="BC789" i="94"/>
  <c r="BK789" i="94"/>
  <c r="DR789" i="94"/>
  <c r="EJ789" i="94"/>
  <c r="ER789" i="94"/>
  <c r="EZ789" i="94"/>
  <c r="FH789" i="94"/>
  <c r="FP789" i="94"/>
  <c r="GC789" i="94"/>
  <c r="LS789" i="94"/>
  <c r="AB791" i="94"/>
  <c r="AJ791" i="94"/>
  <c r="AR791" i="94"/>
  <c r="AZ791" i="94"/>
  <c r="BH791" i="94"/>
  <c r="EG791" i="94"/>
  <c r="EO791" i="94"/>
  <c r="EW791" i="94"/>
  <c r="FE791" i="94"/>
  <c r="FM791" i="94"/>
  <c r="FU791" i="94"/>
  <c r="LX791" i="94"/>
  <c r="X789" i="94"/>
  <c r="AF789" i="94"/>
  <c r="AN789" i="94"/>
  <c r="AV789" i="94"/>
  <c r="BD789" i="94"/>
  <c r="BN789" i="94"/>
  <c r="DZ789" i="94"/>
  <c r="EK789" i="94"/>
  <c r="ES789" i="94"/>
  <c r="FA789" i="94"/>
  <c r="FI789" i="94"/>
  <c r="FQ789" i="94"/>
  <c r="GD789" i="94"/>
  <c r="LT789" i="94"/>
  <c r="AC791" i="94"/>
  <c r="AK791" i="94"/>
  <c r="AS791" i="94"/>
  <c r="BA791" i="94"/>
  <c r="BI791" i="94"/>
  <c r="EH791" i="94"/>
  <c r="EP791" i="94"/>
  <c r="EX791" i="94"/>
  <c r="FF791" i="94"/>
  <c r="FN791" i="94"/>
  <c r="FV791" i="94"/>
  <c r="LQ791" i="94"/>
  <c r="LY791" i="94"/>
  <c r="X787" i="94"/>
  <c r="AF787" i="94"/>
  <c r="AN787" i="94"/>
  <c r="AV787" i="94"/>
  <c r="BD787" i="94"/>
  <c r="BQ787" i="94"/>
  <c r="EC787" i="94"/>
  <c r="EK787" i="94"/>
  <c r="ES787" i="94"/>
  <c r="FA787" i="94"/>
  <c r="FI787" i="94"/>
  <c r="FQ787" i="94"/>
  <c r="GC787" i="94"/>
  <c r="LS787" i="94"/>
  <c r="Y789" i="94"/>
  <c r="AG789" i="94"/>
  <c r="AO789" i="94"/>
  <c r="AW789" i="94"/>
  <c r="BE789" i="94"/>
  <c r="BV789" i="94"/>
  <c r="ED789" i="94"/>
  <c r="EL789" i="94"/>
  <c r="ET789" i="94"/>
  <c r="FB789" i="94"/>
  <c r="FJ789" i="94"/>
  <c r="FR789" i="94"/>
  <c r="GE789" i="94"/>
  <c r="LU789" i="94"/>
  <c r="AD791" i="94"/>
  <c r="AL791" i="94"/>
  <c r="AT791" i="94"/>
  <c r="BB791" i="94"/>
  <c r="BJ791" i="94"/>
  <c r="EI791" i="94"/>
  <c r="EQ791" i="94"/>
  <c r="EY791" i="94"/>
  <c r="FG791" i="94"/>
  <c r="FO791" i="94"/>
  <c r="GB791" i="94"/>
  <c r="LR791" i="94"/>
  <c r="LZ791" i="94"/>
  <c r="Y787" i="94"/>
  <c r="AG787" i="94"/>
  <c r="AO787" i="94"/>
  <c r="AW787" i="94"/>
  <c r="BE787" i="94"/>
  <c r="BY787" i="94"/>
  <c r="ED787" i="94"/>
  <c r="EL787" i="94"/>
  <c r="ET787" i="94"/>
  <c r="FB787" i="94"/>
  <c r="FJ787" i="94"/>
  <c r="FR787" i="94"/>
  <c r="GD787" i="94"/>
  <c r="Z789" i="94"/>
  <c r="AH789" i="94"/>
  <c r="AP789" i="94"/>
  <c r="AX789" i="94"/>
  <c r="BF789" i="94"/>
  <c r="CD789" i="94"/>
  <c r="EE789" i="94"/>
  <c r="EM789" i="94"/>
  <c r="EU789" i="94"/>
  <c r="FC789" i="94"/>
  <c r="FK789" i="94"/>
  <c r="FS789" i="94"/>
  <c r="GF789" i="94"/>
  <c r="LV789" i="94"/>
  <c r="AE791" i="94"/>
  <c r="AM791" i="94"/>
  <c r="AU791" i="94"/>
  <c r="BC791" i="94"/>
  <c r="BK791" i="94"/>
  <c r="EJ791" i="94"/>
  <c r="ER791" i="94"/>
  <c r="EZ791" i="94"/>
  <c r="FH791" i="94"/>
  <c r="FP791" i="94"/>
  <c r="GC791" i="94"/>
  <c r="LS791" i="94"/>
  <c r="AA789" i="94"/>
  <c r="AI789" i="94"/>
  <c r="AQ789" i="94"/>
  <c r="AY789" i="94"/>
  <c r="BG789" i="94"/>
  <c r="CL789" i="94"/>
  <c r="EF789" i="94"/>
  <c r="EN789" i="94"/>
  <c r="EV789" i="94"/>
  <c r="FD789" i="94"/>
  <c r="FL789" i="94"/>
  <c r="FT789" i="94"/>
  <c r="X791" i="94"/>
  <c r="AF791" i="94"/>
  <c r="AN791" i="94"/>
  <c r="AV791" i="94"/>
  <c r="BD791" i="94"/>
  <c r="CK791" i="94"/>
  <c r="EK791" i="94"/>
  <c r="ES791" i="94"/>
  <c r="FA791" i="94"/>
  <c r="FI791" i="94"/>
  <c r="FQ791" i="94"/>
  <c r="GD791" i="94"/>
  <c r="BD779" i="94"/>
  <c r="CJ779" i="94"/>
  <c r="DP779" i="94"/>
  <c r="EL779" i="94"/>
  <c r="FR779" i="94"/>
  <c r="GX779" i="94"/>
  <c r="MJ779" i="94"/>
  <c r="MS779" i="94"/>
  <c r="MR779" i="94"/>
  <c r="MV779" i="94"/>
  <c r="MY779" i="94"/>
  <c r="MQ779" i="94"/>
  <c r="MX779" i="94"/>
  <c r="MP779" i="94"/>
  <c r="MW779" i="94"/>
  <c r="MU779" i="94"/>
  <c r="MT779" i="94"/>
  <c r="AD779" i="94"/>
  <c r="CP779" i="94"/>
  <c r="DV779" i="94"/>
  <c r="FT779" i="94"/>
  <c r="GZ779" i="94"/>
  <c r="AF779" i="94"/>
  <c r="BL779" i="94"/>
  <c r="DX779" i="94"/>
  <c r="ET779" i="94"/>
  <c r="HF779" i="94"/>
  <c r="X779" i="94"/>
  <c r="BJ779" i="94"/>
  <c r="EN779" i="94"/>
  <c r="CR779" i="94"/>
  <c r="AL779" i="94"/>
  <c r="BR779" i="94"/>
  <c r="CX779" i="94"/>
  <c r="EV779" i="94"/>
  <c r="HH779" i="94"/>
  <c r="MY816" i="94"/>
  <c r="MQ816" i="94"/>
  <c r="MX816" i="94"/>
  <c r="MP816" i="94"/>
  <c r="MW816" i="94"/>
  <c r="MV816" i="94"/>
  <c r="MU816" i="94"/>
  <c r="MT816" i="94"/>
  <c r="MS816" i="94"/>
  <c r="MR816" i="94"/>
  <c r="MS815" i="94"/>
  <c r="MR815" i="94"/>
  <c r="MY815" i="94"/>
  <c r="MQ815" i="94"/>
  <c r="MX815" i="94"/>
  <c r="MP815" i="94"/>
  <c r="MV815" i="94"/>
  <c r="MW815" i="94"/>
  <c r="MU815" i="94"/>
  <c r="MT815" i="94"/>
  <c r="MU814" i="94"/>
  <c r="MT814" i="94"/>
  <c r="MP814" i="94"/>
  <c r="MS814" i="94"/>
  <c r="MX814" i="94"/>
  <c r="MR814" i="94"/>
  <c r="MY814" i="94"/>
  <c r="MQ814" i="94"/>
  <c r="MW814" i="94"/>
  <c r="MV814" i="94"/>
  <c r="MW813" i="94"/>
  <c r="MR813" i="94"/>
  <c r="MV813" i="94"/>
  <c r="MU813" i="94"/>
  <c r="MT813" i="94"/>
  <c r="MS813" i="94"/>
  <c r="MY813" i="94"/>
  <c r="MQ813" i="94"/>
  <c r="MX813" i="94"/>
  <c r="MP813" i="94"/>
  <c r="MY812" i="94"/>
  <c r="MQ812" i="94"/>
  <c r="MT812" i="94"/>
  <c r="MX812" i="94"/>
  <c r="MP812" i="94"/>
  <c r="MW812" i="94"/>
  <c r="MV812" i="94"/>
  <c r="MU812" i="94"/>
  <c r="MS812" i="94"/>
  <c r="MR812" i="94"/>
  <c r="AN779" i="94"/>
  <c r="BT779" i="94"/>
  <c r="CZ779" i="94"/>
  <c r="FB779" i="94"/>
  <c r="GH779" i="94"/>
  <c r="HN779" i="94"/>
  <c r="AV779" i="94"/>
  <c r="CB779" i="94"/>
  <c r="DH779" i="94"/>
  <c r="FJ779" i="94"/>
  <c r="GP779" i="94"/>
  <c r="HW779" i="94"/>
  <c r="LS779" i="94"/>
  <c r="CU790" i="94"/>
  <c r="HG795" i="94"/>
  <c r="HS791" i="94"/>
  <c r="HW787" i="94"/>
  <c r="MM783" i="94"/>
  <c r="I962" i="94"/>
  <c r="M966" i="94"/>
  <c r="K966" i="94"/>
  <c r="Q971" i="94"/>
  <c r="O971" i="94"/>
  <c r="H984" i="94"/>
  <c r="FX812" i="94"/>
  <c r="JW812" i="94"/>
  <c r="MS811" i="94"/>
  <c r="MR811" i="94"/>
  <c r="MY811" i="94"/>
  <c r="MQ811" i="94"/>
  <c r="MX811" i="94"/>
  <c r="MP811" i="94"/>
  <c r="MW811" i="94"/>
  <c r="MV811" i="94"/>
  <c r="MU811" i="94"/>
  <c r="MT811" i="94"/>
  <c r="MU810" i="94"/>
  <c r="MX810" i="94"/>
  <c r="MT810" i="94"/>
  <c r="MS810" i="94"/>
  <c r="MR810" i="94"/>
  <c r="MY810" i="94"/>
  <c r="MQ810" i="94"/>
  <c r="MP810" i="94"/>
  <c r="MW810" i="94"/>
  <c r="MV810" i="94"/>
  <c r="MW809" i="94"/>
  <c r="MR809" i="94"/>
  <c r="MV809" i="94"/>
  <c r="MU809" i="94"/>
  <c r="MT809" i="94"/>
  <c r="MS809" i="94"/>
  <c r="MY809" i="94"/>
  <c r="MQ809" i="94"/>
  <c r="MX809" i="94"/>
  <c r="MP809" i="94"/>
  <c r="MY808" i="94"/>
  <c r="MQ808" i="94"/>
  <c r="MT808" i="94"/>
  <c r="MX808" i="94"/>
  <c r="MP808" i="94"/>
  <c r="MW808" i="94"/>
  <c r="MV808" i="94"/>
  <c r="MU808" i="94"/>
  <c r="MS808" i="94"/>
  <c r="MR808" i="94"/>
  <c r="MS807" i="94"/>
  <c r="MR807" i="94"/>
  <c r="MY807" i="94"/>
  <c r="MQ807" i="94"/>
  <c r="MX807" i="94"/>
  <c r="MP807" i="94"/>
  <c r="MW807" i="94"/>
  <c r="MV807" i="94"/>
  <c r="MU807" i="94"/>
  <c r="MT807" i="94"/>
  <c r="MU806" i="94"/>
  <c r="MX806" i="94"/>
  <c r="MT806" i="94"/>
  <c r="MS806" i="94"/>
  <c r="MR806" i="94"/>
  <c r="MY806" i="94"/>
  <c r="MQ806" i="94"/>
  <c r="MP806" i="94"/>
  <c r="MW806" i="94"/>
  <c r="MV806" i="94"/>
  <c r="MW805" i="94"/>
  <c r="MR805" i="94"/>
  <c r="MV805" i="94"/>
  <c r="MU805" i="94"/>
  <c r="MT805" i="94"/>
  <c r="MS805" i="94"/>
  <c r="MY805" i="94"/>
  <c r="MQ805" i="94"/>
  <c r="MX805" i="94"/>
  <c r="MP805" i="94"/>
  <c r="MY804" i="94"/>
  <c r="MQ804" i="94"/>
  <c r="MX804" i="94"/>
  <c r="MP804" i="94"/>
  <c r="MW804" i="94"/>
  <c r="MV804" i="94"/>
  <c r="MU804" i="94"/>
  <c r="MT804" i="94"/>
  <c r="MS804" i="94"/>
  <c r="MR804" i="94"/>
  <c r="MS803" i="94"/>
  <c r="MV803" i="94"/>
  <c r="MR803" i="94"/>
  <c r="MY803" i="94"/>
  <c r="MQ803" i="94"/>
  <c r="MX803" i="94"/>
  <c r="MP803" i="94"/>
  <c r="MW803" i="94"/>
  <c r="MU803" i="94"/>
  <c r="MT803" i="94"/>
  <c r="MU802" i="94"/>
  <c r="MT802" i="94"/>
  <c r="MS802" i="94"/>
  <c r="MR802" i="94"/>
  <c r="MY802" i="94"/>
  <c r="MQ802" i="94"/>
  <c r="MX802" i="94"/>
  <c r="MP802" i="94"/>
  <c r="MW802" i="94"/>
  <c r="MV802" i="94"/>
  <c r="MW801" i="94"/>
  <c r="MR801" i="94"/>
  <c r="MV801" i="94"/>
  <c r="MU801" i="94"/>
  <c r="MT801" i="94"/>
  <c r="MS801" i="94"/>
  <c r="MY801" i="94"/>
  <c r="MQ801" i="94"/>
  <c r="MX801" i="94"/>
  <c r="MP801" i="94"/>
  <c r="MY800" i="94"/>
  <c r="MQ800" i="94"/>
  <c r="MX800" i="94"/>
  <c r="MP800" i="94"/>
  <c r="MW800" i="94"/>
  <c r="MT800" i="94"/>
  <c r="MV800" i="94"/>
  <c r="MU800" i="94"/>
  <c r="MS800" i="94"/>
  <c r="MR800" i="94"/>
  <c r="MS799" i="94"/>
  <c r="MR799" i="94"/>
  <c r="MY799" i="94"/>
  <c r="MQ799" i="94"/>
  <c r="MX799" i="94"/>
  <c r="MP799" i="94"/>
  <c r="MW799" i="94"/>
  <c r="MV799" i="94"/>
  <c r="MU799" i="94"/>
  <c r="MT799" i="94"/>
  <c r="MU798" i="94"/>
  <c r="MX798" i="94"/>
  <c r="MT798" i="94"/>
  <c r="MS798" i="94"/>
  <c r="MR798" i="94"/>
  <c r="MP798" i="94"/>
  <c r="MY798" i="94"/>
  <c r="MQ798" i="94"/>
  <c r="MW798" i="94"/>
  <c r="MV798" i="94"/>
  <c r="MW797" i="94"/>
  <c r="MV797" i="94"/>
  <c r="MU797" i="94"/>
  <c r="MT797" i="94"/>
  <c r="MS797" i="94"/>
  <c r="MR797" i="94"/>
  <c r="MY797" i="94"/>
  <c r="MQ797" i="94"/>
  <c r="MX797" i="94"/>
  <c r="MP797" i="94"/>
  <c r="MY796" i="94"/>
  <c r="MQ796" i="94"/>
  <c r="MT796" i="94"/>
  <c r="MX796" i="94"/>
  <c r="MP796" i="94"/>
  <c r="MW796" i="94"/>
  <c r="MV796" i="94"/>
  <c r="MU796" i="94"/>
  <c r="MS796" i="94"/>
  <c r="MR796" i="94"/>
  <c r="MS795" i="94"/>
  <c r="MR795" i="94"/>
  <c r="MV795" i="94"/>
  <c r="MY795" i="94"/>
  <c r="MQ795" i="94"/>
  <c r="MX795" i="94"/>
  <c r="MP795" i="94"/>
  <c r="MW795" i="94"/>
  <c r="MU795" i="94"/>
  <c r="MT795" i="94"/>
  <c r="MU794" i="94"/>
  <c r="MT794" i="94"/>
  <c r="MS794" i="94"/>
  <c r="MX794" i="94"/>
  <c r="MR794" i="94"/>
  <c r="MY794" i="94"/>
  <c r="MQ794" i="94"/>
  <c r="MP794" i="94"/>
  <c r="MW794" i="94"/>
  <c r="MV794" i="94"/>
  <c r="MW793" i="94"/>
  <c r="MR793" i="94"/>
  <c r="MV793" i="94"/>
  <c r="MU793" i="94"/>
  <c r="MT793" i="94"/>
  <c r="MS793" i="94"/>
  <c r="MY793" i="94"/>
  <c r="MQ793" i="94"/>
  <c r="MX793" i="94"/>
  <c r="MP793" i="94"/>
  <c r="MY792" i="94"/>
  <c r="MQ792" i="94"/>
  <c r="MX792" i="94"/>
  <c r="MP792" i="94"/>
  <c r="MW792" i="94"/>
  <c r="MT792" i="94"/>
  <c r="MV792" i="94"/>
  <c r="MU792" i="94"/>
  <c r="MS792" i="94"/>
  <c r="MR792" i="94"/>
  <c r="MS791" i="94"/>
  <c r="MR791" i="94"/>
  <c r="MY791" i="94"/>
  <c r="MQ791" i="94"/>
  <c r="MX791" i="94"/>
  <c r="MP791" i="94"/>
  <c r="MV791" i="94"/>
  <c r="MW791" i="94"/>
  <c r="MU791" i="94"/>
  <c r="MT791" i="94"/>
  <c r="MU790" i="94"/>
  <c r="MP790" i="94"/>
  <c r="MT790" i="94"/>
  <c r="MS790" i="94"/>
  <c r="MR790" i="94"/>
  <c r="MY790" i="94"/>
  <c r="MQ790" i="94"/>
  <c r="MX790" i="94"/>
  <c r="MW790" i="94"/>
  <c r="MV790" i="94"/>
  <c r="MW789" i="94"/>
  <c r="MV789" i="94"/>
  <c r="MU789" i="94"/>
  <c r="MR789" i="94"/>
  <c r="MT789" i="94"/>
  <c r="MS789" i="94"/>
  <c r="MY789" i="94"/>
  <c r="MQ789" i="94"/>
  <c r="MX789" i="94"/>
  <c r="MP789" i="94"/>
  <c r="MY788" i="94"/>
  <c r="MQ788" i="94"/>
  <c r="MX788" i="94"/>
  <c r="MP788" i="94"/>
  <c r="MW788" i="94"/>
  <c r="MV788" i="94"/>
  <c r="MU788" i="94"/>
  <c r="MT788" i="94"/>
  <c r="MS788" i="94"/>
  <c r="MR788" i="94"/>
  <c r="MS787" i="94"/>
  <c r="MR787" i="94"/>
  <c r="MY787" i="94"/>
  <c r="MQ787" i="94"/>
  <c r="MX787" i="94"/>
  <c r="MP787" i="94"/>
  <c r="MV787" i="94"/>
  <c r="MW787" i="94"/>
  <c r="MU787" i="94"/>
  <c r="MT787" i="94"/>
  <c r="MU786" i="94"/>
  <c r="MX786" i="94"/>
  <c r="MT786" i="94"/>
  <c r="MS786" i="94"/>
  <c r="MP786" i="94"/>
  <c r="MR786" i="94"/>
  <c r="MY786" i="94"/>
  <c r="MQ786" i="94"/>
  <c r="MW786" i="94"/>
  <c r="MV786" i="94"/>
  <c r="MW785" i="94"/>
  <c r="MV785" i="94"/>
  <c r="MU785" i="94"/>
  <c r="MT785" i="94"/>
  <c r="MS785" i="94"/>
  <c r="MR785" i="94"/>
  <c r="MY785" i="94"/>
  <c r="MQ785" i="94"/>
  <c r="MX785" i="94"/>
  <c r="MP785" i="94"/>
  <c r="MY784" i="94"/>
  <c r="MQ784" i="94"/>
  <c r="MX784" i="94"/>
  <c r="MP784" i="94"/>
  <c r="MW784" i="94"/>
  <c r="MV784" i="94"/>
  <c r="MT784" i="94"/>
  <c r="MU784" i="94"/>
  <c r="MS784" i="94"/>
  <c r="MR784" i="94"/>
  <c r="MS783" i="94"/>
  <c r="MV783" i="94"/>
  <c r="MR783" i="94"/>
  <c r="MY783" i="94"/>
  <c r="MQ783" i="94"/>
  <c r="MX783" i="94"/>
  <c r="MP783" i="94"/>
  <c r="MW783" i="94"/>
  <c r="MU783" i="94"/>
  <c r="MT783" i="94"/>
  <c r="MU782" i="94"/>
  <c r="MT782" i="94"/>
  <c r="MS782" i="94"/>
  <c r="MX782" i="94"/>
  <c r="MR782" i="94"/>
  <c r="MY782" i="94"/>
  <c r="MQ782" i="94"/>
  <c r="MP782" i="94"/>
  <c r="MW782" i="94"/>
  <c r="MV782" i="94"/>
  <c r="MW781" i="94"/>
  <c r="MV781" i="94"/>
  <c r="MU781" i="94"/>
  <c r="MT781" i="94"/>
  <c r="MR781" i="94"/>
  <c r="MS781" i="94"/>
  <c r="MY781" i="94"/>
  <c r="MQ781" i="94"/>
  <c r="MX781" i="94"/>
  <c r="MP781" i="94"/>
  <c r="MY780" i="94"/>
  <c r="MQ780" i="94"/>
  <c r="MT780" i="94"/>
  <c r="MX780" i="94"/>
  <c r="MP780" i="94"/>
  <c r="MW780" i="94"/>
  <c r="MV780" i="94"/>
  <c r="MU780" i="94"/>
  <c r="MS780" i="94"/>
  <c r="MR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U571" i="94"/>
  <c r="A571"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D817" i="94" l="1"/>
  <c r="L826" i="94" s="1"/>
  <c r="L842" i="94" s="1"/>
  <c r="GD817" i="94"/>
  <c r="M938" i="94" s="1"/>
  <c r="BI817" i="94"/>
  <c r="M833" i="94" s="1"/>
  <c r="BA817" i="94"/>
  <c r="O830" i="94" s="1"/>
  <c r="O854" i="94" s="1"/>
  <c r="EE817" i="94"/>
  <c r="L835" i="94" s="1"/>
  <c r="BD817" i="94"/>
  <c r="M831" i="94" s="1"/>
  <c r="M857" i="94" s="1"/>
  <c r="Z817" i="94"/>
  <c r="M825" i="94" s="1"/>
  <c r="M839" i="94" s="1"/>
  <c r="LR817" i="94"/>
  <c r="BC817" i="94"/>
  <c r="L831" i="94" s="1"/>
  <c r="L857" i="94" s="1"/>
  <c r="EI817" i="94"/>
  <c r="K928" i="94" s="1"/>
  <c r="LS817" i="94"/>
  <c r="AM817" i="94"/>
  <c r="K828" i="94" s="1"/>
  <c r="K848" i="94" s="1"/>
  <c r="X817" i="94"/>
  <c r="K825" i="94" s="1"/>
  <c r="K839" i="94" s="1"/>
  <c r="AT817" i="94"/>
  <c r="M829" i="94" s="1"/>
  <c r="M851" i="94" s="1"/>
  <c r="EZ817" i="94"/>
  <c r="M931" i="94" s="1"/>
  <c r="FF817" i="94"/>
  <c r="N932" i="94" s="1"/>
  <c r="EU817" i="94"/>
  <c r="M930" i="94" s="1"/>
  <c r="AL817" i="94"/>
  <c r="O827" i="94" s="1"/>
  <c r="O845" i="94" s="1"/>
  <c r="AB817" i="94"/>
  <c r="O825" i="94" s="1"/>
  <c r="O839" i="94" s="1"/>
  <c r="FV817" i="94"/>
  <c r="O936" i="94" s="1"/>
  <c r="EG817" i="94"/>
  <c r="N835" i="94" s="1"/>
  <c r="BJ817" i="94"/>
  <c r="N833" i="94" s="1"/>
  <c r="BB817" i="94"/>
  <c r="K831" i="94" s="1"/>
  <c r="K857" i="94" s="1"/>
  <c r="EL817" i="94"/>
  <c r="N928" i="94" s="1"/>
  <c r="FO817" i="94"/>
  <c r="M934" i="94" s="1"/>
  <c r="AA817" i="94"/>
  <c r="N825" i="94" s="1"/>
  <c r="N839" i="94" s="1"/>
  <c r="FP817" i="94"/>
  <c r="N934" i="94" s="1"/>
  <c r="AZ817" i="94"/>
  <c r="N830" i="94" s="1"/>
  <c r="N854" i="94" s="1"/>
  <c r="AI817" i="94"/>
  <c r="L827" i="94" s="1"/>
  <c r="L845" i="94" s="1"/>
  <c r="FH817" i="94"/>
  <c r="K933" i="94" s="1"/>
  <c r="AW817" i="94"/>
  <c r="K830" i="94" s="1"/>
  <c r="K854" i="94" s="1"/>
  <c r="AF817" i="94"/>
  <c r="N826" i="94" s="1"/>
  <c r="N842" i="94" s="1"/>
  <c r="AO817" i="94"/>
  <c r="M828" i="94" s="1"/>
  <c r="M848" i="94" s="1"/>
  <c r="EY817" i="94"/>
  <c r="L931" i="94" s="1"/>
  <c r="FS817" i="94"/>
  <c r="L936" i="94" s="1"/>
  <c r="AP817" i="94"/>
  <c r="N828" i="94" s="1"/>
  <c r="N848" i="94" s="1"/>
  <c r="FL817" i="94"/>
  <c r="O933" i="94" s="1"/>
  <c r="FD817" i="94"/>
  <c r="L932" i="94" s="1"/>
  <c r="BG817" i="94"/>
  <c r="K833" i="94" s="1"/>
  <c r="EF817" i="94"/>
  <c r="M835" i="94" s="1"/>
  <c r="AU817" i="94"/>
  <c r="N829" i="94" s="1"/>
  <c r="N851" i="94" s="1"/>
  <c r="LZ817" i="94"/>
  <c r="LX817" i="94"/>
  <c r="ER817" i="94"/>
  <c r="O929" i="94" s="1"/>
  <c r="EV817" i="94"/>
  <c r="N930" i="94" s="1"/>
  <c r="EN817" i="94"/>
  <c r="K929" i="94" s="1"/>
  <c r="EK817" i="94"/>
  <c r="M928" i="94" s="1"/>
  <c r="FM817" i="94"/>
  <c r="K934" i="94" s="1"/>
  <c r="FE817" i="94"/>
  <c r="M932" i="94" s="1"/>
  <c r="FR817" i="94"/>
  <c r="K936" i="94" s="1"/>
  <c r="GC817" i="94"/>
  <c r="L938" i="94" s="1"/>
  <c r="ET817" i="94"/>
  <c r="L930" i="94" s="1"/>
  <c r="FG817" i="94"/>
  <c r="O932" i="94" s="1"/>
  <c r="GF817" i="94"/>
  <c r="O938" i="94" s="1"/>
  <c r="AE817" i="94"/>
  <c r="M826" i="94" s="1"/>
  <c r="M842" i="94" s="1"/>
  <c r="AV817" i="94"/>
  <c r="O829" i="94" s="1"/>
  <c r="O851" i="94" s="1"/>
  <c r="EH817" i="94"/>
  <c r="O835" i="94" s="1"/>
  <c r="AS817" i="94"/>
  <c r="L829" i="94" s="1"/>
  <c r="L851" i="94" s="1"/>
  <c r="LU817" i="94"/>
  <c r="GE817" i="94"/>
  <c r="N938" i="94" s="1"/>
  <c r="AX817" i="94"/>
  <c r="L830" i="94" s="1"/>
  <c r="L854" i="94" s="1"/>
  <c r="AK817" i="94"/>
  <c r="N827" i="94" s="1"/>
  <c r="N845" i="94" s="1"/>
  <c r="FC817" i="94"/>
  <c r="K932" i="94" s="1"/>
  <c r="LV817" i="94"/>
  <c r="AC817" i="94"/>
  <c r="K826" i="94" s="1"/>
  <c r="K842" i="94" s="1"/>
  <c r="BE817" i="94"/>
  <c r="N831" i="94" s="1"/>
  <c r="N857" i="94" s="1"/>
  <c r="FI817" i="94"/>
  <c r="L933" i="94" s="1"/>
  <c r="LQ817" i="94"/>
  <c r="EO817" i="94"/>
  <c r="L929" i="94" s="1"/>
  <c r="FU817" i="94"/>
  <c r="N936" i="94" s="1"/>
  <c r="BH817" i="94"/>
  <c r="L833" i="94" s="1"/>
  <c r="EX817" i="94"/>
  <c r="K931" i="94" s="1"/>
  <c r="EQ817" i="94"/>
  <c r="N929" i="94" s="1"/>
  <c r="EJ817" i="94"/>
  <c r="L928" i="94" s="1"/>
  <c r="Y817" i="94"/>
  <c r="L825" i="94" s="1"/>
  <c r="L839" i="94" s="1"/>
  <c r="AQ817" i="94"/>
  <c r="O828" i="94" s="1"/>
  <c r="O848" i="94" s="1"/>
  <c r="AR817" i="94"/>
  <c r="K829" i="94" s="1"/>
  <c r="K851" i="94" s="1"/>
  <c r="BF817" i="94"/>
  <c r="O831" i="94" s="1"/>
  <c r="O857" i="94" s="1"/>
  <c r="LT817" i="94"/>
  <c r="ES817" i="94"/>
  <c r="K930" i="94" s="1"/>
  <c r="HE817" i="94"/>
  <c r="O886" i="94" s="1"/>
  <c r="AJ817" i="94"/>
  <c r="M827" i="94" s="1"/>
  <c r="M845" i="94" s="1"/>
  <c r="EP817" i="94"/>
  <c r="M929" i="94" s="1"/>
  <c r="AG817" i="94"/>
  <c r="O826" i="94" s="1"/>
  <c r="O842" i="94" s="1"/>
  <c r="FB817" i="94"/>
  <c r="O931" i="94" s="1"/>
  <c r="FT817" i="94"/>
  <c r="M936" i="94" s="1"/>
  <c r="AN817" i="94"/>
  <c r="L828" i="94" s="1"/>
  <c r="L848" i="94" s="1"/>
  <c r="LY817" i="94"/>
  <c r="AY817" i="94"/>
  <c r="M830" i="94" s="1"/>
  <c r="M854" i="94" s="1"/>
  <c r="GX817" i="94"/>
  <c r="M885" i="94" s="1"/>
  <c r="FJ817" i="94"/>
  <c r="M933" i="94" s="1"/>
  <c r="HJ817" i="94"/>
  <c r="GH817" i="94"/>
  <c r="L882" i="94" s="1"/>
  <c r="GJ817" i="94"/>
  <c r="N882" i="94" s="1"/>
  <c r="GI817" i="94"/>
  <c r="M882" i="94" s="1"/>
  <c r="GY817" i="94"/>
  <c r="N885" i="94" s="1"/>
  <c r="HI817" i="94"/>
  <c r="MJ817" i="94"/>
  <c r="ML817" i="94"/>
  <c r="GG817" i="94"/>
  <c r="K882" i="94" s="1"/>
  <c r="MD817" i="94"/>
  <c r="HF817" i="94"/>
  <c r="HG817" i="94"/>
  <c r="HH817" i="94"/>
  <c r="GO817" i="94"/>
  <c r="N883" i="94" s="1"/>
  <c r="GP817" i="94"/>
  <c r="O883" i="94" s="1"/>
  <c r="IA817" i="94"/>
  <c r="MK817" i="94"/>
  <c r="HU817" i="94"/>
  <c r="HQ817" i="94"/>
  <c r="L889" i="94" s="1"/>
  <c r="GV817" i="94"/>
  <c r="K885" i="94" s="1"/>
  <c r="FK817" i="94"/>
  <c r="N933" i="94" s="1"/>
  <c r="EM817" i="94"/>
  <c r="O928" i="94" s="1"/>
  <c r="ED817" i="94"/>
  <c r="K835" i="94" s="1"/>
  <c r="LW817" i="94"/>
  <c r="GB817" i="94"/>
  <c r="K938" i="94" s="1"/>
  <c r="FA817" i="94"/>
  <c r="N931" i="94" s="1"/>
  <c r="BK817" i="94"/>
  <c r="O833" i="94" s="1"/>
  <c r="HO817" i="94"/>
  <c r="O888" i="94" s="1"/>
  <c r="HP817" i="94"/>
  <c r="K889" i="94" s="1"/>
  <c r="GU817" i="94"/>
  <c r="HK817" i="94"/>
  <c r="K888" i="94" s="1"/>
  <c r="EW817" i="94"/>
  <c r="O930" i="94" s="1"/>
  <c r="HL817" i="94"/>
  <c r="L888" i="94" s="1"/>
  <c r="HX817" i="94"/>
  <c r="GT817" i="94"/>
  <c r="HZ817" i="94"/>
  <c r="FQ817" i="94"/>
  <c r="O934" i="94" s="1"/>
  <c r="ME817" i="94"/>
  <c r="FN817" i="94"/>
  <c r="L934" i="94" s="1"/>
  <c r="AH817" i="94"/>
  <c r="K827" i="94" s="1"/>
  <c r="K845" i="94" s="1"/>
  <c r="JY817" i="94"/>
  <c r="L898" i="94" s="1"/>
  <c r="HT817" i="94"/>
  <c r="O889" i="94" s="1"/>
  <c r="IC817" i="94"/>
  <c r="H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H101" i="94"/>
  <c r="K919" i="94"/>
  <c r="P835" i="94"/>
  <c r="Q938" i="94" s="1"/>
  <c r="P932" i="94"/>
  <c r="P938" i="94"/>
  <c r="K935" i="94"/>
  <c r="K937" i="94" s="1"/>
  <c r="K939" i="94" s="1"/>
  <c r="P930" i="94"/>
  <c r="P936" i="94"/>
  <c r="K920" i="94"/>
  <c r="P826" i="94"/>
  <c r="Q929" i="94" s="1"/>
  <c r="P831" i="94"/>
  <c r="P857" i="94" s="1"/>
  <c r="P858" i="94" s="1"/>
  <c r="P859" i="94" s="1"/>
  <c r="N832" i="94"/>
  <c r="N834" i="94" s="1"/>
  <c r="N836" i="94" s="1"/>
  <c r="P933" i="94"/>
  <c r="P934" i="94"/>
  <c r="L924" i="94"/>
  <c r="M935" i="94"/>
  <c r="M937" i="94" s="1"/>
  <c r="M939" i="94" s="1"/>
  <c r="P829" i="94"/>
  <c r="P929" i="94"/>
  <c r="O887" i="94"/>
  <c r="P833" i="94"/>
  <c r="N887" i="94"/>
  <c r="L832" i="94"/>
  <c r="L834" i="94" s="1"/>
  <c r="L836" i="94" s="1"/>
  <c r="P825" i="94"/>
  <c r="P928" i="94"/>
  <c r="M887" i="94"/>
  <c r="P828" i="94"/>
  <c r="P848" i="94" s="1"/>
  <c r="O849" i="94" s="1"/>
  <c r="O850" i="94" s="1"/>
  <c r="N935" i="94"/>
  <c r="N937" i="94" s="1"/>
  <c r="N939" i="94" s="1"/>
  <c r="O832" i="94"/>
  <c r="O834" i="94" s="1"/>
  <c r="O836" i="94" s="1"/>
  <c r="O942" i="94" s="1"/>
  <c r="N884" i="94"/>
  <c r="M832" i="94"/>
  <c r="M834" i="94" s="1"/>
  <c r="M836" i="94" s="1"/>
  <c r="P830" i="94"/>
  <c r="L920" i="94"/>
  <c r="L921" i="94"/>
  <c r="K924" i="94"/>
  <c r="P931" i="94"/>
  <c r="N890" i="94"/>
  <c r="K884" i="94"/>
  <c r="K890" i="94"/>
  <c r="L935" i="94"/>
  <c r="L937" i="94" s="1"/>
  <c r="L939" i="94" s="1"/>
  <c r="O935" i="94"/>
  <c r="O937" i="94" s="1"/>
  <c r="O939" i="94" s="1"/>
  <c r="P888" i="94"/>
  <c r="O884" i="94"/>
  <c r="K923" i="94"/>
  <c r="P885" i="94"/>
  <c r="L887" i="94"/>
  <c r="K832" i="94"/>
  <c r="K834" i="94" s="1"/>
  <c r="L890" i="94"/>
  <c r="K887" i="94"/>
  <c r="M890" i="94"/>
  <c r="P1008" i="94"/>
  <c r="P827" i="94"/>
  <c r="P845" i="94" s="1"/>
  <c r="K846" i="94" s="1"/>
  <c r="K847" i="94" s="1"/>
  <c r="M884" i="94"/>
  <c r="O923" i="94"/>
  <c r="P866" i="94"/>
  <c r="P889" i="94"/>
  <c r="N923" i="94"/>
  <c r="L922" i="94"/>
  <c r="P867" i="94"/>
  <c r="K922" i="94"/>
  <c r="O890"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42" i="94" l="1"/>
  <c r="O843" i="94" s="1"/>
  <c r="O844" i="94" s="1"/>
  <c r="Q932" i="94"/>
  <c r="N942" i="94"/>
  <c r="N858" i="94"/>
  <c r="N859" i="94" s="1"/>
  <c r="Q934" i="94"/>
  <c r="M858" i="94"/>
  <c r="M859" i="94" s="1"/>
  <c r="K858" i="94"/>
  <c r="K859" i="94" s="1"/>
  <c r="O858" i="94"/>
  <c r="O859" i="94" s="1"/>
  <c r="L858" i="94"/>
  <c r="L859" i="94" s="1"/>
  <c r="P851" i="94"/>
  <c r="L852" i="94" s="1"/>
  <c r="L853" i="94" s="1"/>
  <c r="Q936" i="94"/>
  <c r="M942" i="94"/>
  <c r="N846" i="94"/>
  <c r="N847" i="94" s="1"/>
  <c r="L846" i="94"/>
  <c r="L847" i="94" s="1"/>
  <c r="L942" i="94"/>
  <c r="P832" i="94"/>
  <c r="Q931" i="94"/>
  <c r="K849" i="94"/>
  <c r="K850" i="94" s="1"/>
  <c r="P849" i="94"/>
  <c r="P850" i="94" s="1"/>
  <c r="P839" i="94"/>
  <c r="Q928" i="94"/>
  <c r="P884" i="94"/>
  <c r="Q933" i="94"/>
  <c r="P854" i="94"/>
  <c r="P919" i="94"/>
  <c r="P937" i="94"/>
  <c r="P939" i="94"/>
  <c r="P935" i="94"/>
  <c r="O846" i="94"/>
  <c r="O847" i="94" s="1"/>
  <c r="Q930" i="94"/>
  <c r="P846" i="94"/>
  <c r="P847" i="94" s="1"/>
  <c r="P834" i="94"/>
  <c r="P890" i="94"/>
  <c r="M846" i="94"/>
  <c r="M847" i="94" s="1"/>
  <c r="P887" i="94"/>
  <c r="P925" i="94"/>
  <c r="K836" i="94"/>
  <c r="P836" i="94" s="1"/>
  <c r="P880" i="94"/>
  <c r="P923" i="94"/>
  <c r="P918" i="94"/>
  <c r="H1041" i="94"/>
  <c r="P924" i="94"/>
  <c r="P896" i="94"/>
  <c r="P920" i="94"/>
  <c r="P922" i="94"/>
  <c r="P921" i="94"/>
  <c r="N849" i="94"/>
  <c r="N850" i="94" s="1"/>
  <c r="L849" i="94"/>
  <c r="L850" i="94" s="1"/>
  <c r="M849" i="94"/>
  <c r="M850" i="94" s="1"/>
  <c r="P894" i="94"/>
  <c r="P1010" i="94" s="1"/>
  <c r="P869" i="94"/>
  <c r="M443" i="72"/>
  <c r="S69" i="75"/>
  <c r="L843" i="94" l="1"/>
  <c r="L844" i="94" s="1"/>
  <c r="M843" i="94"/>
  <c r="M844" i="94" s="1"/>
  <c r="K852" i="94"/>
  <c r="K853" i="94" s="1"/>
  <c r="K843" i="94"/>
  <c r="K844" i="94" s="1"/>
  <c r="N843" i="94"/>
  <c r="N844" i="94" s="1"/>
  <c r="P843" i="94"/>
  <c r="P844" i="94" s="1"/>
  <c r="O852" i="94"/>
  <c r="O853" i="94" s="1"/>
  <c r="M852" i="94"/>
  <c r="M853" i="94" s="1"/>
  <c r="N852" i="94"/>
  <c r="N853" i="94" s="1"/>
  <c r="P852" i="94"/>
  <c r="P853" i="94" s="1"/>
  <c r="K942" i="94"/>
  <c r="P840" i="94"/>
  <c r="P841" i="94" s="1"/>
  <c r="N840" i="94"/>
  <c r="N841" i="94" s="1"/>
  <c r="K840" i="94"/>
  <c r="K841" i="94" s="1"/>
  <c r="O840" i="94"/>
  <c r="O841" i="94" s="1"/>
  <c r="L840" i="94"/>
  <c r="L841" i="94" s="1"/>
  <c r="M840" i="94"/>
  <c r="M841" i="94" s="1"/>
  <c r="M855" i="94"/>
  <c r="M856" i="94" s="1"/>
  <c r="K855" i="94"/>
  <c r="K856" i="94" s="1"/>
  <c r="L855" i="94"/>
  <c r="L856" i="94" s="1"/>
  <c r="P855" i="94"/>
  <c r="P856" i="94" s="1"/>
  <c r="N855" i="94"/>
  <c r="N856" i="94" s="1"/>
  <c r="O855" i="94"/>
  <c r="O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21" i="75" l="1"/>
  <c r="J20" i="75"/>
  <c r="J788" i="94"/>
  <c r="L788" i="94" s="1"/>
  <c r="M788" i="94" s="1"/>
  <c r="J17" i="75"/>
  <c r="J786" i="94" s="1"/>
  <c r="L786" i="94" s="1"/>
  <c r="M786" i="94" s="1"/>
  <c r="F36" i="78"/>
  <c r="F482" i="94" s="1"/>
  <c r="L18" i="75"/>
  <c r="M18" i="75" s="1"/>
  <c r="L32" i="68"/>
  <c r="F84" i="92"/>
  <c r="D56" i="86"/>
  <c r="F25" i="74"/>
  <c r="B14" i="87" s="1"/>
  <c r="C25" i="74"/>
  <c r="B11" i="87" s="1"/>
  <c r="E57" i="74"/>
  <c r="B23" i="87" s="1"/>
  <c r="B25" i="74"/>
  <c r="I25" i="74"/>
  <c r="I1053" i="94" s="1"/>
  <c r="D25" i="74"/>
  <c r="B12" i="87" s="1"/>
  <c r="C57" i="74"/>
  <c r="C1085" i="94" s="1"/>
  <c r="B44" i="87"/>
  <c r="E25" i="74"/>
  <c r="B13" i="87" s="1"/>
  <c r="H1117" i="94"/>
  <c r="B32" i="87"/>
  <c r="B41" i="87"/>
  <c r="B33" i="87"/>
  <c r="B35" i="87"/>
  <c r="F57" i="74"/>
  <c r="D57" i="74"/>
  <c r="B22" i="87" s="1"/>
  <c r="B26" i="87"/>
  <c r="B57" i="74"/>
  <c r="B20" i="87" s="1"/>
  <c r="B37" i="87"/>
  <c r="J25" i="74"/>
  <c r="B38" i="87"/>
  <c r="K25" i="74"/>
  <c r="B19" i="87" s="1"/>
  <c r="H25" i="74"/>
  <c r="B16" i="87" s="1"/>
  <c r="G25" i="74"/>
  <c r="B15" i="87" s="1"/>
  <c r="E65" i="89"/>
  <c r="H18" i="87"/>
  <c r="J1055" i="94"/>
  <c r="D35" i="74"/>
  <c r="D1063" i="94" s="1"/>
  <c r="H12" i="87"/>
  <c r="D1055" i="94"/>
  <c r="C11" i="86"/>
  <c r="B1068" i="94"/>
  <c r="H27" i="87"/>
  <c r="I1087" i="94"/>
  <c r="P422" i="94"/>
  <c r="C68" i="74"/>
  <c r="C1096" i="94" s="1"/>
  <c r="B31" i="87"/>
  <c r="C1117" i="94"/>
  <c r="E16" i="87"/>
  <c r="H1054" i="94"/>
  <c r="D99" i="74"/>
  <c r="D1127" i="94" s="1"/>
  <c r="D1120" i="94"/>
  <c r="H23" i="87"/>
  <c r="E1087" i="94"/>
  <c r="F98" i="74"/>
  <c r="F1126" i="94" s="1"/>
  <c r="H34" i="87"/>
  <c r="F1119" i="94"/>
  <c r="H10" i="87"/>
  <c r="B1055" i="94"/>
  <c r="H39" i="87"/>
  <c r="K1119" i="94"/>
  <c r="G35" i="74"/>
  <c r="G1063" i="94" s="1"/>
  <c r="H15" i="87"/>
  <c r="G1055" i="94"/>
  <c r="B34" i="87"/>
  <c r="F1117" i="94"/>
  <c r="J35" i="74"/>
  <c r="J1063" i="94" s="1"/>
  <c r="C12" i="86"/>
  <c r="B1069" i="94"/>
  <c r="I68" i="74"/>
  <c r="I1096" i="94" s="1"/>
  <c r="I1088" i="94"/>
  <c r="H37" i="87"/>
  <c r="I1119" i="94"/>
  <c r="J98" i="74"/>
  <c r="J1126" i="94" s="1"/>
  <c r="H38" i="87"/>
  <c r="J1119" i="94"/>
  <c r="H14" i="87"/>
  <c r="F1055" i="94"/>
  <c r="H43" i="87"/>
  <c r="E1149" i="94"/>
  <c r="H19" i="87"/>
  <c r="K1055" i="94"/>
  <c r="H13" i="87"/>
  <c r="E1055" i="94"/>
  <c r="E21" i="87"/>
  <c r="C1086" i="94"/>
  <c r="E68" i="74"/>
  <c r="E1096" i="94" s="1"/>
  <c r="E1088" i="94"/>
  <c r="H11" i="87"/>
  <c r="C1055" i="94"/>
  <c r="I35" i="74"/>
  <c r="I1063" i="94" s="1"/>
  <c r="H17" i="87"/>
  <c r="I1055" i="94"/>
  <c r="F36" i="74"/>
  <c r="F1064" i="94" s="1"/>
  <c r="F1056" i="94"/>
  <c r="H42" i="87"/>
  <c r="D1149" i="94"/>
  <c r="C127" i="74"/>
  <c r="C1155" i="94" s="1"/>
  <c r="E41" i="87"/>
  <c r="C1148" i="94"/>
  <c r="B29" i="87"/>
  <c r="K1085" i="94"/>
  <c r="C36" i="74"/>
  <c r="C1064" i="94" s="1"/>
  <c r="C1056" i="94"/>
  <c r="C67" i="74"/>
  <c r="C1095" i="94" s="1"/>
  <c r="H21" i="87"/>
  <c r="C1087" i="94"/>
  <c r="E129" i="74"/>
  <c r="E1157" i="94" s="1"/>
  <c r="E1150" i="94"/>
  <c r="I98" i="74"/>
  <c r="I1126" i="94" s="1"/>
  <c r="K35" i="74"/>
  <c r="K1063" i="94" s="1"/>
  <c r="F99" i="74"/>
  <c r="F1127" i="94" s="1"/>
  <c r="K40" i="66"/>
  <c r="I65" i="94"/>
  <c r="I99" i="74"/>
  <c r="I1127" i="94" s="1"/>
  <c r="I1120" i="94"/>
  <c r="C129" i="74"/>
  <c r="C1157" i="94" s="1"/>
  <c r="C1150" i="94"/>
  <c r="H68" i="74"/>
  <c r="H1096" i="94" s="1"/>
  <c r="H1088" i="94"/>
  <c r="R1082" i="94" s="1"/>
  <c r="S1082" i="94" s="1"/>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F68" i="78"/>
  <c r="E514" i="94"/>
  <c r="F514" i="94" s="1"/>
  <c r="I36" i="74"/>
  <c r="I1064" i="94" s="1"/>
  <c r="I1056" i="94"/>
  <c r="F129" i="74"/>
  <c r="F1157" i="94" s="1"/>
  <c r="F1150" i="94"/>
  <c r="H24" i="87"/>
  <c r="F1087" i="94"/>
  <c r="T1833" i="94"/>
  <c r="N775" i="94"/>
  <c r="P775" i="94"/>
  <c r="O65" i="94"/>
  <c r="B1117" i="94"/>
  <c r="H98" i="74"/>
  <c r="H1126" i="94" s="1"/>
  <c r="H36" i="87"/>
  <c r="H1119" i="94"/>
  <c r="H29" i="87"/>
  <c r="K1087" i="94"/>
  <c r="D128" i="74"/>
  <c r="D1156" i="94" s="1"/>
  <c r="B39" i="87"/>
  <c r="K1117" i="94"/>
  <c r="R1144" i="94"/>
  <c r="S1144" i="94" s="1"/>
  <c r="B40" i="87"/>
  <c r="B1147" i="94"/>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H67" i="74"/>
  <c r="H1095" i="94" s="1"/>
  <c r="H26" i="87"/>
  <c r="H1087" i="94"/>
  <c r="E39" i="87"/>
  <c r="K1118" i="94"/>
  <c r="C99" i="74"/>
  <c r="C1127" i="94" s="1"/>
  <c r="C1120" i="94"/>
  <c r="H44" i="87"/>
  <c r="F1149" i="94"/>
  <c r="H30" i="87"/>
  <c r="B1119" i="94"/>
  <c r="H41" i="87"/>
  <c r="C1149" i="94"/>
  <c r="H35" i="87"/>
  <c r="G1119"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J789" i="94"/>
  <c r="L789" i="94" s="1"/>
  <c r="M789" i="94" s="1"/>
  <c r="F37" i="78"/>
  <c r="F483" i="94" s="1"/>
  <c r="F35" i="78"/>
  <c r="J22" i="75"/>
  <c r="J791" i="94" s="1"/>
  <c r="L791" i="94" s="1"/>
  <c r="M791" i="94" s="1"/>
  <c r="C21" i="90"/>
  <c r="E31" i="86"/>
  <c r="F16" i="86"/>
  <c r="M132" i="78"/>
  <c r="M149" i="78" s="1"/>
  <c r="M151" i="78" s="1"/>
  <c r="M153" i="78" s="1"/>
  <c r="S132"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H65" i="82"/>
  <c r="G12" i="86"/>
  <c r="G99" i="74"/>
  <c r="G1127" i="94" s="1"/>
  <c r="C30" i="74"/>
  <c r="C1058" i="94" s="1"/>
  <c r="H16" i="86"/>
  <c r="I16" i="86"/>
  <c r="G51" i="86"/>
  <c r="C52" i="86"/>
  <c r="I31" i="86"/>
  <c r="G52" i="86"/>
  <c r="D51" i="86"/>
  <c r="H51" i="86"/>
  <c r="F63" i="74"/>
  <c r="F31"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I45" i="82" l="1"/>
  <c r="B24" i="87"/>
  <c r="B39" i="74"/>
  <c r="C10" i="86" s="1"/>
  <c r="C45" i="82"/>
  <c r="J787" i="94"/>
  <c r="L787" i="94" s="1"/>
  <c r="M787" i="94" s="1"/>
  <c r="M817" i="94" s="1"/>
  <c r="M818" i="94" s="1"/>
  <c r="D1053" i="94"/>
  <c r="B1085" i="94"/>
  <c r="C1053" i="94"/>
  <c r="G45" i="82"/>
  <c r="H45" i="82"/>
  <c r="C65" i="82"/>
  <c r="H1053" i="94"/>
  <c r="K45" i="82"/>
  <c r="B21" i="87"/>
  <c r="F1053" i="94"/>
  <c r="F45" i="82"/>
  <c r="M154" i="75"/>
  <c r="L154" i="75"/>
  <c r="H18" i="84"/>
  <c r="J18" i="84" s="1"/>
  <c r="F1147" i="94"/>
  <c r="B43" i="87"/>
  <c r="J1085" i="94"/>
  <c r="B30" i="87"/>
  <c r="I1085" i="94"/>
  <c r="E1147" i="94"/>
  <c r="G1117" i="94"/>
  <c r="E1117" i="94"/>
  <c r="B28" i="87"/>
  <c r="G1085" i="94"/>
  <c r="B27" i="87"/>
  <c r="B25" i="87"/>
  <c r="E1085" i="94"/>
  <c r="I1117" i="94"/>
  <c r="E1053" i="94"/>
  <c r="C39" i="74"/>
  <c r="D39" i="74" s="1"/>
  <c r="H1085" i="94"/>
  <c r="B17" i="87"/>
  <c r="K1053" i="94"/>
  <c r="D1085" i="94"/>
  <c r="C1147" i="94"/>
  <c r="G1053" i="94"/>
  <c r="J1117" i="94"/>
  <c r="B1067" i="94"/>
  <c r="E65" i="82"/>
  <c r="E1091" i="94"/>
  <c r="J1053" i="94"/>
  <c r="B36" i="87"/>
  <c r="B45" i="82"/>
  <c r="B18" i="87"/>
  <c r="C75" i="84"/>
  <c r="K75" i="84" s="1"/>
  <c r="K77" i="84" s="1"/>
  <c r="B1053" i="94"/>
  <c r="B10" i="87"/>
  <c r="F1091" i="94"/>
  <c r="F1085" i="94"/>
  <c r="D1117" i="94"/>
  <c r="E14" i="87"/>
  <c r="F1054" i="94"/>
  <c r="E11" i="87"/>
  <c r="C1054" i="94"/>
  <c r="E36" i="87"/>
  <c r="H1118" i="94"/>
  <c r="E26" i="87"/>
  <c r="H1086" i="94"/>
  <c r="B163" i="95"/>
  <c r="B476" i="91"/>
  <c r="B187" i="95"/>
  <c r="B555" i="91"/>
  <c r="B182" i="95"/>
  <c r="B538" i="91"/>
  <c r="B78" i="95"/>
  <c r="B187" i="91"/>
  <c r="B150" i="95"/>
  <c r="B425" i="91"/>
  <c r="E30" i="87"/>
  <c r="B1118" i="94"/>
  <c r="E28" i="87"/>
  <c r="J1086" i="94"/>
  <c r="E32" i="87"/>
  <c r="D1118" i="94"/>
  <c r="E33" i="87"/>
  <c r="E1118" i="94"/>
  <c r="B91" i="95"/>
  <c r="B238" i="91"/>
  <c r="B54" i="95"/>
  <c r="B108" i="91"/>
  <c r="B67" i="95"/>
  <c r="B159" i="91"/>
  <c r="H92" i="73"/>
  <c r="T1836" i="94"/>
  <c r="H1262" i="94"/>
  <c r="Q998" i="94"/>
  <c r="K65" i="94"/>
  <c r="E20" i="87"/>
  <c r="B1086" i="94"/>
  <c r="B178" i="95"/>
  <c r="B521" i="91"/>
  <c r="B48" i="95"/>
  <c r="B97" i="91"/>
  <c r="B96" i="95"/>
  <c r="B255" i="91"/>
  <c r="E127" i="74"/>
  <c r="E1155" i="94" s="1"/>
  <c r="E43" i="87"/>
  <c r="E1148" i="94"/>
  <c r="E44" i="87"/>
  <c r="F1148" i="94"/>
  <c r="F65" i="82"/>
  <c r="E24" i="87"/>
  <c r="F1086" i="94"/>
  <c r="G97" i="74"/>
  <c r="G1125" i="94" s="1"/>
  <c r="E35" i="87"/>
  <c r="G1118" i="94"/>
  <c r="B30" i="95"/>
  <c r="B29" i="91"/>
  <c r="B82" i="95"/>
  <c r="B204" i="91"/>
  <c r="B110" i="95"/>
  <c r="B300" i="91"/>
  <c r="E29" i="87"/>
  <c r="K1086" i="94"/>
  <c r="E40" i="87"/>
  <c r="B1148" i="94"/>
  <c r="E42" i="87"/>
  <c r="D1148" i="94"/>
  <c r="E17" i="87"/>
  <c r="I1054" i="94"/>
  <c r="E31" i="87"/>
  <c r="C1118" i="94"/>
  <c r="B72" i="95"/>
  <c r="B176" i="91"/>
  <c r="B144" i="95"/>
  <c r="B414" i="91"/>
  <c r="B38" i="95"/>
  <c r="B63" i="91"/>
  <c r="B126" i="95"/>
  <c r="B346" i="91"/>
  <c r="G65" i="82"/>
  <c r="E25" i="87"/>
  <c r="G1086" i="94"/>
  <c r="E10" i="87"/>
  <c r="B1054" i="94"/>
  <c r="E23" i="87"/>
  <c r="E1086" i="94"/>
  <c r="E12" i="87"/>
  <c r="D1054" i="94"/>
  <c r="B139" i="95"/>
  <c r="B397" i="91"/>
  <c r="B158" i="95"/>
  <c r="B459" i="91"/>
  <c r="B102" i="95"/>
  <c r="B266" i="91"/>
  <c r="B192" i="95"/>
  <c r="B572" i="91"/>
  <c r="R1114" i="94"/>
  <c r="S1114" i="94" s="1"/>
  <c r="E13" i="87"/>
  <c r="E1054" i="94"/>
  <c r="E15" i="87"/>
  <c r="G1054" i="94"/>
  <c r="E34" i="87"/>
  <c r="F1118" i="94"/>
  <c r="E37" i="87"/>
  <c r="I1118" i="94"/>
  <c r="E27" i="87"/>
  <c r="I1086" i="94"/>
  <c r="B115" i="95"/>
  <c r="B317" i="91"/>
  <c r="B58" i="95"/>
  <c r="B125" i="91"/>
  <c r="B154" i="95"/>
  <c r="B442" i="91"/>
  <c r="B43" i="95"/>
  <c r="B80" i="91"/>
  <c r="B120" i="95"/>
  <c r="B334" i="91"/>
  <c r="B86" i="95"/>
  <c r="B221" i="91"/>
  <c r="F34" i="78"/>
  <c r="F481" i="94"/>
  <c r="F480" i="94" s="1"/>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J151" i="78"/>
  <c r="J153" i="78" s="1"/>
  <c r="E3" i="86"/>
  <c r="P141" i="75"/>
  <c r="M152" i="75"/>
  <c r="P114" i="75"/>
  <c r="Q58" i="73"/>
  <c r="Q1228" i="94" s="1"/>
  <c r="G101" i="90"/>
  <c r="G75" i="84" l="1"/>
  <c r="G77" i="84" s="1"/>
  <c r="K37" i="84"/>
  <c r="C77" i="84"/>
  <c r="C81" i="84" s="1"/>
  <c r="E75" i="84"/>
  <c r="E77" i="84" s="1"/>
  <c r="I75" i="84"/>
  <c r="I77" i="84" s="1"/>
  <c r="D10" i="86"/>
  <c r="C40" i="84"/>
  <c r="C1067" i="94"/>
  <c r="D1067" i="94"/>
  <c r="E39" i="74"/>
  <c r="E10" i="86"/>
  <c r="F1221" i="94"/>
  <c r="I45" i="73"/>
  <c r="F1215" i="94"/>
  <c r="I1215" i="94" s="1"/>
  <c r="H57" i="73"/>
  <c r="H1227" i="94" s="1"/>
  <c r="F1227" i="94"/>
  <c r="I1227" i="94" s="1"/>
  <c r="H63" i="73"/>
  <c r="H1233" i="94" s="1"/>
  <c r="F1233" i="94"/>
  <c r="F1219" i="94"/>
  <c r="I1225" i="94"/>
  <c r="I58" i="73"/>
  <c r="F1228" i="94"/>
  <c r="I1228" i="94" s="1"/>
  <c r="I1232" i="94"/>
  <c r="E30" i="74"/>
  <c r="E1058" i="94" s="1"/>
  <c r="D1058" i="94"/>
  <c r="N1232" i="94"/>
  <c r="N1225" i="94"/>
  <c r="E17" i="72"/>
  <c r="E1672" i="94" s="1"/>
  <c r="O1920" i="94"/>
  <c r="G62" i="73"/>
  <c r="Q167" i="75"/>
  <c r="H94" i="94"/>
  <c r="Q169" i="75"/>
  <c r="H96" i="94"/>
  <c r="P127" i="75"/>
  <c r="I55" i="73"/>
  <c r="H55" i="73"/>
  <c r="H1225" i="94" s="1"/>
  <c r="I59" i="73"/>
  <c r="H59" i="73"/>
  <c r="H1229" i="94" s="1"/>
  <c r="P153" i="75"/>
  <c r="I62" i="73"/>
  <c r="M48" i="75"/>
  <c r="M49" i="75" s="1"/>
  <c r="H178" i="75" s="1"/>
  <c r="Q165" i="75"/>
  <c r="H65" i="66"/>
  <c r="H90" i="94" s="1"/>
  <c r="H64" i="66"/>
  <c r="H89" i="94" s="1"/>
  <c r="K67" i="75"/>
  <c r="G52" i="73"/>
  <c r="G42" i="73"/>
  <c r="G45" i="73"/>
  <c r="G58" i="73"/>
  <c r="G57" i="73"/>
  <c r="G49" i="73"/>
  <c r="I49" i="73" s="1"/>
  <c r="E12" i="72"/>
  <c r="E1667" i="94" s="1"/>
  <c r="G64" i="73"/>
  <c r="G51" i="73"/>
  <c r="I51" i="73" s="1"/>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80" i="84" l="1"/>
  <c r="B14" i="74"/>
  <c r="B1042" i="94" s="1"/>
  <c r="E53" i="82"/>
  <c r="F30" i="74"/>
  <c r="F1058" i="94" s="1"/>
  <c r="E1067" i="94"/>
  <c r="F39" i="74"/>
  <c r="G10" i="86" s="1"/>
  <c r="F10" i="86"/>
  <c r="N66" i="73"/>
  <c r="K1236" i="94"/>
  <c r="N1236" i="94" s="1"/>
  <c r="I1230" i="94"/>
  <c r="N1230" i="94"/>
  <c r="N65" i="73"/>
  <c r="K1235" i="94"/>
  <c r="F1230" i="94"/>
  <c r="N1211" i="94"/>
  <c r="I66" i="73"/>
  <c r="F1236" i="94"/>
  <c r="I1236" i="94" s="1"/>
  <c r="M43" i="73"/>
  <c r="M1213" i="94" s="1"/>
  <c r="K1213" i="94"/>
  <c r="N1213" i="94" s="1"/>
  <c r="I1211" i="94"/>
  <c r="I1216" i="94" s="1"/>
  <c r="F1216" i="94"/>
  <c r="K463" i="73"/>
  <c r="K1633" i="94"/>
  <c r="I52" i="73"/>
  <c r="F1222" i="94"/>
  <c r="I1222" i="94" s="1"/>
  <c r="N1630" i="94"/>
  <c r="N1629" i="94"/>
  <c r="I1218" i="94"/>
  <c r="M45" i="73"/>
  <c r="M1215" i="94" s="1"/>
  <c r="K1215" i="94"/>
  <c r="N1215" i="94" s="1"/>
  <c r="K1230" i="94"/>
  <c r="L43" i="73"/>
  <c r="L1213" i="94" s="1"/>
  <c r="G1213" i="94"/>
  <c r="L51" i="73"/>
  <c r="G1221" i="94"/>
  <c r="I1221" i="94" s="1"/>
  <c r="L52" i="73"/>
  <c r="G1222" i="94"/>
  <c r="L50" i="73"/>
  <c r="G1220" i="94"/>
  <c r="I1220" i="94" s="1"/>
  <c r="L64" i="73"/>
  <c r="L1234" i="94" s="1"/>
  <c r="G1234" i="94"/>
  <c r="I1234" i="94" s="1"/>
  <c r="L65" i="73"/>
  <c r="L1235" i="94" s="1"/>
  <c r="G1235" i="94"/>
  <c r="I1235" i="94" s="1"/>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J460" i="73"/>
  <c r="N59" i="73"/>
  <c r="M59" i="73"/>
  <c r="M1229" i="94" s="1"/>
  <c r="H65" i="73"/>
  <c r="H1235" i="94" s="1"/>
  <c r="F67" i="73"/>
  <c r="I65" i="73"/>
  <c r="O19" i="86"/>
  <c r="O23" i="86" s="1"/>
  <c r="O25" i="86" s="1"/>
  <c r="O31" i="86" s="1"/>
  <c r="N56" i="73"/>
  <c r="K60" i="73"/>
  <c r="M56" i="73"/>
  <c r="M1226" i="94" s="1"/>
  <c r="I61" i="66"/>
  <c r="G30" i="74" l="1"/>
  <c r="G1058" i="94" s="1"/>
  <c r="C14" i="74"/>
  <c r="C1042" i="94" s="1"/>
  <c r="D14" i="74"/>
  <c r="D1042" i="94" s="1"/>
  <c r="F14" i="74"/>
  <c r="F1042" i="94" s="1"/>
  <c r="C52" i="84"/>
  <c r="I52" i="84" s="1"/>
  <c r="E14" i="74"/>
  <c r="E1042" i="94" s="1"/>
  <c r="I1237" i="94"/>
  <c r="N67" i="73"/>
  <c r="F1237" i="94"/>
  <c r="F1067" i="94"/>
  <c r="G39" i="74"/>
  <c r="H10" i="86" s="1"/>
  <c r="K1216" i="94"/>
  <c r="J600" i="94"/>
  <c r="J601" i="94" s="1"/>
  <c r="J603" i="94" s="1"/>
  <c r="F1223" i="94"/>
  <c r="N1216" i="94"/>
  <c r="H8" i="88"/>
  <c r="I8" i="88" s="1"/>
  <c r="N1235" i="94"/>
  <c r="N1237" i="94" s="1"/>
  <c r="K1237" i="94"/>
  <c r="M600" i="94"/>
  <c r="M601" i="94" s="1"/>
  <c r="M603" i="94" s="1"/>
  <c r="I1223" i="94"/>
  <c r="N1003" i="94"/>
  <c r="Q100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P43" i="78"/>
  <c r="N60" i="73"/>
  <c r="I46" i="73"/>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30" i="74" l="1"/>
  <c r="H1058" i="94" s="1"/>
  <c r="G53" i="82"/>
  <c r="E52" i="84"/>
  <c r="K52" i="84"/>
  <c r="G52" i="84"/>
  <c r="G1042" i="94"/>
  <c r="C53" i="84"/>
  <c r="I53" i="84" s="1"/>
  <c r="I54" i="84" s="1"/>
  <c r="I56" i="84" s="1"/>
  <c r="I64" i="84" s="1"/>
  <c r="H1239" i="94"/>
  <c r="F1239" i="94"/>
  <c r="N1634" i="94"/>
  <c r="O1634" i="94" s="1"/>
  <c r="Q229" i="75"/>
  <c r="J604" i="94"/>
  <c r="G1067" i="94"/>
  <c r="H39" i="74"/>
  <c r="H20" i="84"/>
  <c r="B16" i="74"/>
  <c r="L4" i="95" s="1"/>
  <c r="E15" i="74"/>
  <c r="O2083" i="94"/>
  <c r="O2084" i="94" s="1"/>
  <c r="O2077" i="94"/>
  <c r="O2078" i="94" s="1"/>
  <c r="I1941" i="94"/>
  <c r="N1631" i="94"/>
  <c r="O1402" i="94"/>
  <c r="AE562" i="94"/>
  <c r="AE559" i="94"/>
  <c r="M1478" i="94"/>
  <c r="L1478" i="94" s="1"/>
  <c r="M1475" i="94"/>
  <c r="L1475" i="94" s="1"/>
  <c r="AE560" i="94"/>
  <c r="AE563" i="94"/>
  <c r="AE561" i="94"/>
  <c r="AE564" i="94"/>
  <c r="D15" i="74"/>
  <c r="M1239" i="94"/>
  <c r="C15" i="74"/>
  <c r="F15" i="74"/>
  <c r="B1043" i="94"/>
  <c r="G15" i="74"/>
  <c r="G1043" i="94" s="1"/>
  <c r="K1239"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K53" i="84"/>
  <c r="K54" i="84" s="1"/>
  <c r="K56" i="84" s="1"/>
  <c r="K64" i="84" s="1"/>
  <c r="E53" i="84"/>
  <c r="E54" i="84" s="1"/>
  <c r="E56" i="84" s="1"/>
  <c r="E64" i="84" s="1"/>
  <c r="G16" i="74"/>
  <c r="G1044" i="94" s="1"/>
  <c r="C1043" i="94"/>
  <c r="E1043" i="94"/>
  <c r="D1043" i="94"/>
  <c r="B21" i="74"/>
  <c r="K7" i="74" s="1"/>
  <c r="K1035" i="94" s="1"/>
  <c r="H1042" i="94"/>
  <c r="O58" i="72"/>
  <c r="O1713" i="94" s="1"/>
  <c r="J4" i="91"/>
  <c r="C54" i="84"/>
  <c r="C56" i="84" s="1"/>
  <c r="C64" i="84" s="1"/>
  <c r="K5" i="74"/>
  <c r="K1033" i="94" s="1"/>
  <c r="E16" i="74"/>
  <c r="E1044" i="94" s="1"/>
  <c r="B19" i="74"/>
  <c r="B1047" i="94" s="1"/>
  <c r="B1044" i="94"/>
  <c r="H1067" i="94"/>
  <c r="I39" i="74"/>
  <c r="I10" i="86"/>
  <c r="C16" i="74"/>
  <c r="C1044" i="94" s="1"/>
  <c r="AF562" i="94"/>
  <c r="N1633" i="94"/>
  <c r="K1634" i="94"/>
  <c r="D16" i="74"/>
  <c r="D1044" i="94" s="1"/>
  <c r="F1043" i="94"/>
  <c r="F16" i="74"/>
  <c r="F21" i="74" s="1"/>
  <c r="AF559" i="94"/>
  <c r="P58" i="72"/>
  <c r="P1714" i="94"/>
  <c r="J612" i="94"/>
  <c r="P1233" i="94"/>
  <c r="O86" i="75"/>
  <c r="O87" i="75" s="1"/>
  <c r="M86" i="75"/>
  <c r="M87" i="75" s="1"/>
  <c r="K86" i="75"/>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K87" i="75"/>
  <c r="P86" i="75"/>
  <c r="P87" i="75" s="1"/>
  <c r="AF116" i="78"/>
  <c r="P71" i="75"/>
  <c r="P72" i="75" s="1"/>
  <c r="K464" i="73"/>
  <c r="A9" i="83"/>
  <c r="H19" i="84"/>
  <c r="AF113" i="78"/>
  <c r="D17" i="83"/>
  <c r="F16" i="85"/>
  <c r="K19" i="88"/>
  <c r="I39" i="88" s="1"/>
  <c r="J166" i="78"/>
  <c r="C33" i="86"/>
  <c r="D13" i="86"/>
  <c r="H16" i="74"/>
  <c r="H1044" i="94" s="1"/>
  <c r="E13" i="86"/>
  <c r="I53" i="82"/>
  <c r="J30" i="74"/>
  <c r="J1058" i="94" s="1"/>
  <c r="L240" i="72"/>
  <c r="K240" i="72"/>
  <c r="I23" i="74"/>
  <c r="I1051" i="94" s="1"/>
  <c r="J13" i="74"/>
  <c r="I15" i="74"/>
  <c r="I1043" i="94" s="1"/>
  <c r="I14" i="74"/>
  <c r="I13" i="86"/>
  <c r="H13" i="86"/>
  <c r="F13" i="86"/>
  <c r="G13" i="86"/>
  <c r="G56" i="84" l="1"/>
  <c r="G64" i="84" s="1"/>
  <c r="G21" i="74"/>
  <c r="G1049" i="94" s="1"/>
  <c r="G19" i="74"/>
  <c r="G1047" i="94" s="1"/>
  <c r="E19" i="74"/>
  <c r="E1047" i="94" s="1"/>
  <c r="C19" i="74"/>
  <c r="C1047" i="94" s="1"/>
  <c r="D21" i="74"/>
  <c r="I1042" i="94"/>
  <c r="E21" i="74"/>
  <c r="H21" i="74"/>
  <c r="C21" i="74"/>
  <c r="F1049" i="94"/>
  <c r="B1049" i="94"/>
  <c r="Q219" i="75"/>
  <c r="Q988" i="94"/>
  <c r="O50" i="72"/>
  <c r="O1705" i="94" s="1"/>
  <c r="R1705" i="94" s="1"/>
  <c r="E118" i="78"/>
  <c r="A118" i="78" s="1"/>
  <c r="D19" i="74"/>
  <c r="D1047" i="94" s="1"/>
  <c r="I1067" i="94"/>
  <c r="J39" i="74"/>
  <c r="C30" i="86"/>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E1049" i="94" l="1"/>
  <c r="J1042" i="94"/>
  <c r="Q996" i="94"/>
  <c r="O989" i="94"/>
  <c r="O990" i="94"/>
  <c r="C68" i="84"/>
  <c r="Q227" i="75"/>
  <c r="O221" i="75"/>
  <c r="O220" i="75"/>
  <c r="I21" i="74"/>
  <c r="C1049" i="94"/>
  <c r="H1049" i="94"/>
  <c r="D1049" i="94"/>
  <c r="R50" i="72"/>
  <c r="E564" i="94"/>
  <c r="A564" i="94" s="1"/>
  <c r="J1067" i="94"/>
  <c r="K39" i="74"/>
  <c r="D30" i="86"/>
  <c r="F1047" i="94"/>
  <c r="I19" i="74"/>
  <c r="K23" i="74"/>
  <c r="K1051" i="94" s="1"/>
  <c r="B45" i="74"/>
  <c r="K14" i="74"/>
  <c r="K15" i="74"/>
  <c r="K1043" i="94" s="1"/>
  <c r="K22" i="74"/>
  <c r="K1050" i="94" s="1"/>
  <c r="D33" i="86"/>
  <c r="B62" i="74"/>
  <c r="B1090" i="94" s="1"/>
  <c r="K53" i="82"/>
  <c r="J16" i="74"/>
  <c r="J1044" i="94" s="1"/>
  <c r="N996" i="94" l="1"/>
  <c r="P997" i="94"/>
  <c r="Q1015" i="94"/>
  <c r="K1042" i="94"/>
  <c r="I1049" i="94"/>
  <c r="J21" i="74"/>
  <c r="K68" i="84"/>
  <c r="K70" i="84" s="1"/>
  <c r="E68" i="84"/>
  <c r="E70" i="84" s="1"/>
  <c r="I68" i="84"/>
  <c r="I70" i="84" s="1"/>
  <c r="G68" i="84"/>
  <c r="G70" i="84" s="1"/>
  <c r="C70" i="84"/>
  <c r="B20" i="74"/>
  <c r="B52" i="74" s="1"/>
  <c r="F121" i="78"/>
  <c r="F567" i="94" s="1"/>
  <c r="F122" i="78"/>
  <c r="Q246" i="75"/>
  <c r="P228" i="75"/>
  <c r="N227" i="75"/>
  <c r="K1067" i="94"/>
  <c r="B71" i="74"/>
  <c r="E30" i="86"/>
  <c r="I1047" i="94"/>
  <c r="J19" i="74"/>
  <c r="K16" i="74"/>
  <c r="K1044" i="94" s="1"/>
  <c r="C45" i="74"/>
  <c r="B55" i="74"/>
  <c r="B1083" i="94" s="1"/>
  <c r="B47" i="74"/>
  <c r="B1075" i="94" s="1"/>
  <c r="B46" i="74"/>
  <c r="B54" i="74"/>
  <c r="B1082" i="94" s="1"/>
  <c r="C62" i="74"/>
  <c r="C1090" i="94" s="1"/>
  <c r="B73" i="82"/>
  <c r="E33" i="86"/>
  <c r="F568" i="94" l="1"/>
  <c r="G122" i="78"/>
  <c r="B38" i="74"/>
  <c r="B1066" i="94" s="1"/>
  <c r="D20" i="74"/>
  <c r="F20" i="74"/>
  <c r="E20" i="74"/>
  <c r="C20" i="74"/>
  <c r="B1048" i="94"/>
  <c r="G20" i="74"/>
  <c r="H20" i="74"/>
  <c r="I20" i="74"/>
  <c r="J20" i="74"/>
  <c r="J1048" i="94" s="1"/>
  <c r="B24" i="74"/>
  <c r="B31" i="74" s="1"/>
  <c r="K20" i="74"/>
  <c r="K1048" i="94" s="1"/>
  <c r="K21" i="74"/>
  <c r="J1049" i="94"/>
  <c r="C76" i="84"/>
  <c r="C73" i="84" s="1"/>
  <c r="C72" i="84"/>
  <c r="G76" i="84"/>
  <c r="G73" i="84" s="1"/>
  <c r="G72" i="84"/>
  <c r="I76" i="84"/>
  <c r="I73" i="84" s="1"/>
  <c r="I72" i="84"/>
  <c r="E76" i="84"/>
  <c r="E73" i="84" s="1"/>
  <c r="E72" i="84"/>
  <c r="B1074" i="94"/>
  <c r="K72" i="84"/>
  <c r="K76" i="84"/>
  <c r="K73" i="84" s="1"/>
  <c r="B1080" i="94"/>
  <c r="B1099" i="94"/>
  <c r="C71" i="74"/>
  <c r="G30" i="86" s="1"/>
  <c r="F30" i="86"/>
  <c r="J1047" i="94"/>
  <c r="C73" i="82"/>
  <c r="D62" i="74"/>
  <c r="C47" i="74"/>
  <c r="C1075" i="94" s="1"/>
  <c r="C55" i="74"/>
  <c r="C1083" i="94" s="1"/>
  <c r="D45" i="74"/>
  <c r="C46" i="74"/>
  <c r="C52" i="74"/>
  <c r="C54" i="74"/>
  <c r="C1082" i="94" s="1"/>
  <c r="B48" i="74"/>
  <c r="B1076" i="94" s="1"/>
  <c r="F33" i="86"/>
  <c r="K19" i="74"/>
  <c r="K1047" i="94" s="1"/>
  <c r="D1090" i="94" l="1"/>
  <c r="E62" i="74"/>
  <c r="G568" i="94"/>
  <c r="J122" i="78"/>
  <c r="F71" i="89"/>
  <c r="E166" i="90" s="1"/>
  <c r="K24" i="88"/>
  <c r="G126" i="78"/>
  <c r="G132" i="78" s="1"/>
  <c r="J610" i="94"/>
  <c r="J164" i="78"/>
  <c r="J38" i="74"/>
  <c r="J1066" i="94" s="1"/>
  <c r="J24" i="74"/>
  <c r="H1048" i="94"/>
  <c r="H24" i="74"/>
  <c r="H38" i="74"/>
  <c r="H1066" i="94" s="1"/>
  <c r="G1048" i="94"/>
  <c r="G24" i="74"/>
  <c r="G38" i="74"/>
  <c r="G1066" i="94" s="1"/>
  <c r="K1049" i="94"/>
  <c r="K38" i="74"/>
  <c r="K1066" i="94" s="1"/>
  <c r="C1048" i="94"/>
  <c r="C24" i="74"/>
  <c r="C38" i="74"/>
  <c r="C1066" i="94" s="1"/>
  <c r="E1048" i="94"/>
  <c r="E24" i="74"/>
  <c r="E38" i="74"/>
  <c r="E1066" i="94" s="1"/>
  <c r="B44" i="82"/>
  <c r="B37" i="74"/>
  <c r="B1065" i="94" s="1"/>
  <c r="B1052" i="94"/>
  <c r="B33" i="74"/>
  <c r="B1061" i="94" s="1"/>
  <c r="F1048" i="94"/>
  <c r="F38" i="74"/>
  <c r="F1066" i="94" s="1"/>
  <c r="F24" i="74"/>
  <c r="D1048" i="94"/>
  <c r="D38" i="74"/>
  <c r="D1066" i="94" s="1"/>
  <c r="D24" i="74"/>
  <c r="C1074" i="94"/>
  <c r="B53" i="74"/>
  <c r="I1048" i="94"/>
  <c r="I24" i="74"/>
  <c r="I38" i="74"/>
  <c r="I1066" i="94" s="1"/>
  <c r="C1080" i="94"/>
  <c r="C1099" i="94"/>
  <c r="D71" i="74"/>
  <c r="H30" i="86" s="1"/>
  <c r="E45" i="74"/>
  <c r="D55" i="74"/>
  <c r="D1083" i="94" s="1"/>
  <c r="D47" i="74"/>
  <c r="D1075" i="94" s="1"/>
  <c r="D46" i="74"/>
  <c r="D52" i="74"/>
  <c r="D54" i="74"/>
  <c r="D1082" i="94" s="1"/>
  <c r="E1090" i="94"/>
  <c r="D73" i="82"/>
  <c r="G33" i="86"/>
  <c r="K24" i="74"/>
  <c r="B51" i="74"/>
  <c r="B1079" i="94" s="1"/>
  <c r="C48" i="74"/>
  <c r="C1076" i="94" s="1"/>
  <c r="P45" i="73" l="1"/>
  <c r="K9" i="88"/>
  <c r="K23" i="88" s="1"/>
  <c r="K28" i="88" s="1"/>
  <c r="P48" i="73"/>
  <c r="P1218" i="94" s="1"/>
  <c r="J163" i="78"/>
  <c r="J165" i="78" s="1"/>
  <c r="M165" i="78" s="1"/>
  <c r="B4" i="82"/>
  <c r="G1881" i="94"/>
  <c r="C18" i="84"/>
  <c r="J2057" i="94"/>
  <c r="J402" i="72"/>
  <c r="P1215" i="94"/>
  <c r="G226" i="72"/>
  <c r="J226" i="72" s="1"/>
  <c r="I438" i="94"/>
  <c r="I59" i="68"/>
  <c r="G134" i="78"/>
  <c r="D134" i="78"/>
  <c r="G572" i="94"/>
  <c r="G578" i="94" s="1"/>
  <c r="J568" i="94"/>
  <c r="I14" i="86"/>
  <c r="H1059" i="94"/>
  <c r="E14" i="86"/>
  <c r="D1059" i="94"/>
  <c r="J44" i="82"/>
  <c r="J46" i="82" s="1"/>
  <c r="J32" i="74"/>
  <c r="D29" i="86" s="1"/>
  <c r="E34" i="86"/>
  <c r="K1059" i="94"/>
  <c r="F14" i="86"/>
  <c r="E1059" i="94"/>
  <c r="H14" i="86"/>
  <c r="G1059" i="94"/>
  <c r="F1059" i="94"/>
  <c r="G14" i="86"/>
  <c r="C34" i="86"/>
  <c r="I1059" i="94"/>
  <c r="D14" i="86"/>
  <c r="C1059" i="94"/>
  <c r="J33" i="74"/>
  <c r="J1061" i="94" s="1"/>
  <c r="J37" i="74"/>
  <c r="J1065" i="94" s="1"/>
  <c r="J1052" i="94"/>
  <c r="B51" i="82"/>
  <c r="B46" i="82"/>
  <c r="I32" i="74"/>
  <c r="I33" i="74"/>
  <c r="I1061" i="94" s="1"/>
  <c r="I1052" i="94"/>
  <c r="I37" i="74"/>
  <c r="I1065" i="94" s="1"/>
  <c r="I44" i="82"/>
  <c r="F33" i="74"/>
  <c r="F1061" i="94" s="1"/>
  <c r="F1052" i="94"/>
  <c r="F37" i="74"/>
  <c r="F1065" i="94" s="1"/>
  <c r="F44" i="82"/>
  <c r="F32" i="74"/>
  <c r="E32" i="74"/>
  <c r="E37" i="74"/>
  <c r="E1065" i="94" s="1"/>
  <c r="E44" i="82"/>
  <c r="E33" i="74"/>
  <c r="E1061" i="94" s="1"/>
  <c r="E1052" i="94"/>
  <c r="G44" i="82"/>
  <c r="G1052" i="94"/>
  <c r="G32" i="74"/>
  <c r="G33" i="74"/>
  <c r="G1061" i="94" s="1"/>
  <c r="G37" i="74"/>
  <c r="G1065" i="94" s="1"/>
  <c r="D1074" i="94"/>
  <c r="C53" i="74"/>
  <c r="B1081" i="94"/>
  <c r="B70" i="74"/>
  <c r="B1098" i="94" s="1"/>
  <c r="C33" i="74"/>
  <c r="C1061" i="94" s="1"/>
  <c r="C44" i="82"/>
  <c r="C37" i="74"/>
  <c r="C1065" i="94" s="1"/>
  <c r="C32" i="74"/>
  <c r="C1052" i="94"/>
  <c r="H37" i="74"/>
  <c r="H1065" i="94" s="1"/>
  <c r="H33" i="74"/>
  <c r="H1061" i="94" s="1"/>
  <c r="H44" i="82"/>
  <c r="H1052" i="94"/>
  <c r="H32" i="74"/>
  <c r="D37" i="74"/>
  <c r="D1065" i="94" s="1"/>
  <c r="D1052" i="94"/>
  <c r="D32" i="74"/>
  <c r="D33" i="74"/>
  <c r="D1061" i="94" s="1"/>
  <c r="D44" i="82"/>
  <c r="D1080" i="94"/>
  <c r="K1052" i="94"/>
  <c r="K37" i="74"/>
  <c r="K1065" i="94" s="1"/>
  <c r="K33" i="74"/>
  <c r="K1061" i="94" s="1"/>
  <c r="D1099" i="94"/>
  <c r="E71" i="74"/>
  <c r="C51" i="74"/>
  <c r="E73" i="82"/>
  <c r="F62" i="74"/>
  <c r="F1090" i="94" s="1"/>
  <c r="D48" i="74"/>
  <c r="D1076" i="94" s="1"/>
  <c r="B56" i="74"/>
  <c r="K44" i="82"/>
  <c r="K32" i="74"/>
  <c r="K1060" i="94" s="1"/>
  <c r="E46" i="74"/>
  <c r="E55" i="74"/>
  <c r="E1083" i="94" s="1"/>
  <c r="F45" i="74"/>
  <c r="E47" i="74"/>
  <c r="E1075" i="94" s="1"/>
  <c r="E52" i="74"/>
  <c r="E54" i="74"/>
  <c r="E1082" i="94" s="1"/>
  <c r="H33" i="86"/>
  <c r="P49" i="68" l="1"/>
  <c r="I60" i="68"/>
  <c r="P45" i="68" s="1"/>
  <c r="P424" i="94" s="1"/>
  <c r="P50" i="68"/>
  <c r="I439" i="94"/>
  <c r="P428" i="94"/>
  <c r="P429" i="94"/>
  <c r="D18" i="84"/>
  <c r="K40" i="84"/>
  <c r="C38" i="84"/>
  <c r="C20" i="84"/>
  <c r="C19" i="84"/>
  <c r="F39" i="88"/>
  <c r="K38" i="88" s="1"/>
  <c r="K30" i="88"/>
  <c r="K34" i="88" s="1"/>
  <c r="J609" i="94"/>
  <c r="J611" i="94" s="1"/>
  <c r="M611" i="94" s="1"/>
  <c r="G580" i="94"/>
  <c r="D580" i="94"/>
  <c r="M403" i="72"/>
  <c r="J403" i="72"/>
  <c r="J169" i="78"/>
  <c r="J2058" i="94"/>
  <c r="J2059" i="94" s="1"/>
  <c r="M2058" i="94"/>
  <c r="I30" i="86"/>
  <c r="F71" i="74"/>
  <c r="J51" i="82"/>
  <c r="J1059" i="94"/>
  <c r="D34" i="86"/>
  <c r="D37" i="86" s="1"/>
  <c r="D38" i="86" s="1"/>
  <c r="D40" i="86" s="1"/>
  <c r="D44" i="86" s="1"/>
  <c r="K14" i="86" s="1"/>
  <c r="J1060" i="94"/>
  <c r="D53" i="74"/>
  <c r="D1081" i="94" s="1"/>
  <c r="C1060" i="94"/>
  <c r="D9" i="86"/>
  <c r="D17" i="86" s="1"/>
  <c r="D18" i="86" s="1"/>
  <c r="D20" i="86" s="1"/>
  <c r="D24" i="86" s="1"/>
  <c r="K7" i="86" s="1"/>
  <c r="E46" i="82"/>
  <c r="E51" i="82"/>
  <c r="I51" i="82"/>
  <c r="I46" i="82"/>
  <c r="C1081" i="94"/>
  <c r="C70" i="74"/>
  <c r="C1098" i="94" s="1"/>
  <c r="D1060" i="94"/>
  <c r="E9" i="86"/>
  <c r="E17" i="86" s="1"/>
  <c r="E18" i="86" s="1"/>
  <c r="E20" i="86" s="1"/>
  <c r="E24" i="86" s="1"/>
  <c r="K8" i="86" s="1"/>
  <c r="H1060" i="94"/>
  <c r="I9" i="86"/>
  <c r="I17" i="86" s="1"/>
  <c r="I18" i="86" s="1"/>
  <c r="I20" i="86" s="1"/>
  <c r="I24" i="86" s="1"/>
  <c r="K12" i="86" s="1"/>
  <c r="C46" i="82"/>
  <c r="C51" i="82"/>
  <c r="F9" i="86"/>
  <c r="F17" i="86" s="1"/>
  <c r="F18" i="86" s="1"/>
  <c r="F20" i="86" s="1"/>
  <c r="F24" i="86" s="1"/>
  <c r="K9" i="86" s="1"/>
  <c r="E1060" i="94"/>
  <c r="E1074" i="94"/>
  <c r="G1060" i="94"/>
  <c r="H9" i="86"/>
  <c r="H17" i="86" s="1"/>
  <c r="H18" i="86" s="1"/>
  <c r="H20" i="86" s="1"/>
  <c r="H24" i="86" s="1"/>
  <c r="K11" i="86" s="1"/>
  <c r="F1060" i="94"/>
  <c r="G9" i="86"/>
  <c r="G17" i="86" s="1"/>
  <c r="G18" i="86" s="1"/>
  <c r="G20" i="86" s="1"/>
  <c r="G24" i="86" s="1"/>
  <c r="K10" i="86" s="1"/>
  <c r="F51" i="82"/>
  <c r="F46" i="82"/>
  <c r="I1060" i="94"/>
  <c r="C29" i="86"/>
  <c r="C37" i="86" s="1"/>
  <c r="C38" i="86" s="1"/>
  <c r="C40" i="86" s="1"/>
  <c r="C44" i="86" s="1"/>
  <c r="K13" i="86" s="1"/>
  <c r="H51" i="82"/>
  <c r="H46" i="82"/>
  <c r="D46" i="82"/>
  <c r="D51" i="82"/>
  <c r="G51" i="82"/>
  <c r="G46" i="82"/>
  <c r="E1080" i="94"/>
  <c r="B1084" i="94"/>
  <c r="B65" i="74"/>
  <c r="B1093" i="94" s="1"/>
  <c r="B69" i="74"/>
  <c r="B1097" i="94" s="1"/>
  <c r="E1099" i="94"/>
  <c r="C56" i="74"/>
  <c r="C1079" i="94"/>
  <c r="D51" i="74"/>
  <c r="D1079" i="94" s="1"/>
  <c r="F55" i="74"/>
  <c r="F1083" i="94" s="1"/>
  <c r="F47" i="74"/>
  <c r="F1075" i="94" s="1"/>
  <c r="F46" i="74"/>
  <c r="G45" i="74"/>
  <c r="F52" i="74"/>
  <c r="F54" i="74"/>
  <c r="F1082" i="94" s="1"/>
  <c r="E48" i="74"/>
  <c r="E1076" i="94" s="1"/>
  <c r="E29" i="86"/>
  <c r="F73" i="82"/>
  <c r="G1090" i="94"/>
  <c r="K51" i="82"/>
  <c r="K46" i="82"/>
  <c r="I33" i="86"/>
  <c r="B64" i="82"/>
  <c r="P430" i="94" l="1"/>
  <c r="J615" i="94"/>
  <c r="J617" i="94" s="1"/>
  <c r="J619" i="94" s="1"/>
  <c r="J622" i="94" s="1"/>
  <c r="J626" i="94" s="1"/>
  <c r="J171" i="78"/>
  <c r="J173" i="78" s="1"/>
  <c r="P51" i="68"/>
  <c r="G34" i="86"/>
  <c r="C1091" i="94"/>
  <c r="D70" i="74"/>
  <c r="D1098" i="94" s="1"/>
  <c r="B25" i="82"/>
  <c r="B72" i="82" s="1"/>
  <c r="F1074" i="94"/>
  <c r="E53" i="74"/>
  <c r="F1080" i="94"/>
  <c r="C1084" i="94"/>
  <c r="C69" i="74"/>
  <c r="C1097" i="94" s="1"/>
  <c r="C65" i="74"/>
  <c r="C1093" i="94" s="1"/>
  <c r="F1099" i="94"/>
  <c r="C50" i="86"/>
  <c r="C64" i="82"/>
  <c r="C66" i="82" s="1"/>
  <c r="C64" i="74"/>
  <c r="C1092" i="94" s="1"/>
  <c r="E51" i="74"/>
  <c r="E1079" i="94" s="1"/>
  <c r="E37" i="86"/>
  <c r="E38" i="86" s="1"/>
  <c r="E40" i="86" s="1"/>
  <c r="E44" i="86" s="1"/>
  <c r="K15" i="86" s="1"/>
  <c r="F48" i="74"/>
  <c r="F1076" i="94" s="1"/>
  <c r="H1090" i="94"/>
  <c r="G73" i="82"/>
  <c r="B66" i="82"/>
  <c r="B71" i="82"/>
  <c r="C53" i="86"/>
  <c r="D56" i="74"/>
  <c r="G55" i="74"/>
  <c r="G1083" i="94" s="1"/>
  <c r="G47" i="74"/>
  <c r="G1075" i="94" s="1"/>
  <c r="H45" i="74"/>
  <c r="G46" i="74"/>
  <c r="G52" i="74"/>
  <c r="G54" i="74"/>
  <c r="G1082" i="94" s="1"/>
  <c r="B15" i="82" l="1"/>
  <c r="J176" i="78"/>
  <c r="J180" i="78" s="1"/>
  <c r="M628" i="94"/>
  <c r="J630" i="94"/>
  <c r="D1091" i="94"/>
  <c r="H34" i="86"/>
  <c r="I52" i="82"/>
  <c r="I54" i="82" s="1"/>
  <c r="I55" i="82" s="1"/>
  <c r="I56" i="82" s="1"/>
  <c r="J72" i="82"/>
  <c r="G52" i="82"/>
  <c r="G54" i="82" s="1"/>
  <c r="G55" i="82" s="1"/>
  <c r="G56" i="82" s="1"/>
  <c r="C72" i="82"/>
  <c r="F72" i="82"/>
  <c r="J52" i="82"/>
  <c r="J54" i="82" s="1"/>
  <c r="J55" i="82" s="1"/>
  <c r="J56" i="82" s="1"/>
  <c r="B52" i="82"/>
  <c r="B54" i="82" s="1"/>
  <c r="B55" i="82" s="1"/>
  <c r="B56" i="82" s="1"/>
  <c r="K72" i="82"/>
  <c r="B26" i="82"/>
  <c r="B5" i="82" s="1"/>
  <c r="B6" i="82" s="1"/>
  <c r="B7" i="82" s="1"/>
  <c r="I72" i="82"/>
  <c r="F52" i="82"/>
  <c r="F54" i="82" s="1"/>
  <c r="F55" i="82" s="1"/>
  <c r="F56" i="82" s="1"/>
  <c r="E52" i="82"/>
  <c r="E54" i="82" s="1"/>
  <c r="E55" i="82" s="1"/>
  <c r="E56" i="82" s="1"/>
  <c r="E72" i="82"/>
  <c r="K52" i="82"/>
  <c r="K54" i="82" s="1"/>
  <c r="K55" i="82" s="1"/>
  <c r="K56" i="82" s="1"/>
  <c r="H72" i="82"/>
  <c r="G72" i="82"/>
  <c r="D52" i="82"/>
  <c r="D54" i="82" s="1"/>
  <c r="D55" i="82" s="1"/>
  <c r="D56" i="82" s="1"/>
  <c r="H52" i="82"/>
  <c r="H54" i="82" s="1"/>
  <c r="H55" i="82" s="1"/>
  <c r="H56" i="82" s="1"/>
  <c r="C52" i="82"/>
  <c r="C54" i="82" s="1"/>
  <c r="C55" i="82" s="1"/>
  <c r="C56" i="82" s="1"/>
  <c r="D72" i="82"/>
  <c r="G1074" i="94"/>
  <c r="E1081" i="94"/>
  <c r="E70" i="74"/>
  <c r="E1098" i="94" s="1"/>
  <c r="F53" i="74"/>
  <c r="G1080" i="94"/>
  <c r="C71" i="82"/>
  <c r="D1084" i="94"/>
  <c r="D69" i="74"/>
  <c r="D1097" i="94" s="1"/>
  <c r="D65" i="74"/>
  <c r="D1093" i="94" s="1"/>
  <c r="G1099" i="94"/>
  <c r="G29" i="86"/>
  <c r="G37" i="86" s="1"/>
  <c r="G38" i="86" s="1"/>
  <c r="G40" i="86" s="1"/>
  <c r="G44" i="86" s="1"/>
  <c r="K17" i="86" s="1"/>
  <c r="D50" i="86"/>
  <c r="E56" i="74"/>
  <c r="B74" i="82"/>
  <c r="B75" i="82" s="1"/>
  <c r="H73" i="82"/>
  <c r="I1090" i="94"/>
  <c r="H55" i="74"/>
  <c r="H1083" i="94" s="1"/>
  <c r="H46" i="74"/>
  <c r="H47" i="74"/>
  <c r="H1075" i="94" s="1"/>
  <c r="I45" i="74"/>
  <c r="H52" i="74"/>
  <c r="H54" i="74"/>
  <c r="H1082" i="94" s="1"/>
  <c r="D53" i="86"/>
  <c r="F51" i="74"/>
  <c r="F1079" i="94" s="1"/>
  <c r="G48" i="74"/>
  <c r="G1076" i="94" s="1"/>
  <c r="D64" i="74"/>
  <c r="D1092" i="94" s="1"/>
  <c r="D64" i="82"/>
  <c r="M182" i="78" l="1"/>
  <c r="J184" i="78"/>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B9" i="82"/>
  <c r="B10" i="82" s="1"/>
  <c r="B11" i="82" s="1"/>
  <c r="B28" i="82"/>
  <c r="B29" i="82" s="1"/>
  <c r="H1074" i="94"/>
  <c r="F1081" i="94"/>
  <c r="F70" i="74"/>
  <c r="F1098" i="94" s="1"/>
  <c r="G53" i="74"/>
  <c r="H1080" i="94"/>
  <c r="E65" i="74"/>
  <c r="E1093" i="94" s="1"/>
  <c r="E69" i="74"/>
  <c r="E1097" i="94" s="1"/>
  <c r="H1099" i="94"/>
  <c r="E50" i="86"/>
  <c r="D57" i="86"/>
  <c r="D58" i="86" s="1"/>
  <c r="D60" i="86" s="1"/>
  <c r="D64" i="86" s="1"/>
  <c r="K21" i="86" s="1"/>
  <c r="E64" i="82"/>
  <c r="E71" i="82" s="1"/>
  <c r="E74" i="82" s="1"/>
  <c r="E1084" i="94"/>
  <c r="E64" i="74"/>
  <c r="B76" i="82"/>
  <c r="E53" i="86"/>
  <c r="H29" i="86"/>
  <c r="J45" i="74"/>
  <c r="I55" i="74"/>
  <c r="I1083" i="94" s="1"/>
  <c r="I46" i="74"/>
  <c r="I47" i="74"/>
  <c r="I1075" i="94" s="1"/>
  <c r="I52" i="74"/>
  <c r="I54" i="74"/>
  <c r="I1082" i="94" s="1"/>
  <c r="D71" i="82"/>
  <c r="D74" i="82" s="1"/>
  <c r="D66" i="82"/>
  <c r="G51" i="74"/>
  <c r="G1079" i="94" s="1"/>
  <c r="H48" i="74"/>
  <c r="H1076" i="94" s="1"/>
  <c r="J1090" i="94"/>
  <c r="I73" i="82"/>
  <c r="F56" i="74"/>
  <c r="L50" i="68" l="1"/>
  <c r="I34" i="94"/>
  <c r="C21" i="86"/>
  <c r="M61" i="85"/>
  <c r="P61" i="85" s="1"/>
  <c r="L49" i="68"/>
  <c r="E99" i="78"/>
  <c r="I9" i="66"/>
  <c r="I1074" i="94"/>
  <c r="G1081" i="94"/>
  <c r="G70" i="74"/>
  <c r="G1098" i="94" s="1"/>
  <c r="H53" i="74"/>
  <c r="I1080" i="94"/>
  <c r="F1084" i="94"/>
  <c r="F65" i="74"/>
  <c r="F1093" i="94" s="1"/>
  <c r="F69" i="74"/>
  <c r="F1097" i="94" s="1"/>
  <c r="I1099" i="94"/>
  <c r="E57" i="86"/>
  <c r="E58" i="86" s="1"/>
  <c r="E60" i="86" s="1"/>
  <c r="E64" i="86" s="1"/>
  <c r="K22" i="86" s="1"/>
  <c r="F50" i="86"/>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J99" i="78" l="1"/>
  <c r="E545" i="94"/>
  <c r="J545" i="94" s="1"/>
  <c r="N49" i="68"/>
  <c r="N428" i="94" s="1"/>
  <c r="L428" i="94"/>
  <c r="B14" i="82"/>
  <c r="C41" i="86"/>
  <c r="D41" i="86" s="1"/>
  <c r="E41" i="86" s="1"/>
  <c r="C22" i="86"/>
  <c r="C42" i="86" s="1"/>
  <c r="D42" i="86" s="1"/>
  <c r="E42" i="86" s="1"/>
  <c r="D21" i="86"/>
  <c r="L429" i="94"/>
  <c r="N50" i="68"/>
  <c r="N429" i="94" s="1"/>
  <c r="H1081" i="94"/>
  <c r="H70" i="74"/>
  <c r="H1098" i="94" s="1"/>
  <c r="J1074" i="94"/>
  <c r="I53" i="74"/>
  <c r="J1080" i="94"/>
  <c r="G1084" i="94"/>
  <c r="G69" i="74"/>
  <c r="G1097" i="94" s="1"/>
  <c r="G65" i="74"/>
  <c r="G1093" i="94" s="1"/>
  <c r="J1099" i="94"/>
  <c r="F57" i="86"/>
  <c r="F58" i="86" s="1"/>
  <c r="F60" i="86" s="1"/>
  <c r="F64" i="86" s="1"/>
  <c r="K23" i="86" s="1"/>
  <c r="G50" i="86"/>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B20" i="82" l="1"/>
  <c r="B21" i="82" s="1"/>
  <c r="G20" i="82"/>
  <c r="G21" i="82" s="1"/>
  <c r="D22" i="86"/>
  <c r="E21" i="86"/>
  <c r="I1081" i="94"/>
  <c r="I70" i="74"/>
  <c r="I1098" i="94" s="1"/>
  <c r="K1074" i="94"/>
  <c r="J53" i="74"/>
  <c r="K1080" i="94"/>
  <c r="H1084" i="94"/>
  <c r="H65" i="74"/>
  <c r="H1093" i="94" s="1"/>
  <c r="H69" i="74"/>
  <c r="H1097" i="94" s="1"/>
  <c r="O8" i="86"/>
  <c r="O14" i="86" s="1"/>
  <c r="O33" i="86" s="1"/>
  <c r="H63" i="86" s="1"/>
  <c r="C85" i="90"/>
  <c r="K1099" i="94"/>
  <c r="L93" i="85"/>
  <c r="L63" i="85"/>
  <c r="B102" i="74"/>
  <c r="H50" i="86"/>
  <c r="G57" i="86"/>
  <c r="G58" i="86" s="1"/>
  <c r="G60" i="86" s="1"/>
  <c r="G64" i="86" s="1"/>
  <c r="K24" i="86" s="1"/>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E22" i="86" l="1"/>
  <c r="F21" i="86"/>
  <c r="J1081" i="94"/>
  <c r="J70" i="74"/>
  <c r="J1098" i="94" s="1"/>
  <c r="K53" i="74"/>
  <c r="B1106" i="94"/>
  <c r="B1112" i="94"/>
  <c r="I1084" i="94"/>
  <c r="I65" i="74"/>
  <c r="I1093" i="94" s="1"/>
  <c r="I69" i="74"/>
  <c r="I1097" i="94" s="1"/>
  <c r="I64" i="74"/>
  <c r="I1092" i="94" s="1"/>
  <c r="B1130" i="94"/>
  <c r="C102" i="74"/>
  <c r="H57" i="86"/>
  <c r="H58" i="86" s="1"/>
  <c r="H60" i="86" s="1"/>
  <c r="H64" i="86" s="1"/>
  <c r="K25" i="86" s="1"/>
  <c r="J56" i="74"/>
  <c r="J64" i="74" s="1"/>
  <c r="J1092" i="94" s="1"/>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G21" i="86" l="1"/>
  <c r="F22" i="86"/>
  <c r="B85" i="74"/>
  <c r="C1106" i="94"/>
  <c r="K1081" i="94"/>
  <c r="K70" i="74"/>
  <c r="K1098" i="94" s="1"/>
  <c r="C1112" i="94"/>
  <c r="J64" i="82"/>
  <c r="J66" i="82" s="1"/>
  <c r="I71" i="82"/>
  <c r="I74" i="82" s="1"/>
  <c r="I75" i="82" s="1"/>
  <c r="I76" i="82" s="1"/>
  <c r="J1084" i="94"/>
  <c r="J65" i="74"/>
  <c r="J1093" i="94" s="1"/>
  <c r="J69" i="74"/>
  <c r="J1097" i="94" s="1"/>
  <c r="C1130" i="94"/>
  <c r="D102" i="74"/>
  <c r="E77" i="74"/>
  <c r="D78" i="74"/>
  <c r="D79" i="74"/>
  <c r="D1107" i="94" s="1"/>
  <c r="D87" i="74"/>
  <c r="D1115" i="94" s="1"/>
  <c r="D84" i="74"/>
  <c r="D86" i="74"/>
  <c r="D1114" i="94" s="1"/>
  <c r="C80" i="74"/>
  <c r="C1108" i="94" s="1"/>
  <c r="E94" i="74"/>
  <c r="E1122" i="94" s="1"/>
  <c r="B83" i="74"/>
  <c r="B1111" i="94" s="1"/>
  <c r="H75" i="82"/>
  <c r="H76" i="82" s="1"/>
  <c r="K56" i="74"/>
  <c r="G22" i="86" l="1"/>
  <c r="H21" i="86"/>
  <c r="C85" i="74"/>
  <c r="C1113" i="94" s="1"/>
  <c r="B1113" i="94"/>
  <c r="B101" i="74"/>
  <c r="B1129" i="94" s="1"/>
  <c r="D1106" i="94"/>
  <c r="D1112" i="94"/>
  <c r="J71" i="82"/>
  <c r="J74" i="82" s="1"/>
  <c r="J75" i="82" s="1"/>
  <c r="J76" i="82" s="1"/>
  <c r="K1084" i="94"/>
  <c r="K65" i="74"/>
  <c r="K1093" i="94" s="1"/>
  <c r="K69" i="74"/>
  <c r="K1097" i="94" s="1"/>
  <c r="D1130" i="94"/>
  <c r="E102" i="74"/>
  <c r="F102" i="74" s="1"/>
  <c r="C83" i="74"/>
  <c r="C1111" i="94" s="1"/>
  <c r="F94" i="74"/>
  <c r="F1122" i="94" s="1"/>
  <c r="K64" i="74"/>
  <c r="K1092" i="94" s="1"/>
  <c r="K64" i="82"/>
  <c r="D80" i="74"/>
  <c r="D1108" i="94" s="1"/>
  <c r="F77" i="74"/>
  <c r="E87" i="74"/>
  <c r="E1115" i="94" s="1"/>
  <c r="E78" i="74"/>
  <c r="E79" i="74"/>
  <c r="E1107" i="94" s="1"/>
  <c r="E84" i="74"/>
  <c r="E86" i="74"/>
  <c r="E1114" i="94" s="1"/>
  <c r="B88" i="74"/>
  <c r="H22" i="86" l="1"/>
  <c r="I21" i="86"/>
  <c r="I22" i="86" s="1"/>
  <c r="C101" i="74"/>
  <c r="C1129" i="94" s="1"/>
  <c r="D85" i="74"/>
  <c r="E1106" i="94"/>
  <c r="E1112" i="94"/>
  <c r="B96" i="74"/>
  <c r="B1124" i="94" s="1"/>
  <c r="B100" i="74"/>
  <c r="B1128" i="94" s="1"/>
  <c r="E1130"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E85" i="74" l="1"/>
  <c r="E1113" i="94" s="1"/>
  <c r="F1106" i="94"/>
  <c r="D1113" i="94"/>
  <c r="D101" i="74"/>
  <c r="D1129" i="94" s="1"/>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G1106" i="94"/>
  <c r="F85" i="74"/>
  <c r="G1112" i="94"/>
  <c r="D100" i="74"/>
  <c r="D1128" i="94" s="1"/>
  <c r="D96" i="74"/>
  <c r="D1124"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H1106" i="94" l="1"/>
  <c r="F1113" i="94"/>
  <c r="F101" i="74"/>
  <c r="F1129" i="94" s="1"/>
  <c r="G85" i="7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I85" i="74"/>
  <c r="J1106" i="94"/>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100" i="74"/>
  <c r="H1128" i="94" s="1"/>
  <c r="H96" i="74"/>
  <c r="H1124" i="94" s="1"/>
  <c r="K1130" i="94"/>
  <c r="B132" i="74"/>
  <c r="H95" i="74"/>
  <c r="H1123" i="94" s="1"/>
  <c r="H1116" i="94"/>
  <c r="J83" i="74"/>
  <c r="K80" i="74"/>
  <c r="K1108" i="94" s="1"/>
  <c r="C124" i="74"/>
  <c r="C1152" i="94" s="1"/>
  <c r="I88" i="74"/>
  <c r="B108" i="74"/>
  <c r="C107" i="74"/>
  <c r="B109" i="74"/>
  <c r="B1137" i="94" s="1"/>
  <c r="B117" i="74"/>
  <c r="B1145" i="94" s="1"/>
  <c r="B114" i="74"/>
  <c r="B116" i="74"/>
  <c r="B1144" i="94" s="1"/>
  <c r="J101" i="74" l="1"/>
  <c r="J1129" i="94" s="1"/>
  <c r="K85" i="74"/>
  <c r="B1136" i="94"/>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100" i="74"/>
  <c r="J1128" i="94" s="1"/>
  <c r="J96" i="74"/>
  <c r="J1124"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E1136" i="94" l="1"/>
  <c r="D115" i="74"/>
  <c r="C1143" i="94"/>
  <c r="C131" i="74"/>
  <c r="C1159" i="94" s="1"/>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6" i="74"/>
  <c r="C1154" i="94" s="1"/>
  <c r="C130" i="74"/>
  <c r="C1158" i="94" s="1"/>
  <c r="C125" i="74"/>
  <c r="C1153" i="94" s="1"/>
  <c r="C1146" i="94"/>
  <c r="E113" i="74"/>
  <c r="E1141" i="94" s="1"/>
  <c r="F110" i="74"/>
  <c r="F1138" i="94" s="1"/>
  <c r="D118" i="74"/>
  <c r="E131" i="74" l="1"/>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R21" i="74"/>
  <c r="R1049" i="94" s="1"/>
  <c r="R22" i="74"/>
  <c r="R1050" i="94" s="1"/>
  <c r="R23" i="74"/>
  <c r="R1051" i="94" s="1"/>
  <c r="R24" i="74"/>
  <c r="R1052" i="94" s="1"/>
  <c r="R25" i="74"/>
  <c r="R1053" i="94" s="1"/>
  <c r="R26" i="74"/>
  <c r="R1054" i="94" s="1"/>
  <c r="R27" i="74"/>
  <c r="R1055" i="94" s="1"/>
  <c r="R28" i="74"/>
  <c r="R1056" i="94" s="1"/>
  <c r="R29" i="74"/>
  <c r="R1057" i="94" s="1"/>
  <c r="B32" i="74"/>
  <c r="B43" i="74"/>
  <c r="B1071" i="94" s="1"/>
  <c r="B1059" i="94"/>
  <c r="C9" i="86" l="1"/>
  <c r="C17" i="86" s="1"/>
  <c r="C18" i="86" s="1"/>
  <c r="C20" i="86" s="1"/>
  <c r="C24" i="86" s="1"/>
  <c r="K6" i="86" s="1"/>
  <c r="G66" i="86" s="1"/>
  <c r="N85" i="85" s="1"/>
  <c r="C43" i="74"/>
  <c r="S23" i="74"/>
  <c r="S1051" i="94" s="1"/>
  <c r="S27" i="74"/>
  <c r="S1055" i="94" s="1"/>
  <c r="S20" i="74"/>
  <c r="S1048" i="94" s="1"/>
  <c r="S24" i="74"/>
  <c r="S1052" i="94" s="1"/>
  <c r="S28" i="74"/>
  <c r="S1056" i="94" s="1"/>
  <c r="S21" i="74"/>
  <c r="S1049" i="94" s="1"/>
  <c r="S25" i="74"/>
  <c r="S1053" i="94" s="1"/>
  <c r="S29" i="74"/>
  <c r="S1057" i="94" s="1"/>
  <c r="S22" i="74"/>
  <c r="S1050" i="94" s="1"/>
  <c r="S26" i="74"/>
  <c r="S1054" i="94" s="1"/>
  <c r="B1060" i="94"/>
  <c r="D43" i="74" l="1"/>
  <c r="C1071" i="94"/>
  <c r="E43" i="74" l="1"/>
  <c r="D1071" i="94"/>
  <c r="E1071" i="94" l="1"/>
  <c r="F43" i="74"/>
  <c r="F1071" i="94" l="1"/>
  <c r="G43" i="74"/>
  <c r="H43" i="74" l="1"/>
  <c r="G1071" i="94"/>
  <c r="I43" i="74" l="1"/>
  <c r="H1071" i="94"/>
  <c r="I1071" i="94" l="1"/>
  <c r="J43" i="74"/>
  <c r="J1071" i="94" l="1"/>
  <c r="K43" i="74"/>
  <c r="K1071" i="94" l="1"/>
  <c r="F34" i="86"/>
  <c r="R30" i="74"/>
  <c r="R31" i="74"/>
  <c r="R1059" i="94" s="1"/>
  <c r="R32" i="74"/>
  <c r="R1060" i="94" s="1"/>
  <c r="R33" i="74"/>
  <c r="R1061" i="94" s="1"/>
  <c r="R34" i="74"/>
  <c r="R35" i="74"/>
  <c r="R36" i="74"/>
  <c r="R1064" i="94" s="1"/>
  <c r="R37" i="74"/>
  <c r="R1065" i="94" s="1"/>
  <c r="R38" i="74"/>
  <c r="R39" i="74"/>
  <c r="R1067" i="94" s="1"/>
  <c r="B64" i="74"/>
  <c r="F29" i="86" s="1"/>
  <c r="B75" i="74"/>
  <c r="B1103" i="94" s="1"/>
  <c r="B1091" i="94"/>
  <c r="S35" i="74" l="1"/>
  <c r="S1063" i="94" s="1"/>
  <c r="S34" i="74"/>
  <c r="S1062" i="94" s="1"/>
  <c r="S39" i="74"/>
  <c r="S1067" i="94" s="1"/>
  <c r="S32" i="74"/>
  <c r="S1060" i="94" s="1"/>
  <c r="S31" i="74"/>
  <c r="S1059" i="94" s="1"/>
  <c r="R1063" i="94"/>
  <c r="S36" i="74"/>
  <c r="S1064" i="94" s="1"/>
  <c r="S30" i="74"/>
  <c r="S1058" i="94" s="1"/>
  <c r="C75" i="74"/>
  <c r="C1103" i="94" s="1"/>
  <c r="S38" i="74"/>
  <c r="S1066" i="94" s="1"/>
  <c r="B1092" i="94"/>
  <c r="F37" i="86"/>
  <c r="F38" i="86" s="1"/>
  <c r="F40" i="86" s="1"/>
  <c r="F44" i="86" s="1"/>
  <c r="K16" i="86" s="1"/>
  <c r="S37" i="74"/>
  <c r="S1065" i="94" s="1"/>
  <c r="S33" i="74"/>
  <c r="S1061" i="94" s="1"/>
  <c r="R1066" i="94"/>
  <c r="R1062" i="94"/>
  <c r="R1058" i="94"/>
  <c r="I45" i="68"/>
  <c r="F45" i="68" l="1"/>
  <c r="F424" i="94" s="1"/>
  <c r="D75" i="74"/>
  <c r="D1103" i="94" s="1"/>
  <c r="I424" i="94"/>
  <c r="L45" i="68" l="1"/>
  <c r="L424" i="94" s="1"/>
  <c r="E75" i="74"/>
  <c r="F75" i="74" s="1"/>
  <c r="F85" i="92" l="1"/>
  <c r="F89" i="92" s="1"/>
  <c r="F105" i="92" s="1"/>
  <c r="E1103" i="94"/>
  <c r="G75" i="74"/>
  <c r="G1103" i="94" s="1"/>
  <c r="F1103" i="94"/>
  <c r="E19" i="72" l="1"/>
  <c r="O316" i="72"/>
  <c r="E20" i="72" s="1"/>
  <c r="E1675" i="94" s="1"/>
  <c r="E1674" i="94"/>
  <c r="O1956" i="94"/>
  <c r="O1971" i="94"/>
  <c r="O2098" i="94" s="1"/>
  <c r="O1661" i="94" s="1"/>
  <c r="O443" i="72" l="1"/>
  <c r="O6" i="72" s="1"/>
  <c r="P316" i="72"/>
  <c r="P1971" i="94" s="1"/>
  <c r="P443" i="72"/>
  <c r="P446" i="72" s="1"/>
  <c r="P1956" i="94"/>
  <c r="P2098" i="94" s="1"/>
  <c r="P1661" i="94" l="1"/>
  <c r="P2101" i="94"/>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<sst xmlns="http://schemas.openxmlformats.org/spreadsheetml/2006/main" count="19409" uniqueCount="7141">
  <si>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</si>
  <si>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</si>
  <si>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</si>
  <si>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</si>
  <si>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</si>
  <si>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</si>
  <si>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</si>
  <si>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</si>
  <si>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</si>
  <si>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</si>
  <si>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</si>
  <si>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</si>
  <si>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</si>
  <si>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</si>
  <si>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</si>
  <si>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</si>
  <si>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</si>
  <si>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</si>
  <si>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</si>
  <si>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</si>
  <si>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</si>
  <si>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</si>
  <si>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</si>
  <si>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</si>
  <si>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</si>
  <si>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</si>
  <si>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</si>
  <si>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</si>
  <si>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</si>
  <si>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</si>
  <si>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</si>
  <si>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</si>
  <si>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</si>
  <si>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</si>
  <si>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</si>
  <si>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</si>
  <si>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</si>
  <si>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</si>
  <si>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</si>
  <si>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</si>
  <si>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</si>
  <si>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</si>
  <si>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</si>
  <si>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</si>
  <si>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</si>
  <si>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</si>
  <si>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</si>
  <si>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</si>
  <si>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</si>
  <si>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</si>
  <si>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</si>
  <si>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</si>
  <si>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</si>
  <si>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</si>
  <si>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</si>
  <si>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</si>
  <si>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</si>
  <si>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</si>
  <si>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</si>
  <si>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</si>
  <si>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</si>
  <si>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</si>
  <si>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</si>
  <si>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</si>
  <si>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</si>
  <si>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</si>
  <si>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</si>
  <si>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</si>
  <si>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</si>
  <si>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</si>
  <si>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</si>
  <si>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</si>
  <si>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</si>
  <si>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</si>
  <si>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</si>
  <si>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</si>
  <si>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</si>
  <si>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</si>
  <si>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</si>
  <si>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</si>
  <si>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</si>
  <si>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</si>
  <si>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</si>
  <si>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</si>
  <si>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</si>
  <si>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</si>
  <si>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</si>
  <si>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</si>
  <si>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</si>
  <si>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</si>
  <si>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</si>
  <si>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</si>
  <si>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</si>
  <si>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</si>
  <si>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</si>
  <si>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</si>
  <si>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</si>
  <si>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</si>
  <si>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</si>
  <si>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</si>
  <si>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</si>
  <si>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</si>
  <si>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</si>
  <si>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</si>
  <si>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</si>
  <si>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</si>
  <si>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</si>
  <si>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</si>
  <si>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</si>
  <si>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</si>
  <si>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</si>
  <si>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</si>
  <si>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</si>
  <si>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</si>
  <si>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</si>
  <si>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</si>
  <si>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</si>
  <si>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</si>
  <si>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</si>
  <si>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</si>
  <si>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</si>
  <si>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</si>
  <si>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</si>
  <si>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</si>
  <si>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</si>
  <si>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</si>
  <si>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</si>
  <si>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</si>
  <si>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</si>
  <si>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</si>
  <si>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</si>
  <si>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</si>
  <si>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</si>
  <si>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</si>
  <si>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</si>
  <si>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</si>
  <si>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</si>
  <si>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</si>
  <si>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</si>
  <si>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</si>
  <si>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</si>
  <si>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</si>
  <si>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</si>
  <si>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</si>
  <si>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</si>
  <si>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</si>
  <si>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</si>
  <si>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</si>
  <si>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</si>
  <si>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</si>
  <si>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</si>
  <si>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</si>
  <si>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</si>
  <si>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</si>
  <si>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</si>
  <si>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</si>
  <si>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</si>
  <si>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</si>
  <si>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</si>
  <si>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</si>
  <si>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</si>
  <si>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</si>
  <si>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</si>
  <si>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</si>
  <si>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</si>
  <si>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</si>
  <si>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</si>
  <si>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</si>
  <si>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</si>
  <si>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</si>
  <si>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</si>
  <si>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</si>
  <si>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</si>
  <si>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</si>
  <si>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</si>
  <si>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</si>
  <si>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</si>
  <si>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</si>
  <si>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</si>
  <si>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</si>
  <si>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</si>
  <si>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</si>
  <si>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</si>
  <si>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</si>
  <si>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</si>
  <si>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</si>
  <si>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</si>
  <si>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</si>
  <si>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</si>
  <si>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</si>
  <si>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</si>
  <si>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</si>
  <si>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</si>
  <si>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</si>
  <si>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</si>
  <si>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</si>
  <si>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</si>
  <si>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</si>
  <si>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</si>
  <si>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</si>
  <si>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</si>
  <si>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</si>
  <si>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</si>
  <si>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</si>
  <si>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</si>
  <si>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</si>
  <si>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</si>
  <si>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</si>
  <si>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</si>
  <si>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</si>
  <si>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</si>
  <si>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</si>
  <si>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</si>
  <si>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</si>
  <si>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</si>
  <si>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</si>
  <si>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</si>
  <si>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</si>
  <si>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</si>
  <si>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</si>
  <si>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</si>
  <si>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</si>
  <si>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</si>
  <si>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</si>
  <si>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</si>
  <si>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</si>
  <si>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</si>
  <si>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</si>
  <si>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</si>
  <si>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</si>
  <si>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</si>
  <si>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</si>
  <si>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</si>
  <si>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</si>
  <si>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</si>
  <si>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</si>
  <si>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</si>
  <si>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</si>
  <si>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</si>
  <si>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</si>
  <si>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</si>
  <si>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</si>
  <si>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</si>
  <si>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</si>
  <si>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</si>
  <si>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</si>
  <si>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</si>
  <si>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</si>
  <si>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</si>
  <si>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</si>
  <si>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</si>
  <si>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</si>
  <si>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</si>
  <si>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</si>
  <si>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</si>
  <si>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</si>
  <si>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</si>
  <si>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</si>
  <si>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</si>
  <si>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</si>
  <si>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</si>
  <si>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</si>
  <si>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</si>
  <si>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</si>
  <si>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</si>
  <si>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</si>
  <si>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</si>
  <si>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</si>
  <si>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</si>
  <si>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</si>
  <si>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</si>
  <si>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</si>
  <si>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</si>
  <si>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</si>
  <si>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</si>
  <si>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</si>
  <si>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</si>
  <si>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</si>
  <si>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</si>
  <si>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</si>
  <si>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</si>
  <si>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</si>
  <si>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</si>
  <si>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</si>
  <si>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</si>
  <si>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</si>
  <si>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</si>
  <si>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</si>
  <si>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</si>
  <si>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</si>
  <si>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</si>
  <si>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</si>
  <si>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</si>
  <si>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</si>
  <si>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</si>
  <si>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</si>
  <si>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</si>
  <si>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</si>
  <si>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</si>
  <si>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</si>
  <si>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</si>
  <si>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</si>
  <si>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</si>
  <si>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</si>
  <si>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</si>
  <si>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</si>
  <si>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</si>
  <si>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</si>
  <si>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</si>
  <si>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</si>
  <si>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</si>
  <si>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</si>
  <si>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</si>
  <si>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</si>
  <si>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</si>
  <si>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</si>
  <si>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</si>
  <si>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</si>
  <si>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</si>
  <si>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</si>
  <si>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</si>
  <si>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</si>
  <si>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</si>
  <si>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</si>
  <si>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</si>
  <si>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</si>
  <si>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</si>
  <si>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</si>
  <si>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</si>
  <si>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</si>
  <si>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</si>
  <si>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</si>
  <si>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</si>
  <si>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</si>
  <si>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</si>
  <si>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</si>
  <si>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</si>
  <si>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</si>
  <si>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</si>
  <si>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</si>
  <si>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</si>
  <si>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</si>
  <si>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</si>
  <si>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</si>
  <si>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</si>
  <si>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</si>
  <si>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</si>
  <si>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</si>
  <si>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</si>
  <si>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</si>
  <si>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</si>
  <si>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</si>
  <si>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</si>
  <si>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</si>
  <si>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</si>
  <si>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</si>
  <si>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</si>
  <si>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</si>
  <si>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</si>
  <si>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</si>
  <si>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</si>
  <si>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</si>
  <si>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</si>
  <si>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</si>
  <si>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</si>
  <si>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</si>
  <si>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</si>
  <si>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</si>
  <si>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</si>
  <si>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</si>
  <si>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</si>
  <si>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</si>
  <si>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</si>
  <si>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</si>
  <si>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</si>
  <si>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</si>
  <si>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</si>
  <si>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</si>
  <si>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</si>
  <si>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</si>
  <si>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</si>
  <si>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</si>
  <si>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</si>
  <si>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</si>
  <si>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</si>
  <si>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</si>
  <si>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</si>
  <si>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</si>
  <si>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</si>
  <si>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</si>
  <si>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</si>
  <si>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</si>
  <si>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</si>
  <si>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</si>
  <si>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</si>
  <si>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</si>
  <si>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</si>
  <si>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</si>
  <si>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</si>
  <si>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</si>
  <si>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</si>
  <si>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</si>
  <si>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</si>
  <si>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</si>
  <si>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</si>
  <si>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</si>
  <si>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</si>
  <si>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</si>
  <si>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</si>
  <si>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</si>
  <si>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</si>
  <si>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</si>
  <si>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</si>
  <si>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</si>
  <si>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</si>
  <si>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</si>
  <si>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</si>
  <si>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</si>
  <si>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</si>
  <si>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</si>
  <si>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</si>
  <si>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</si>
  <si>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</si>
  <si>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</si>
  <si>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</si>
  <si>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</si>
  <si>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</si>
  <si>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</si>
  <si>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</si>
  <si>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</si>
  <si>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</si>
  <si>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</si>
  <si>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</si>
  <si>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</si>
  <si>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</si>
  <si>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</si>
  <si>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</si>
  <si>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</si>
  <si>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</si>
  <si>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</si>
  <si>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</si>
  <si>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</si>
  <si>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</si>
  <si>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</si>
  <si>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</si>
  <si>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</si>
  <si>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</si>
  <si>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</si>
  <si>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</si>
  <si>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</si>
  <si>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</si>
  <si>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</si>
  <si>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</si>
  <si>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</si>
  <si>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</si>
  <si>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</si>
  <si>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</si>
  <si>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</si>
  <si>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</si>
  <si>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</si>
  <si>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</si>
  <si>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</si>
  <si>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</si>
  <si>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</si>
  <si>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</si>
  <si>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</si>
  <si>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</si>
  <si>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</si>
  <si>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</si>
  <si>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</si>
  <si>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</si>
  <si>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</si>
  <si>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</si>
  <si>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</si>
  <si>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</si>
  <si>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</si>
  <si>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</si>
  <si>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</si>
  <si>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</si>
  <si>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</si>
  <si>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</si>
  <si>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</si>
  <si>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</si>
  <si>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</si>
  <si>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</si>
  <si>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</si>
  <si>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</si>
  <si>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</si>
  <si>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</si>
  <si>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</si>
  <si>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</si>
  <si>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</si>
  <si>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</si>
  <si>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</si>
  <si>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</si>
  <si>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</si>
  <si>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</si>
  <si>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</si>
  <si>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</si>
  <si>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</si>
  <si>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</si>
  <si>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</si>
  <si>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</si>
  <si>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</si>
  <si>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</si>
  <si>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</si>
  <si>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</si>
  <si>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</si>
  <si>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</si>
  <si>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</si>
  <si>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</si>
  <si>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</si>
  <si>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</si>
  <si>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</si>
  <si>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</si>
  <si>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</si>
  <si>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</si>
  <si>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</si>
  <si>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</si>
  <si>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</si>
  <si>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</si>
  <si>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</si>
  <si>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</si>
  <si>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</si>
  <si>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</si>
  <si>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</si>
  <si>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</si>
  <si>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</si>
  <si>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</si>
  <si>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</si>
  <si>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</si>
  <si>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</si>
  <si>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</si>
  <si>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</si>
  <si>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</si>
  <si>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</si>
  <si>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</si>
  <si>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</si>
  <si>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</si>
  <si>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</si>
  <si>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</si>
  <si>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</si>
  <si>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</si>
  <si>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</si>
  <si>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</si>
  <si>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</si>
  <si>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</si>
  <si>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</si>
  <si>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</si>
  <si>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</si>
  <si>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</si>
  <si>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</si>
  <si>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</si>
  <si>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</si>
  <si>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</si>
  <si>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</si>
  <si>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</si>
  <si>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</si>
  <si>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</si>
  <si>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</si>
  <si>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</si>
  <si>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</si>
  <si>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</si>
  <si>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</si>
  <si>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</si>
  <si>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</si>
  <si>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</si>
  <si>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</si>
  <si>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</si>
  <si>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</si>
  <si>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</si>
  <si>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</si>
  <si>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</si>
  <si>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</si>
  <si>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</si>
  <si>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</si>
  <si>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</si>
  <si>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</si>
  <si>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</si>
  <si>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</si>
  <si>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</si>
  <si>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</si>
  <si>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</si>
  <si>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</si>
  <si>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</si>
  <si>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</si>
  <si>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</si>
  <si>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</si>
  <si>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</si>
  <si>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</si>
  <si>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</si>
  <si>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</si>
  <si>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</si>
  <si>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</si>
  <si>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</si>
  <si>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</si>
  <si>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</si>
  <si>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</si>
  <si>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</si>
  <si>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</si>
  <si>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</si>
  <si>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</si>
  <si>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</si>
  <si>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</si>
  <si>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</si>
  <si>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</si>
  <si>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</si>
  <si>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</si>
  <si>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</si>
  <si>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</si>
  <si>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</si>
  <si>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</si>
  <si>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</si>
  <si>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</si>
  <si>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</si>
  <si>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</si>
  <si>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</si>
  <si>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</si>
  <si>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</si>
  <si>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</si>
  <si>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</si>
  <si>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</si>
  <si>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</si>
  <si>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</si>
  <si>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</si>
  <si>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</si>
  <si>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</si>
  <si>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</si>
  <si>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</si>
  <si>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</si>
  <si>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</si>
  <si>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</si>
  <si>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</si>
  <si>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</si>
  <si>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</si>
  <si>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</si>
  <si>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</si>
  <si>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</si>
  <si>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</si>
  <si>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</si>
  <si>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</si>
  <si>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</si>
  <si>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</si>
  <si>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</si>
  <si>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</si>
  <si>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</si>
  <si>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</si>
  <si>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</si>
  <si>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</si>
  <si>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</si>
  <si>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</si>
  <si>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</si>
  <si>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</si>
  <si>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</si>
  <si>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</si>
  <si>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</si>
  <si>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</si>
  <si>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</si>
  <si>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</si>
  <si>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</si>
  <si>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</si>
  <si>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</si>
  <si>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</si>
  <si>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</si>
  <si>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</si>
  <si>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</si>
  <si>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</si>
  <si>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</si>
  <si>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</si>
  <si>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</si>
  <si>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</si>
  <si>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</si>
  <si>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</si>
  <si>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</si>
  <si>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</si>
  <si>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</si>
  <si>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</si>
  <si>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</si>
  <si>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</si>
  <si>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</si>
  <si>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</si>
  <si>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</si>
  <si>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</si>
  <si>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</si>
  <si>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</si>
  <si>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</si>
  <si>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</si>
  <si>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</si>
  <si>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</si>
  <si>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</si>
  <si>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</si>
  <si>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</si>
  <si>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</si>
  <si>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</si>
  <si>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</si>
  <si>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</si>
  <si>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</si>
  <si>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</si>
  <si>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</si>
  <si>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</si>
  <si>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</si>
  <si>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</si>
  <si>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</si>
  <si>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</si>
  <si>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</si>
  <si>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</si>
  <si>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</si>
  <si>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</si>
  <si>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</si>
  <si>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</si>
  <si>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</si>
  <si>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</si>
  <si>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</si>
  <si>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</si>
  <si>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</si>
  <si>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</si>
  <si>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</si>
  <si>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</si>
  <si>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</si>
  <si>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</si>
  <si>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</si>
  <si>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</si>
  <si>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</si>
  <si>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</si>
  <si>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</si>
  <si>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</si>
  <si>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</si>
  <si>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</si>
  <si>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</si>
  <si>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</si>
  <si>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</si>
  <si>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</si>
  <si>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</si>
  <si>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</si>
  <si>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</si>
  <si>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</si>
  <si>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</si>
  <si>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</si>
  <si>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</si>
  <si>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</si>
  <si>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</si>
  <si>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</si>
  <si>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</si>
  <si>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</si>
  <si>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</si>
  <si>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</si>
  <si>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</si>
  <si>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</si>
  <si>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</si>
  <si>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</si>
  <si>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</si>
  <si>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</si>
  <si>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</si>
  <si>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</si>
  <si>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</si>
  <si>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</si>
  <si>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</si>
  <si>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</si>
  <si>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</si>
  <si>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</si>
  <si>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</si>
  <si>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</si>
  <si>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</si>
  <si>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</si>
  <si>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</si>
  <si>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</si>
  <si>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</si>
  <si>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</si>
  <si>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</si>
  <si>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</si>
  <si>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</si>
  <si>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</si>
  <si>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</si>
  <si>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</si>
  <si>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</si>
  <si>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</si>
  <si>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</si>
  <si>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</si>
  <si>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</si>
  <si>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</si>
  <si>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</si>
  <si>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</si>
  <si>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</si>
  <si>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</si>
  <si>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</si>
  <si>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</si>
  <si>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</si>
  <si>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</si>
  <si>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</si>
  <si>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</si>
  <si>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</si>
  <si>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</si>
  <si>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</si>
  <si>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</si>
  <si>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</si>
  <si>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</si>
  <si>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</si>
  <si>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</si>
  <si>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</si>
  <si>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</si>
  <si>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</si>
  <si>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</si>
  <si>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</si>
  <si>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</si>
  <si>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</si>
  <si>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</si>
  <si>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</si>
  <si>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</si>
  <si>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</si>
  <si>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</si>
  <si>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</si>
  <si>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</si>
  <si>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</si>
  <si>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</si>
  <si>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</si>
  <si>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</si>
  <si>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</si>
  <si>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</si>
  <si>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</si>
  <si>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</si>
  <si>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</si>
  <si>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</si>
  <si>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</si>
  <si>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</si>
  <si>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</si>
  <si>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</si>
  <si>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</si>
  <si>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</si>
  <si>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</si>
  <si>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</si>
  <si>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</si>
  <si>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</si>
  <si>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</si>
  <si>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</si>
  <si>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</si>
  <si>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</si>
  <si>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</si>
  <si>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</si>
  <si>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</si>
  <si>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</si>
  <si>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</si>
  <si>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</si>
  <si>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</si>
  <si>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</si>
  <si>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</si>
  <si>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</si>
  <si>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</si>
  <si>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</si>
  <si>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</si>
  <si>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</si>
  <si>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</si>
  <si>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</si>
  <si>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</si>
  <si>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</si>
  <si>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</si>
  <si>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</si>
  <si>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</si>
  <si>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</si>
  <si>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</si>
  <si>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</si>
  <si>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</si>
  <si>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</si>
  <si>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</si>
  <si>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</si>
  <si>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</si>
  <si>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</si>
  <si>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</si>
  <si>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</si>
  <si>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</si>
  <si>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</si>
  <si>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</si>
  <si>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</si>
  <si>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</si>
  <si>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</si>
  <si>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</si>
  <si>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</si>
  <si>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</si>
  <si>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</si>
  <si>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</si>
  <si>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</si>
  <si>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</si>
  <si>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</si>
  <si>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</si>
  <si>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</si>
  <si>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</si>
  <si>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</si>
  <si>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</si>
  <si>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</si>
  <si>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</si>
  <si>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</si>
  <si>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</si>
  <si>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</si>
  <si>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</si>
  <si>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</si>
  <si>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</si>
  <si>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</si>
  <si>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</si>
  <si>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</si>
  <si>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</si>
  <si>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</si>
  <si>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</si>
  <si>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</si>
  <si>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</si>
  <si>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</si>
  <si>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</si>
  <si>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</si>
  <si>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</si>
  <si>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</si>
  <si>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</si>
  <si>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</si>
  <si>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</si>
  <si>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</si>
  <si>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</si>
  <si>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</si>
  <si>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</si>
  <si>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</si>
  <si>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</si>
  <si>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</si>
  <si>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</si>
  <si>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</si>
  <si>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</si>
  <si>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</si>
  <si>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</si>
  <si>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</si>
  <si>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</si>
  <si>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</si>
  <si>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</si>
  <si>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</si>
  <si>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</si>
  <si>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</si>
  <si>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</si>
  <si>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</si>
  <si>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</si>
  <si>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</si>
  <si>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</si>
  <si>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</si>
  <si>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</si>
  <si>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</si>
  <si>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</si>
  <si>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</si>
  <si>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</si>
  <si>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</si>
  <si>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</si>
  <si>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</si>
  <si>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</si>
  <si>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</si>
  <si>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</si>
  <si>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</si>
  <si>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</si>
  <si>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</si>
  <si>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</si>
  <si>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</si>
  <si>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</si>
  <si>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</si>
  <si>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</si>
  <si>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</si>
  <si>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</si>
  <si>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</si>
  <si>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</si>
  <si>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</si>
  <si>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</si>
  <si>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</si>
  <si>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</si>
  <si>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</si>
  <si>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</si>
  <si>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</si>
  <si>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</si>
  <si>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</si>
  <si>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</si>
  <si>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</si>
  <si>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</si>
  <si>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</si>
  <si>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</si>
  <si>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</si>
  <si>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</si>
  <si>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</si>
  <si>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</si>
  <si>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</si>
  <si>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</si>
  <si>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</si>
  <si>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</si>
  <si>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</si>
  <si>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</si>
  <si>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</si>
  <si>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</si>
  <si>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</si>
  <si>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</si>
  <si>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</si>
  <si>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</si>
  <si>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</si>
  <si>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</si>
  <si>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</si>
  <si>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</si>
  <si>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</si>
  <si>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</si>
  <si>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</si>
  <si>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</si>
  <si>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</si>
  <si>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</si>
  <si>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</si>
  <si>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</si>
  <si>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</si>
  <si>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</si>
  <si>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</si>
  <si>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</si>
  <si>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</si>
  <si>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</si>
  <si>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</si>
  <si>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</si>
  <si>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</si>
  <si>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</si>
  <si>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</si>
  <si>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</si>
  <si>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</si>
  <si>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</si>
  <si>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</si>
  <si>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</si>
  <si>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</si>
  <si>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</si>
  <si>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</si>
  <si>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</si>
  <si>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</si>
  <si>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</si>
  <si>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</si>
  <si>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</si>
  <si>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</si>
  <si>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</si>
  <si>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</si>
  <si>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</si>
  <si>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</si>
  <si>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</si>
  <si>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</si>
  <si>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</si>
  <si>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</si>
  <si>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</si>
  <si>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</si>
  <si>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</si>
  <si>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</si>
  <si>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</si>
  <si>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</si>
  <si>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</si>
  <si>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</si>
  <si>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</si>
  <si>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</si>
  <si>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</si>
  <si>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</si>
  <si>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</si>
  <si>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</si>
  <si>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</si>
  <si>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</si>
  <si>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</si>
  <si>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</si>
  <si>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</si>
  <si>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</si>
  <si>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</si>
  <si>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</si>
  <si>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</si>
  <si>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</si>
  <si>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</si>
  <si>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</si>
  <si>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</si>
  <si>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</si>
  <si>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</si>
  <si>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</si>
  <si>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</si>
  <si>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</si>
  <si>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</si>
  <si>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</si>
  <si>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</si>
  <si>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</si>
  <si>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</si>
  <si>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</si>
  <si>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</si>
  <si>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</si>
  <si>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</si>
  <si>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</si>
  <si>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</si>
  <si>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</si>
  <si>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</si>
  <si>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</si>
  <si>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</si>
  <si>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</si>
  <si>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</si>
  <si>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</si>
  <si>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</si>
  <si>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</si>
  <si>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</si>
  <si>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</si>
  <si>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</si>
  <si>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</si>
  <si>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</si>
  <si>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</si>
  <si>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</si>
  <si>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</si>
  <si>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</si>
  <si>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</si>
  <si>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</si>
  <si>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</si>
  <si>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</si>
  <si>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</si>
  <si>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</si>
  <si>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</si>
  <si>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</si>
  <si>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</si>
  <si>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</si>
  <si>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</si>
  <si>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</si>
  <si>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</si>
  <si>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</si>
  <si>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</si>
  <si>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</si>
  <si>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</si>
  <si>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</si>
  <si>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</si>
  <si>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</si>
  <si>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</si>
  <si>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</si>
  <si>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</si>
  <si>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</si>
  <si>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</si>
  <si>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</si>
  <si>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</si>
  <si>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</si>
  <si>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</si>
  <si>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</si>
  <si>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</si>
  <si>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</si>
  <si>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</si>
  <si>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</si>
  <si>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</si>
  <si>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</si>
  <si>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</si>
  <si>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</si>
  <si>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</si>
  <si>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</si>
  <si>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</si>
  <si>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</si>
  <si>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</si>
  <si>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</si>
  <si>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</si>
  <si>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</si>
  <si>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</si>
  <si>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</si>
  <si>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</si>
  <si>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</si>
  <si>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</si>
  <si>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</si>
  <si>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</si>
  <si>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</si>
  <si>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</si>
  <si>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</si>
  <si>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</si>
  <si>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</si>
  <si>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</si>
  <si>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</si>
  <si>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</si>
  <si>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</si>
  <si>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</si>
  <si>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</si>
  <si>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</si>
  <si>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</si>
  <si>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</si>
  <si>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</si>
  <si>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</si>
  <si>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</si>
  <si>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</si>
  <si>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</si>
  <si>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</si>
  <si>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</si>
  <si>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</si>
  <si>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</si>
  <si>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</si>
  <si>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</si>
  <si>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</si>
  <si>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</si>
  <si>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</si>
  <si>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</si>
  <si>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</si>
  <si>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</si>
  <si>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</si>
  <si>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</si>
  <si>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</si>
  <si>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</si>
  <si>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</si>
  <si>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</si>
  <si>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</si>
  <si>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</si>
  <si>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</si>
  <si>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</si>
  <si>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</si>
  <si>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</si>
  <si>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</si>
  <si>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</si>
  <si>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</si>
  <si>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</si>
  <si>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</si>
  <si>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</si>
  <si>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</si>
  <si>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</si>
  <si>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</si>
  <si>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</si>
  <si>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</si>
  <si>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</si>
  <si>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</si>
  <si>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</si>
  <si>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</si>
  <si>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</si>
  <si>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</si>
  <si>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</si>
  <si>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</si>
  <si>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</si>
  <si>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</si>
  <si>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</si>
  <si>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</si>
  <si>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</si>
  <si>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</si>
  <si>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</si>
  <si>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</si>
  <si>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</si>
  <si>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</si>
  <si>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</si>
  <si>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</si>
  <si>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</si>
  <si>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</si>
  <si>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</si>
  <si>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</si>
  <si>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</si>
  <si>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</si>
  <si>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</si>
  <si>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</si>
  <si>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</si>
  <si>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</si>
  <si>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</si>
  <si>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</si>
  <si>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</si>
  <si>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</si>
  <si>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</si>
  <si>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</si>
  <si>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</si>
  <si>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</si>
  <si>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</si>
  <si>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</si>
  <si>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</si>
  <si>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</si>
  <si>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</si>
  <si>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</si>
  <si>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</si>
  <si>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</si>
  <si>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</si>
  <si>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</si>
  <si>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</si>
  <si>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</si>
  <si>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</si>
  <si>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</si>
  <si>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</si>
  <si>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</si>
  <si>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</si>
  <si>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</si>
  <si>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</si>
  <si>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</si>
  <si>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</si>
  <si>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</si>
  <si>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</si>
  <si>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</si>
  <si>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</si>
  <si>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</si>
  <si>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</si>
  <si>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</si>
  <si>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</si>
  <si>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</si>
  <si>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</si>
  <si>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</si>
  <si>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</si>
  <si>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</si>
  <si>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</si>
  <si>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</si>
  <si>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</si>
  <si>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</si>
  <si>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</si>
  <si>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</si>
  <si>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</si>
  <si>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</si>
  <si>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</si>
  <si>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</si>
  <si>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</si>
  <si>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</si>
  <si>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</si>
  <si>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</si>
  <si>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</si>
  <si>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</si>
  <si>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</si>
  <si>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</si>
  <si>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</si>
  <si>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</si>
  <si>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</si>
  <si>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</si>
  <si>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</si>
  <si>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</si>
  <si>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</si>
  <si>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</si>
  <si>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</si>
  <si>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</si>
  <si>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</si>
  <si>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</si>
  <si>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</si>
  <si>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</si>
  <si>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</si>
  <si>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</si>
  <si>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</si>
  <si>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</si>
  <si>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</si>
  <si>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</si>
  <si>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</si>
  <si>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</si>
  <si>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</si>
  <si>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</si>
  <si>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</si>
  <si>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</si>
  <si>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</si>
  <si>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</si>
  <si>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</si>
  <si>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</si>
  <si>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</si>
  <si>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</si>
  <si>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</si>
  <si>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</si>
  <si>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</si>
  <si>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</si>
  <si>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</si>
  <si>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</si>
  <si>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</si>
  <si>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</si>
  <si>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</si>
  <si>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</si>
  <si>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</si>
  <si>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</si>
  <si>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</si>
  <si>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</si>
  <si>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</si>
  <si>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</si>
  <si>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</si>
  <si>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</si>
  <si>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</si>
  <si>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</si>
  <si>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</si>
  <si>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</si>
  <si>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</si>
  <si>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</si>
  <si>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</si>
  <si>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</si>
  <si>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</si>
  <si>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</si>
  <si>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</si>
  <si>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</si>
  <si>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</si>
  <si>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</si>
  <si>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</si>
  <si>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</si>
  <si>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</si>
  <si>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</si>
  <si>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</si>
  <si>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</si>
  <si>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</si>
  <si>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</si>
  <si>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</si>
  <si>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</si>
  <si>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</si>
  <si>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</si>
  <si>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</si>
  <si>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</si>
  <si>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</si>
  <si>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</si>
  <si>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</si>
  <si>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</si>
  <si>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</si>
  <si>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</si>
  <si>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</si>
  <si>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</si>
  <si>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</si>
  <si>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</si>
  <si>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</si>
  <si>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</si>
  <si>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</si>
  <si>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</si>
  <si>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</si>
  <si>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</si>
  <si>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</si>
  <si>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</si>
  <si>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</si>
  <si>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</si>
  <si>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</si>
  <si>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</si>
  <si>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</si>
  <si>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</si>
  <si>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</si>
  <si>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</si>
  <si>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</si>
  <si>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</si>
  <si>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</si>
  <si>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</si>
  <si>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</si>
  <si>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</si>
  <si>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</si>
  <si>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</si>
  <si>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</si>
  <si>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</si>
  <si>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</si>
  <si>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</si>
  <si>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</si>
  <si>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</si>
  <si>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</si>
  <si>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</si>
  <si>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</si>
  <si>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</si>
  <si>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</si>
  <si>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</si>
  <si>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</si>
  <si>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</si>
  <si>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</si>
  <si>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</si>
  <si>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</si>
  <si>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</si>
  <si>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</si>
  <si>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</si>
  <si>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</si>
  <si>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</si>
  <si>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</si>
  <si>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</si>
  <si>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</si>
  <si>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</si>
  <si>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</si>
  <si>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</si>
  <si>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</si>
  <si>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</si>
  <si>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</si>
  <si>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</si>
  <si>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</si>
  <si>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</si>
  <si>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</si>
  <si>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</si>
  <si>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</si>
  <si>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</si>
  <si>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</si>
  <si>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</si>
  <si>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</si>
  <si>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</si>
  <si>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</si>
  <si>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</si>
  <si>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</si>
  <si>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</si>
  <si>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</si>
  <si>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</si>
  <si>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</si>
  <si>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</si>
  <si>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</si>
  <si>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</si>
  <si>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</si>
  <si>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</si>
  <si>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</si>
  <si>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</si>
  <si>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</si>
  <si>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</si>
  <si>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</si>
  <si>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</si>
  <si>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</si>
  <si>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</si>
  <si>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</si>
  <si>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</si>
  <si>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</si>
  <si>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</si>
  <si>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</si>
  <si>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</si>
  <si>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</si>
  <si>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</si>
  <si>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</si>
  <si>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</si>
  <si>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</si>
  <si>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</si>
  <si>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</si>
  <si>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</si>
  <si>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</si>
  <si>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</si>
  <si>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</si>
  <si>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</si>
  <si>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</si>
  <si>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</si>
  <si>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</si>
  <si>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</si>
  <si>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</si>
  <si>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</si>
  <si>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</si>
  <si>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</si>
  <si>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</si>
  <si>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</si>
  <si>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</si>
  <si>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</si>
  <si>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</si>
  <si>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</si>
  <si>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</si>
  <si>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</si>
  <si>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</si>
  <si>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</si>
  <si>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</si>
  <si>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</si>
  <si>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</si>
  <si>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</si>
  <si>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</si>
  <si>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</si>
  <si>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</si>
  <si>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</si>
  <si>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</si>
  <si>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</si>
  <si>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</si>
  <si>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</si>
  <si>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</si>
  <si>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</si>
  <si>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</si>
  <si>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</si>
  <si>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</si>
  <si>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</si>
  <si>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</si>
  <si>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</si>
  <si>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</si>
  <si>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</si>
  <si>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</si>
  <si>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</si>
  <si>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</si>
  <si>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</si>
  <si>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</si>
  <si>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</si>
  <si>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</si>
  <si>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</si>
  <si>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</si>
  <si>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</si>
  <si>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</si>
  <si>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</si>
  <si>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</si>
  <si>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</si>
  <si>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</si>
  <si>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</si>
  <si>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</si>
  <si>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</si>
  <si>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</si>
  <si>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</si>
  <si>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</si>
  <si>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</si>
  <si>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</si>
  <si>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</si>
  <si>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</si>
  <si>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</si>
  <si>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</si>
  <si>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</si>
  <si>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</si>
  <si>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</si>
  <si>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</si>
  <si>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</si>
  <si>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</si>
  <si>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</si>
  <si>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</si>
  <si>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</si>
  <si>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</si>
  <si>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</si>
  <si>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</si>
  <si>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</si>
  <si>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</si>
  <si>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</si>
  <si>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</si>
  <si>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</si>
  <si>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</si>
  <si>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</si>
  <si>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</si>
  <si>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</si>
  <si>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</si>
  <si>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</si>
  <si>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</si>
  <si>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</si>
  <si>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</si>
  <si>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</si>
  <si>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</si>
  <si>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</si>
  <si>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</si>
  <si>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</si>
  <si>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</si>
  <si>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</si>
  <si>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</si>
  <si>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</si>
  <si>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</si>
  <si>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</si>
  <si>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</si>
  <si>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</si>
  <si>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</si>
  <si>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</si>
  <si>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</si>
  <si>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</si>
  <si>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</si>
  <si>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</si>
  <si>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</si>
  <si>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</si>
  <si>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</si>
  <si>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</si>
  <si>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</si>
  <si>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</si>
  <si>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</si>
  <si>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</si>
  <si>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</si>
  <si>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</si>
  <si>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</si>
  <si>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</si>
  <si>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</si>
  <si>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</si>
  <si>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</si>
  <si>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</si>
  <si>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</si>
  <si>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</si>
  <si>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</si>
  <si>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</si>
  <si>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</si>
  <si>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</si>
  <si>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</si>
  <si>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</si>
  <si>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</si>
  <si>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</si>
  <si>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</si>
  <si>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</si>
  <si>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</si>
  <si>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</si>
  <si>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</si>
  <si>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</si>
  <si>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</si>
  <si>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</si>
  <si>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</si>
  <si>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</si>
  <si>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</si>
  <si>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</si>
  <si>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</si>
  <si>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</si>
  <si>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</si>
  <si>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</si>
  <si>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</si>
  <si>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</si>
  <si>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</si>
  <si>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</si>
  <si>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</si>
  <si>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</si>
  <si>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</si>
  <si>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</si>
  <si>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</si>
  <si>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</si>
  <si>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</si>
  <si>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</si>
  <si>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</si>
  <si>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</si>
  <si>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</si>
  <si>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</si>
  <si>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</si>
  <si>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</si>
  <si>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</si>
  <si>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</si>
  <si>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</si>
  <si>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</si>
  <si>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</si>
  <si>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</si>
  <si>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</si>
  <si>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</si>
  <si>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</si>
  <si>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</si>
  <si>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</si>
  <si>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</si>
  <si>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</si>
  <si>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</si>
  <si>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</si>
  <si>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</si>
  <si>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</si>
  <si>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</si>
  <si>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</si>
  <si>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</si>
  <si>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</si>
  <si>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</si>
  <si>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</si>
  <si>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</si>
  <si>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</si>
  <si>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</si>
  <si>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</si>
  <si>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</si>
  <si>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</si>
  <si>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</si>
  <si>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</si>
  <si>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</si>
  <si>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</si>
  <si>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</si>
  <si>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</si>
  <si>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</si>
  <si>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</si>
  <si>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</si>
  <si>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</si>
  <si>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</si>
  <si>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</si>
  <si>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</si>
  <si>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</si>
  <si>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</si>
  <si>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</si>
  <si>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</si>
  <si>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</si>
  <si>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</si>
  <si>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</si>
  <si>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</si>
  <si>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</si>
  <si>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</si>
  <si>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</si>
  <si>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</si>
  <si>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</si>
  <si>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</si>
  <si>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</si>
  <si>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</si>
  <si>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</si>
  <si>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</si>
  <si>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</si>
  <si>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</si>
  <si>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</si>
  <si>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</si>
  <si>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</si>
  <si>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</si>
  <si>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</si>
  <si>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</si>
  <si>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</si>
  <si>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</si>
  <si>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</si>
  <si>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</si>
  <si>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</si>
  <si>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</si>
  <si>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</si>
  <si>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</si>
  <si>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</si>
  <si>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</si>
  <si>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</si>
  <si>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</si>
  <si>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</si>
  <si>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</si>
  <si>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</si>
  <si>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</si>
  <si>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</si>
  <si>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</si>
  <si>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</si>
  <si>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</si>
  <si>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</si>
  <si>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</si>
  <si>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</si>
  <si>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</si>
  <si>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</si>
  <si>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</si>
  <si>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</si>
  <si>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</si>
  <si>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</si>
  <si>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</si>
  <si>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</si>
  <si>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</si>
  <si>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</si>
  <si>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</si>
  <si>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</si>
  <si>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</si>
  <si>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</si>
  <si>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</si>
  <si>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</si>
  <si>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</si>
  <si>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</si>
  <si>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</si>
  <si>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</si>
  <si>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</si>
  <si>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</si>
  <si>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</si>
  <si>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</si>
  <si>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</si>
  <si>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</si>
  <si>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</si>
  <si>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</si>
  <si>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</si>
  <si>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</si>
  <si>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</si>
  <si>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</si>
  <si>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</si>
  <si>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</si>
  <si>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</si>
  <si>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</si>
  <si>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</si>
  <si>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</si>
  <si>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</si>
  <si>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</si>
  <si>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</si>
  <si>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</si>
  <si>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</si>
  <si>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</si>
  <si>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</si>
  <si>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</si>
  <si>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</si>
  <si>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</si>
  <si>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</si>
  <si>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</si>
  <si>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</si>
  <si>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</si>
  <si>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</si>
  <si>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</si>
  <si>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</si>
  <si>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</si>
  <si>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</si>
  <si>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</si>
  <si>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</si>
  <si>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</si>
  <si>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</si>
  <si>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</si>
  <si>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</si>
  <si>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</si>
  <si>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</si>
  <si>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</si>
  <si>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</si>
  <si>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</si>
  <si>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</si>
  <si>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</si>
  <si>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</si>
  <si>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</si>
  <si>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</si>
  <si>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</si>
  <si>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</si>
  <si>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</si>
  <si>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</si>
  <si>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</si>
  <si>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</si>
  <si>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</si>
  <si>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</si>
  <si>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</si>
  <si>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</si>
  <si>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</si>
  <si>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</si>
  <si>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</si>
  <si>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</si>
  <si>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</si>
  <si>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</si>
  <si>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</si>
  <si>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</si>
  <si>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</si>
  <si>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</si>
  <si>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</si>
  <si>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</si>
  <si>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</si>
  <si>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</si>
  <si>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</si>
  <si>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</si>
  <si>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</si>
  <si>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</si>
  <si>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</si>
  <si>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</si>
  <si>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</si>
  <si>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</si>
  <si>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</si>
  <si>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</si>
  <si>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</si>
  <si>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</si>
  <si>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</si>
  <si>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</si>
  <si>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</si>
  <si>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</si>
  <si>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</si>
  <si>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</si>
  <si>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</si>
  <si>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</si>
  <si>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</si>
  <si>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</si>
  <si>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</si>
  <si>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</si>
  <si>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</si>
  <si>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</si>
  <si>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</si>
  <si>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</si>
  <si>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</si>
  <si>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</si>
  <si>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</si>
  <si>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</si>
  <si>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</si>
  <si>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</si>
  <si>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</si>
  <si>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</si>
  <si>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</si>
  <si>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</si>
  <si>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</si>
  <si>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</si>
  <si>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</si>
  <si>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</si>
  <si>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</si>
  <si>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</si>
  <si>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</si>
  <si>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</si>
  <si>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</si>
  <si>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</si>
  <si>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</si>
  <si>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</si>
  <si>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</si>
  <si>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</si>
  <si>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</si>
  <si>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</si>
  <si>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</si>
  <si>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</si>
  <si>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</si>
  <si>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</si>
  <si>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</si>
  <si>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</si>
  <si>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</si>
  <si>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</si>
  <si>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</si>
  <si>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</si>
  <si>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</si>
  <si>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</si>
  <si>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</si>
  <si>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</si>
  <si>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</si>
  <si>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</si>
  <si>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</si>
  <si>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</si>
  <si>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</si>
  <si>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</si>
  <si>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</si>
  <si>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</si>
  <si>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</si>
  <si>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</si>
  <si>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</si>
  <si>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</si>
  <si>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</si>
  <si>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</si>
  <si>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</si>
  <si>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</si>
  <si>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</si>
  <si>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</si>
  <si>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</si>
  <si>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</si>
  <si>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</si>
  <si>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</si>
  <si>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</si>
  <si>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</si>
  <si>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</si>
  <si>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</si>
  <si>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</si>
  <si>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</si>
  <si>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</si>
  <si>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</si>
  <si>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</si>
  <si>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</si>
  <si>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</si>
  <si>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</si>
  <si>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</si>
  <si>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</si>
  <si>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</si>
  <si>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</si>
  <si>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</si>
  <si>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</si>
  <si>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</si>
  <si>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</si>
  <si>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</si>
  <si>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</si>
  <si>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</si>
  <si>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</si>
  <si>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</si>
  <si>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</si>
  <si>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</si>
  <si>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</si>
  <si>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</si>
  <si>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</si>
  <si>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</si>
  <si>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</si>
  <si>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</si>
  <si>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</si>
  <si>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</si>
  <si>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</si>
  <si>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</si>
  <si>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</si>
  <si>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</si>
  <si>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</si>
  <si>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</si>
  <si>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</si>
  <si>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</si>
  <si>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</si>
  <si>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</si>
  <si>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</si>
  <si>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</si>
  <si>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</si>
  <si>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</si>
  <si>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</si>
  <si>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</si>
  <si>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</si>
  <si>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</si>
  <si>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</si>
  <si>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</si>
  <si>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</si>
  <si>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</si>
  <si>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</si>
  <si>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</si>
  <si>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</si>
  <si>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</si>
  <si>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</si>
  <si>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</si>
  <si>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</si>
  <si>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</si>
  <si>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</si>
  <si>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</si>
  <si>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</si>
  <si>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</si>
  <si>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</si>
  <si>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</si>
  <si>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</si>
  <si>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</si>
  <si>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</si>
  <si>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</si>
  <si>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</si>
  <si>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</si>
  <si>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</si>
  <si>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</si>
  <si>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</si>
  <si>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</si>
  <si>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</si>
  <si>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</si>
  <si>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</si>
  <si>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</si>
  <si>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</si>
  <si>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</si>
  <si>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</si>
  <si>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</si>
  <si>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</si>
  <si>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</si>
  <si>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</si>
  <si>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</si>
  <si>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</si>
  <si>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</si>
  <si>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</si>
  <si>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</si>
  <si>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</si>
  <si>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</si>
  <si>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</si>
  <si>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</si>
  <si>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</si>
  <si>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</si>
  <si>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</si>
  <si>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</si>
  <si>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</si>
  <si>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</si>
  <si>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</si>
  <si>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</si>
  <si>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</si>
  <si>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</si>
  <si>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</si>
  <si>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</si>
  <si>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</si>
  <si>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</si>
  <si>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</si>
  <si>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</si>
  <si>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</si>
  <si>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</si>
  <si>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</si>
  <si>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</si>
  <si>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</si>
  <si>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</si>
  <si>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</si>
  <si>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</si>
  <si>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</si>
  <si>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</si>
  <si>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</si>
  <si>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</si>
  <si>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</si>
  <si>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</si>
  <si>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</si>
  <si>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</si>
  <si>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</si>
  <si>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</si>
  <si>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</si>
  <si>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</si>
  <si>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</si>
  <si>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</si>
  <si>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</si>
  <si>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</si>
  <si>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</si>
  <si>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</si>
  <si>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</si>
  <si>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</si>
  <si>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</si>
  <si>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</si>
  <si>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</si>
  <si>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</si>
  <si>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</si>
  <si>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</si>
  <si>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</si>
  <si>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</si>
  <si>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</si>
  <si>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</si>
  <si>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</si>
  <si>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</si>
  <si>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</si>
  <si>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</si>
  <si>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</si>
  <si>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</si>
  <si>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</si>
  <si>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</si>
  <si>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</si>
  <si>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</si>
  <si>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</si>
  <si>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</si>
  <si>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</si>
  <si>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</si>
  <si>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</si>
  <si>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</si>
  <si>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</si>
  <si>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</si>
  <si>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</si>
  <si>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</si>
  <si>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</si>
  <si>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</si>
  <si>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</si>
  <si>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</si>
  <si>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</si>
  <si>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</si>
  <si>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</si>
  <si>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</si>
  <si>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</si>
  <si>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</si>
  <si>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</si>
  <si>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</si>
  <si>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</si>
  <si>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</si>
  <si>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</si>
  <si>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</si>
  <si>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</si>
  <si>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</si>
  <si>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</si>
  <si>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</si>
  <si>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</si>
  <si>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</si>
  <si>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</si>
  <si>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</si>
  <si>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</si>
  <si>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</si>
  <si>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</si>
  <si>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</si>
  <si>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</si>
  <si>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</si>
  <si>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</si>
  <si>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</si>
  <si>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</si>
  <si>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</si>
  <si>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</si>
  <si>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</si>
  <si>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</si>
  <si>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</si>
  <si>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</si>
  <si>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</si>
  <si>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</si>
  <si>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</si>
  <si>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</si>
  <si>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</si>
  <si>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</si>
  <si>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</si>
  <si>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</si>
  <si>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</si>
  <si>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</si>
  <si>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</si>
  <si>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</si>
  <si>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</si>
  <si>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</si>
  <si>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</si>
  <si>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</si>
  <si>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</si>
  <si>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</si>
  <si>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</si>
  <si>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</si>
  <si>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</si>
  <si>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</si>
  <si>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</si>
  <si>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</si>
  <si>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</si>
  <si>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</si>
  <si>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</si>
  <si>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</si>
  <si>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</si>
  <si>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</si>
  <si>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</si>
  <si>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</si>
  <si>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</si>
  <si>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</si>
  <si>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</si>
  <si>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</si>
  <si>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</si>
  <si>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</si>
  <si>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</si>
  <si>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</si>
  <si>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</si>
  <si>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</si>
  <si>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</si>
  <si>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</si>
  <si>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</si>
  <si>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</si>
  <si>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</si>
  <si>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</si>
  <si>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</si>
  <si>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</si>
  <si>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</si>
  <si>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</si>
  <si>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</si>
  <si>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</si>
  <si>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</si>
  <si>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</si>
  <si>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</si>
  <si>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</si>
  <si>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</si>
  <si>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</si>
  <si>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</si>
  <si>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</si>
  <si>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</si>
  <si>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</si>
  <si>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</si>
  <si>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</si>
  <si>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</si>
  <si>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</si>
  <si>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</si>
  <si>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</si>
  <si>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</si>
  <si>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</si>
  <si>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</si>
  <si>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</si>
  <si>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</si>
  <si>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</si>
  <si>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</si>
  <si>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</si>
  <si>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</si>
  <si>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</si>
  <si>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</si>
  <si>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</si>
  <si>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</si>
  <si>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</si>
  <si>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</si>
  <si>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</si>
  <si>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</si>
  <si>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</si>
  <si>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</si>
  <si>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</si>
  <si>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</si>
  <si>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</si>
  <si>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</si>
  <si>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</si>
  <si>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</si>
  <si>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</si>
  <si>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</si>
  <si>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</si>
  <si>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</si>
  <si>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</si>
  <si>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</si>
  <si>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</si>
  <si>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</si>
  <si>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</si>
  <si>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</si>
  <si>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</si>
  <si>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</si>
  <si>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</si>
  <si>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</si>
  <si>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</si>
  <si>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</si>
  <si>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</si>
  <si>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</si>
  <si>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</si>
  <si>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</si>
  <si>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</si>
  <si>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</si>
  <si>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</si>
  <si>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</si>
  <si>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</si>
  <si>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</si>
  <si>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</si>
  <si>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</si>
  <si>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</si>
  <si>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</si>
  <si>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</si>
  <si>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</si>
  <si>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</si>
  <si>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</si>
  <si>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</si>
  <si>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</si>
  <si>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</si>
  <si>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</si>
  <si>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</si>
  <si>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</si>
  <si>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</si>
  <si>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</si>
  <si>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</si>
  <si>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</si>
  <si>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</si>
  <si>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</si>
  <si>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</si>
  <si>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</si>
  <si>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</si>
  <si>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</si>
  <si>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</si>
  <si>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</si>
  <si>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</si>
  <si>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</si>
  <si>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</si>
  <si>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</si>
  <si>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</si>
  <si>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</si>
  <si>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</si>
  <si>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</si>
  <si>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</si>
  <si>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</si>
  <si>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</si>
  <si>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</si>
  <si>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</si>
  <si>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</si>
  <si>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</si>
  <si>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</si>
  <si>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</si>
  <si>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</si>
  <si>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</si>
  <si>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</si>
  <si>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</si>
  <si>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</si>
  <si>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</si>
  <si>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</si>
  <si>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</si>
  <si>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</si>
  <si>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</si>
  <si>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</si>
  <si>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</si>
  <si>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</si>
  <si>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</si>
  <si>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</si>
  <si>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</si>
  <si>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</si>
  <si>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</si>
  <si>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</si>
  <si>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</si>
  <si>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</si>
  <si>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</si>
  <si>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</si>
  <si>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</si>
  <si>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</si>
  <si>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</si>
  <si>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</si>
  <si>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</si>
  <si>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</si>
  <si>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</si>
  <si>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</si>
  <si>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</si>
  <si>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</si>
  <si>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</si>
  <si>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</si>
  <si>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</si>
  <si>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</si>
  <si>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</si>
  <si>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</si>
  <si>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</si>
  <si>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</si>
  <si>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</si>
  <si>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</si>
  <si>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</si>
  <si>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</si>
  <si>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</si>
  <si>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</si>
  <si>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</si>
  <si>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</si>
  <si>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</si>
  <si>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</si>
  <si>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</si>
  <si>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</si>
  <si>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</si>
  <si>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</si>
  <si>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</si>
  <si>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</si>
  <si>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</si>
  <si>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</si>
  <si>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</si>
  <si>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</si>
  <si>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</si>
  <si>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</si>
  <si>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</si>
  <si>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</si>
  <si>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</si>
  <si>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</si>
  <si>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</si>
  <si>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</si>
  <si>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</si>
  <si>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</si>
  <si>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</si>
  <si>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</si>
  <si>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</si>
  <si>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</si>
  <si>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</si>
  <si>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</si>
  <si>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</si>
  <si>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</si>
  <si>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</si>
  <si>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</si>
  <si>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</si>
  <si>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</si>
  <si>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</si>
  <si>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</si>
  <si>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</si>
  <si>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</si>
  <si>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</si>
  <si>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</si>
  <si>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</si>
  <si>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</si>
  <si>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</si>
  <si>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</si>
  <si>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</si>
  <si>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</si>
  <si>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</si>
  <si>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</si>
  <si>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</si>
  <si>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</si>
  <si>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</si>
  <si>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</si>
  <si>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</si>
  <si>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</si>
  <si>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</si>
  <si>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</si>
  <si>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</si>
  <si>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</si>
  <si>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</si>
  <si>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</si>
  <si>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</si>
  <si>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</si>
  <si>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</si>
  <si>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</si>
  <si>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</si>
  <si>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</si>
  <si>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</si>
  <si>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</si>
  <si>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</si>
  <si>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</si>
  <si>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</si>
  <si>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</si>
  <si>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</si>
  <si>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</si>
  <si>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</si>
  <si>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</si>
  <si>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</si>
  <si>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</si>
  <si>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</si>
  <si>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</si>
  <si>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</si>
  <si>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</si>
  <si>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</si>
  <si>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</si>
  <si>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</si>
  <si>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</si>
  <si>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</si>
  <si>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</si>
  <si>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</si>
  <si>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</si>
  <si>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</si>
  <si>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</si>
  <si>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</si>
  <si>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</si>
  <si>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</si>
  <si>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</si>
  <si>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</si>
  <si>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</si>
  <si>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</si>
  <si>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</si>
  <si>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</si>
  <si>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</si>
  <si>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</si>
  <si>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</si>
  <si>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</si>
  <si>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</si>
  <si>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</si>
  <si>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</si>
  <si>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</si>
  <si>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</si>
  <si>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</si>
  <si>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</si>
  <si>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</si>
  <si>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</si>
  <si>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</si>
  <si>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</si>
  <si>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</si>
  <si>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</si>
  <si>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</si>
  <si>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</si>
  <si>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</si>
  <si>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</si>
  <si>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</si>
  <si>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</si>
  <si>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</si>
  <si>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</si>
  <si>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</si>
  <si>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</si>
  <si>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</si>
  <si>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</si>
  <si>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</si>
  <si>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</si>
  <si>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</si>
  <si>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</si>
  <si>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</si>
  <si>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</si>
  <si>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</si>
  <si>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</si>
  <si>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</si>
  <si>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</si>
  <si>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</si>
  <si>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</si>
  <si>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</si>
  <si>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</si>
  <si>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</si>
  <si>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</si>
  <si>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</si>
  <si>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</si>
  <si>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</si>
  <si>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</si>
  <si>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</si>
  <si>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</si>
  <si>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</si>
  <si>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</si>
  <si>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</si>
  <si>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</si>
  <si>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</si>
  <si>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</si>
  <si>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</si>
  <si>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</si>
  <si>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</si>
  <si>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</si>
  <si>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</si>
  <si>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</si>
  <si>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</si>
  <si>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</si>
  <si>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</si>
  <si>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</si>
  <si>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</si>
  <si>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</si>
  <si>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</si>
  <si>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</si>
  <si>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</si>
  <si>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</si>
  <si>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</si>
  <si>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</si>
  <si>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</si>
  <si>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</si>
  <si>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</si>
  <si>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</si>
  <si>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</si>
  <si>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</si>
  <si>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</si>
  <si>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</si>
  <si>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</si>
  <si>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</si>
  <si>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</si>
  <si>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</si>
  <si>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</si>
  <si>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</si>
  <si>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</si>
  <si>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</si>
  <si>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</si>
  <si>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</si>
  <si>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</si>
  <si>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</si>
  <si>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</si>
  <si>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</si>
  <si>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</si>
  <si>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</si>
  <si>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</si>
  <si>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</si>
  <si>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</si>
  <si>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</si>
  <si>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</si>
  <si>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</si>
  <si>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</si>
  <si>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</si>
  <si>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</si>
  <si>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</si>
  <si>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</si>
  <si>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</si>
  <si>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</si>
  <si>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</si>
  <si>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</si>
  <si>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</si>
  <si>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</si>
  <si>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</si>
  <si>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</si>
  <si>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</si>
  <si>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</si>
  <si>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</si>
  <si>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</si>
  <si>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</si>
  <si>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</si>
  <si>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</si>
  <si>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</si>
  <si>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</si>
  <si>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</si>
  <si>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</si>
  <si>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</si>
  <si>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</si>
  <si>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</si>
  <si>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</si>
  <si>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</si>
  <si>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</si>
  <si>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</si>
  <si>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</si>
  <si>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</si>
  <si>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</si>
  <si>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</si>
  <si>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</si>
  <si>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</si>
  <si>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</si>
  <si>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</si>
  <si>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</si>
  <si>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</si>
  <si>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</si>
  <si>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</si>
  <si>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</si>
  <si>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</si>
  <si>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</si>
  <si>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</si>
  <si>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</si>
  <si>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</si>
  <si>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</si>
  <si>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</si>
  <si>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</si>
  <si>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</si>
  <si>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</si>
  <si>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</si>
  <si>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</si>
  <si>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</si>
  <si>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</si>
  <si>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</si>
  <si>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</si>
  <si>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</si>
  <si>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</si>
  <si>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</si>
  <si>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</si>
  <si>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</si>
  <si>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</si>
  <si>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</si>
  <si>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</si>
  <si>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</si>
  <si>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</si>
  <si>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</si>
  <si>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</si>
  <si>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</si>
  <si>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</si>
  <si>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</si>
  <si>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</si>
  <si>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</si>
  <si>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</si>
  <si>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</si>
  <si>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</si>
  <si>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</si>
  <si>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</si>
  <si>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</si>
  <si>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</si>
  <si>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</si>
  <si>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</si>
  <si>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</si>
  <si>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</si>
  <si>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</si>
  <si>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</si>
  <si>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</si>
  <si>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</si>
  <si>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</si>
  <si>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</si>
  <si>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</si>
  <si>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</si>
  <si>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</si>
  <si>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</si>
  <si>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</si>
  <si>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</si>
  <si>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</si>
  <si>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</si>
  <si>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</si>
  <si>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</si>
  <si>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</si>
  <si>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</si>
  <si>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</si>
  <si>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</si>
  <si>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</si>
  <si>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</si>
  <si>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</si>
  <si>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</si>
  <si>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</si>
  <si>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</si>
  <si>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</si>
  <si>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</si>
  <si>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</si>
  <si>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</si>
  <si>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</si>
  <si>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</si>
  <si>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</si>
  <si>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</si>
  <si>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</si>
  <si>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</si>
  <si>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</si>
  <si>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</si>
  <si>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</si>
  <si>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</si>
  <si>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</si>
  <si>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</si>
  <si>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</si>
  <si>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</si>
  <si>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</si>
  <si>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</si>
  <si>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</si>
  <si>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</si>
  <si>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</si>
  <si>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</si>
  <si>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</si>
  <si>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</si>
  <si>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</si>
  <si>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</si>
  <si>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</si>
  <si>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</si>
  <si>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</si>
  <si>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</si>
  <si>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</si>
  <si>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</si>
  <si>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</si>
  <si>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</si>
  <si>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</si>
  <si>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</si>
  <si>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</si>
  <si>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</si>
  <si>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</si>
  <si>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</si>
  <si>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</si>
  <si>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</si>
  <si>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</si>
  <si>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</si>
  <si>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</si>
  <si>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</si>
  <si>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</si>
  <si>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</si>
  <si>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</si>
  <si>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</si>
  <si>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</si>
  <si>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</si>
  <si>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</si>
  <si>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</si>
  <si>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</si>
  <si>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</si>
  <si>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</si>
  <si>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</si>
  <si>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</si>
  <si>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</si>
  <si>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</si>
  <si>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</si>
  <si>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</si>
  <si>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</si>
  <si>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</si>
  <si>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</si>
  <si>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</si>
  <si>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</si>
  <si>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</si>
  <si>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</si>
  <si>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</si>
  <si>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</si>
  <si>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</si>
  <si>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</si>
  <si>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</si>
  <si>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</si>
  <si>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</si>
  <si>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</si>
  <si>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</si>
  <si>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</si>
  <si>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</si>
  <si>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</si>
  <si>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</si>
  <si>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</si>
  <si>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</si>
  <si>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</si>
  <si>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</si>
  <si>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</si>
  <si>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</si>
  <si>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</si>
  <si>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</si>
  <si>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</si>
  <si>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</si>
  <si>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</si>
  <si>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</si>
  <si>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</si>
  <si>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</si>
  <si>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</si>
  <si>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</si>
  <si>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</si>
  <si>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</si>
  <si>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</si>
  <si>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</si>
  <si>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</si>
  <si>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</si>
  <si>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</si>
  <si>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</si>
  <si>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</si>
  <si>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</si>
  <si>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</si>
  <si>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</si>
  <si>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</si>
  <si>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</si>
  <si>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</si>
  <si>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</si>
  <si>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</si>
  <si>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</si>
  <si>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</si>
  <si>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</si>
  <si>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</si>
  <si>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</si>
  <si>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</si>
  <si>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</si>
  <si>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</si>
  <si>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</si>
  <si>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</si>
  <si>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</si>
  <si>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</si>
  <si>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</si>
  <si>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</si>
  <si>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</si>
  <si>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</si>
  <si>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</si>
  <si>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</si>
  <si>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</si>
  <si>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</si>
  <si>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</si>
  <si>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</si>
  <si>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</si>
  <si>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</si>
  <si>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</si>
  <si>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</si>
  <si>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</si>
  <si>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</si>
  <si>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</si>
  <si>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</si>
  <si>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</si>
  <si>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</si>
  <si>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</si>
  <si>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</si>
  <si>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</si>
  <si>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</si>
  <si>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</si>
  <si>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</si>
  <si>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</si>
  <si>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</si>
  <si>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</si>
  <si>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</si>
  <si>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</si>
  <si>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</si>
  <si>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</si>
  <si>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</si>
  <si>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</si>
  <si>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</si>
  <si>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</si>
  <si>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</si>
  <si>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</si>
  <si>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</si>
  <si>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</si>
  <si>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</si>
  <si>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</si>
  <si>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</si>
  <si>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</si>
  <si>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</si>
  <si>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</si>
  <si>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</si>
  <si>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</si>
  <si>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</si>
  <si>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</si>
  <si>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</si>
  <si>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</si>
  <si>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</si>
  <si>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</si>
  <si>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</si>
  <si>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</si>
  <si>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</si>
  <si>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</si>
  <si>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</si>
  <si>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</si>
  <si>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</si>
  <si>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</si>
  <si>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</si>
  <si>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</si>
  <si>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</si>
  <si>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</si>
  <si>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</si>
  <si>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</si>
  <si>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</si>
  <si>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</si>
  <si>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</si>
  <si>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</si>
  <si>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</si>
  <si>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</si>
  <si>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</si>
  <si>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</si>
  <si>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</si>
  <si>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</si>
  <si>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</si>
  <si>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</si>
  <si>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</si>
  <si>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</si>
  <si>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</si>
  <si>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</si>
  <si>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</si>
  <si>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</si>
  <si>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</si>
  <si>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</si>
  <si>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</si>
  <si>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</si>
  <si>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</si>
  <si>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</si>
  <si>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</si>
  <si>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</si>
  <si>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</si>
  <si>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</si>
  <si>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</si>
  <si>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</si>
  <si>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</si>
  <si>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</si>
  <si>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</si>
  <si>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</si>
  <si>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</si>
  <si>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</si>
  <si>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</si>
  <si>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</si>
  <si>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</si>
  <si>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</si>
  <si>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</si>
  <si>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</si>
  <si>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</si>
  <si>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</si>
  <si>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</si>
  <si>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</si>
  <si>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</si>
  <si>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</si>
  <si>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</si>
  <si>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</si>
  <si>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</si>
  <si>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</si>
  <si>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</si>
  <si>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</si>
  <si>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</si>
  <si>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</si>
  <si>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</si>
  <si>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</si>
  <si>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</si>
  <si>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</si>
  <si>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</si>
  <si>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</si>
  <si>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</si>
  <si>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</si>
  <si>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</si>
  <si>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</si>
  <si>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</si>
  <si>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</si>
  <si>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</si>
  <si>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</si>
  <si>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</si>
  <si>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</si>
  <si>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</si>
  <si>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</si>
  <si>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</si>
  <si>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</si>
  <si>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</si>
  <si>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</si>
  <si>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</si>
  <si>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</si>
  <si>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</si>
  <si>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</si>
  <si>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</si>
  <si>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</si>
  <si>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</si>
  <si>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</si>
  <si>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</si>
  <si>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</si>
  <si>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</si>
  <si>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</si>
  <si>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</si>
  <si>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</si>
  <si>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</si>
  <si>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</si>
  <si>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</si>
  <si>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</si>
  <si>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</si>
  <si>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</si>
  <si>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</si>
  <si>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</si>
  <si>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</si>
  <si>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</si>
  <si>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</si>
  <si>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</si>
  <si>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</si>
  <si>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</si>
  <si>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</si>
  <si>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</si>
  <si>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</si>
  <si>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</si>
  <si>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</si>
  <si>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</si>
  <si>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</si>
  <si>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</si>
  <si>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</si>
  <si>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</si>
  <si>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</si>
  <si>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</si>
  <si>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</si>
  <si>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</si>
  <si>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</si>
  <si>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</si>
  <si>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</si>
  <si>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</si>
  <si>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</si>
  <si>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</si>
  <si>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</si>
  <si>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</si>
  <si>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</si>
  <si>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</si>
  <si>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</si>
  <si>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</si>
  <si>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</si>
  <si>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</si>
  <si>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</si>
  <si>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</si>
  <si>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</si>
  <si>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</si>
  <si>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</si>
  <si>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</si>
  <si>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</si>
  <si>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</si>
  <si>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</si>
  <si>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</si>
  <si>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</si>
  <si>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</si>
  <si>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</si>
  <si>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</si>
  <si>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</si>
  <si>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</si>
  <si>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</si>
  <si>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</si>
  <si>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</si>
  <si>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</si>
  <si>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</si>
  <si>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</si>
  <si>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</si>
  <si>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</si>
  <si>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</si>
  <si>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</si>
  <si>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</si>
  <si>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</si>
  <si>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</si>
  <si>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</si>
  <si>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</si>
  <si>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</si>
  <si>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</si>
  <si>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</si>
  <si>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</si>
  <si>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</si>
  <si>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</si>
  <si>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</si>
  <si>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</si>
  <si>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</si>
  <si>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</si>
  <si>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</si>
  <si>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</si>
  <si>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</si>
  <si>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</si>
  <si>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</si>
  <si>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</si>
  <si>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</si>
  <si>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</si>
  <si>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</si>
  <si>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</si>
  <si>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</si>
  <si>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</si>
  <si>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</si>
  <si>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</si>
  <si>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</si>
  <si>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</si>
  <si>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</si>
  <si>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</si>
  <si>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</si>
  <si>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</si>
  <si>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</si>
  <si>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</si>
  <si>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</si>
  <si>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</si>
  <si>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</si>
  <si>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</si>
  <si>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</si>
  <si>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</si>
  <si>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</si>
  <si>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</si>
  <si>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</si>
  <si>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</si>
  <si>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</si>
  <si>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</si>
  <si>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</si>
  <si>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</si>
  <si>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</si>
  <si>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</si>
  <si>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</si>
  <si>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</si>
  <si>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</si>
  <si>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</si>
  <si>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</si>
  <si>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</si>
  <si>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</si>
  <si>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</si>
  <si>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</si>
  <si>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</si>
  <si>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</si>
  <si>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</si>
  <si>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</si>
  <si>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</si>
  <si>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</si>
  <si>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</si>
  <si>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</si>
  <si>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</si>
  <si>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</si>
  <si>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</si>
  <si>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</si>
  <si>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</si>
  <si>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</si>
  <si>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</si>
  <si>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</si>
  <si>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</si>
  <si>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</si>
  <si>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</si>
  <si>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</si>
  <si>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</si>
  <si>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</si>
  <si>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</si>
  <si>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</si>
  <si>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</si>
  <si>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</si>
  <si>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</si>
  <si>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</si>
  <si>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</si>
  <si>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</si>
  <si>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</si>
  <si>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</si>
  <si>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</si>
  <si>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</si>
  <si>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</si>
  <si>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</si>
  <si>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</si>
  <si>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</si>
  <si>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</si>
  <si>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</si>
  <si>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</si>
  <si>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</si>
  <si>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</si>
  <si>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</si>
  <si>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</si>
  <si>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</si>
  <si>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</si>
  <si>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</si>
  <si>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</si>
  <si>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</si>
  <si>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</si>
  <si>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</si>
  <si>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</si>
  <si>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</si>
  <si>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</si>
  <si>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</si>
  <si>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</si>
  <si>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</si>
  <si>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</si>
  <si>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</si>
  <si>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</si>
  <si>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</si>
  <si>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</si>
  <si>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</si>
  <si>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</si>
  <si>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</si>
  <si>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</si>
  <si>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</si>
  <si>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</si>
  <si>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</si>
  <si>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</si>
  <si>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</si>
  <si>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</si>
  <si>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</si>
  <si>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</si>
  <si>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</si>
  <si>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</si>
  <si>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</si>
  <si>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</si>
  <si>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</si>
  <si>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</si>
  <si>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</si>
  <si>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</si>
  <si>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</si>
  <si>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</si>
  <si>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</si>
  <si>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</si>
  <si>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</si>
  <si>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</si>
  <si>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</si>
  <si>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</si>
  <si>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</si>
  <si>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</si>
  <si>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</si>
  <si>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</si>
  <si>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</si>
  <si>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</si>
  <si>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</si>
  <si>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</si>
  <si>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</si>
  <si>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</si>
  <si>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</si>
  <si>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</si>
  <si>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</si>
  <si>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</si>
  <si>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</si>
  <si>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</si>
  <si>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</si>
  <si>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</si>
  <si>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</si>
  <si>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</si>
  <si>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</si>
  <si>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</si>
  <si>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</si>
  <si>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</si>
  <si>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</si>
  <si>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</si>
  <si>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</si>
  <si>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</si>
  <si>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</si>
  <si>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</si>
  <si>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</si>
  <si>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</si>
  <si>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</si>
  <si>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</si>
  <si>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</si>
  <si>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</si>
  <si>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</si>
  <si>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</si>
  <si>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</si>
  <si>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</si>
  <si>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</si>
  <si>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</si>
  <si>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</si>
  <si>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</si>
  <si>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</si>
  <si>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</si>
  <si>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</si>
  <si>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</si>
  <si>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</si>
  <si>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</si>
  <si>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</si>
  <si>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</si>
  <si>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</si>
  <si>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</si>
  <si>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</si>
  <si>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</si>
  <si>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</si>
  <si>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</si>
  <si>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</si>
  <si>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</si>
  <si>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</si>
  <si>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</si>
  <si>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</si>
  <si>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</si>
  <si>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</si>
  <si>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</si>
  <si>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</si>
  <si>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</si>
  <si>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</si>
  <si>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</si>
  <si>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</si>
  <si>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</si>
  <si>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</si>
  <si>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</si>
  <si>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</si>
  <si>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</si>
  <si>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</si>
  <si>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</si>
  <si>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</si>
  <si>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</si>
  <si>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</si>
  <si>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</si>
  <si>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</si>
  <si>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</si>
  <si>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</si>
  <si>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</si>
  <si>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</si>
  <si>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</si>
  <si>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</si>
  <si>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</si>
  <si>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</si>
  <si>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</si>
  <si>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</si>
  <si>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</si>
  <si>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</si>
  <si>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</si>
  <si>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</si>
  <si>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</si>
  <si>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</si>
  <si>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</si>
  <si>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</si>
  <si>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</si>
  <si>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</si>
  <si>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</si>
  <si>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</si>
  <si>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</si>
  <si>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</si>
  <si>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</si>
  <si>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</si>
  <si>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</si>
  <si>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</si>
  <si>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</si>
  <si>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</si>
  <si>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</si>
  <si>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</si>
  <si>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</si>
  <si>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</si>
  <si>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</si>
  <si>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</si>
  <si>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</si>
  <si>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</si>
  <si>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</si>
  <si>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</si>
  <si>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</si>
  <si>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</si>
  <si>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</si>
  <si>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</si>
  <si>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</si>
  <si>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</si>
  <si>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</si>
  <si>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</si>
  <si>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</si>
  <si>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</si>
  <si>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</si>
  <si>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</si>
  <si>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</si>
  <si>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</si>
  <si>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</si>
  <si>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</si>
  <si>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</si>
  <si>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</si>
  <si>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</si>
  <si>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</si>
  <si>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</si>
  <si>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</si>
  <si>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</si>
  <si>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</si>
  <si>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</si>
  <si>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</si>
  <si>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</si>
  <si>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</si>
  <si>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</si>
  <si>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</si>
  <si>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</si>
  <si>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</si>
  <si>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</si>
  <si>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</si>
  <si>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</si>
  <si>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</si>
  <si>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</si>
  <si>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</si>
  <si>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</si>
  <si>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</si>
  <si>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</si>
  <si>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</si>
  <si>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</si>
  <si>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</si>
  <si>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</si>
  <si>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</si>
  <si>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</si>
  <si>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</si>
  <si>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</si>
  <si>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</si>
  <si>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</si>
  <si>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</si>
  <si>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</si>
  <si>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</si>
  <si>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</si>
  <si>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</si>
  <si>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</si>
  <si>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</si>
  <si>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</si>
  <si>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</si>
  <si>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</si>
  <si>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</si>
  <si>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</si>
  <si>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</si>
  <si>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</si>
  <si>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</si>
  <si>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</si>
  <si>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</si>
  <si>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</si>
  <si>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</si>
  <si>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</si>
  <si>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</si>
  <si>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</si>
  <si>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</si>
  <si>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</si>
  <si>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</si>
  <si>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</si>
  <si>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</si>
  <si>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</si>
  <si>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</si>
  <si>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</si>
  <si>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</si>
  <si>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</si>
  <si>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</si>
  <si>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</si>
  <si>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</si>
  <si>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</si>
  <si>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</si>
  <si>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</si>
  <si>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</si>
  <si>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</si>
  <si>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</si>
  <si>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</si>
  <si>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</si>
  <si>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</si>
  <si>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</si>
  <si>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</si>
  <si>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</si>
  <si>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</si>
  <si>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</si>
  <si>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</si>
  <si>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</si>
  <si>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</si>
  <si>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</si>
  <si>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</si>
  <si>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</si>
  <si>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</si>
  <si>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</si>
  <si>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</si>
  <si>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</si>
  <si>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</si>
  <si>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</si>
  <si>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</si>
  <si>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</si>
  <si>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</si>
  <si>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</si>
  <si>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</si>
  <si>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</si>
  <si>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</si>
  <si>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</si>
  <si>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</si>
  <si>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</si>
  <si>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</si>
  <si>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</si>
  <si>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</si>
  <si>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</si>
  <si>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</si>
  <si>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</si>
  <si>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</si>
  <si>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</si>
  <si>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</si>
  <si>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</si>
  <si>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</si>
  <si>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</si>
  <si>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</si>
  <si>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</si>
  <si>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</si>
  <si>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</si>
  <si>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</si>
  <si>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</si>
  <si>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</si>
  <si>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</si>
  <si>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</si>
  <si>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</si>
  <si>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</si>
  <si>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</si>
  <si>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</si>
  <si>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</si>
  <si>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</si>
  <si>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</si>
  <si>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</si>
  <si>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</si>
  <si>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</si>
  <si>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</si>
  <si>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</si>
  <si>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</si>
  <si>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</si>
  <si>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</si>
  <si>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</si>
  <si>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</si>
  <si>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</si>
  <si>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</si>
  <si>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</si>
  <si>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</si>
  <si>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</si>
  <si>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</si>
  <si>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</si>
  <si>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</si>
  <si>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</si>
  <si>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</si>
  <si>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</si>
  <si>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</si>
  <si>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</si>
  <si>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</si>
  <si>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</si>
  <si>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</si>
  <si>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</si>
  <si>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</si>
  <si>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</si>
  <si>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</si>
  <si>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</si>
  <si>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</si>
  <si>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</si>
  <si>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</si>
  <si>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</si>
  <si>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</si>
  <si>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</si>
  <si>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</si>
  <si>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</si>
  <si>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</si>
  <si>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</si>
  <si>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</si>
  <si>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</si>
  <si>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</si>
  <si>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</si>
  <si>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</si>
  <si>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</si>
  <si>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</si>
  <si>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</si>
  <si>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</si>
  <si>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</si>
  <si>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</si>
  <si>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</si>
  <si>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</si>
  <si>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</si>
  <si>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</si>
  <si>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</si>
  <si>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</si>
  <si>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</si>
  <si>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</si>
  <si>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</si>
  <si>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</si>
  <si>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</si>
  <si>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</si>
  <si>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</si>
  <si>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</si>
  <si>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</si>
  <si>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</si>
  <si>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</si>
  <si>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</si>
  <si>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</si>
  <si>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</si>
  <si>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</si>
  <si>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</si>
  <si>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</si>
  <si>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</si>
  <si>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</si>
  <si>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</si>
  <si>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</si>
  <si>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</si>
  <si>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</si>
  <si>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</si>
  <si>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</si>
  <si>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</si>
  <si>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</si>
  <si>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</si>
  <si>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</si>
  <si>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</si>
  <si>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</si>
  <si>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</si>
  <si>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</si>
  <si>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</si>
  <si>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</si>
  <si>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</si>
  <si>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</si>
  <si>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</si>
  <si>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</si>
  <si>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</si>
  <si>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</si>
  <si>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</si>
  <si>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</si>
  <si>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</si>
  <si>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</si>
  <si>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</si>
  <si>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</si>
  <si>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</si>
  <si>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</si>
  <si>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</si>
  <si>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</si>
  <si>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</si>
  <si>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</si>
  <si>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</si>
  <si>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</si>
  <si>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</si>
  <si>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</si>
  <si>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</si>
  <si>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</si>
  <si>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</si>
  <si>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</si>
  <si>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</si>
  <si>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</si>
  <si>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</si>
  <si>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</si>
  <si>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</si>
  <si>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</si>
  <si>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</si>
  <si>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</si>
  <si>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</si>
  <si>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</si>
  <si>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</si>
  <si>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</si>
  <si>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</si>
  <si>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</si>
  <si>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</si>
  <si>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</si>
  <si>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</si>
  <si>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</si>
  <si>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</si>
  <si>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</si>
  <si>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</si>
  <si>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</si>
  <si>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</si>
  <si>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</si>
  <si>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</si>
  <si>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</si>
  <si>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</si>
  <si>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</si>
  <si>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</si>
  <si>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</si>
  <si>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</si>
  <si>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</si>
  <si>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</si>
  <si>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</si>
  <si>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</si>
  <si>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</si>
  <si>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</si>
  <si>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</si>
  <si>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</si>
  <si>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</si>
  <si>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</si>
  <si>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</si>
  <si>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</si>
  <si>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</si>
  <si>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</si>
  <si>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</si>
  <si>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</si>
  <si>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</si>
  <si>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</si>
  <si>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</si>
  <si>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</si>
  <si>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</si>
  <si>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</si>
  <si>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</si>
  <si>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</si>
  <si>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</si>
  <si>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</si>
  <si>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</si>
  <si>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</si>
  <si>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</si>
  <si>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</si>
  <si>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</si>
  <si>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</si>
  <si>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</si>
  <si>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</si>
  <si>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</si>
  <si>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</si>
  <si>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</si>
  <si>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</si>
  <si>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</si>
  <si>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</si>
  <si>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</si>
  <si>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</si>
  <si>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</si>
  <si>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</si>
  <si>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</si>
  <si>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</si>
  <si>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</si>
  <si>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</si>
  <si>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</si>
  <si>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</si>
  <si>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</si>
  <si>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</si>
  <si>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</si>
  <si>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</si>
  <si>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</si>
  <si>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</si>
  <si>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</si>
  <si>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</si>
  <si>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</si>
  <si>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</si>
  <si>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</si>
  <si>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</si>
  <si>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</si>
  <si>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</si>
  <si>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</si>
  <si>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</si>
  <si>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</si>
  <si>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</si>
  <si>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</si>
  <si>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</si>
  <si>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</si>
  <si>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</si>
  <si>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</si>
  <si>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</si>
  <si>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</si>
  <si>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</si>
  <si>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</si>
  <si>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</si>
  <si>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</si>
  <si>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</si>
  <si>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</si>
  <si>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</si>
  <si>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</si>
  <si>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</si>
  <si>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</si>
  <si>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</si>
  <si>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</si>
  <si>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</si>
  <si>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</si>
  <si>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</si>
  <si>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</si>
  <si>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</si>
  <si>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</si>
  <si>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</si>
  <si>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</si>
  <si>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</si>
  <si>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</si>
  <si>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</si>
  <si>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</si>
  <si>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</si>
  <si>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</si>
  <si>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</si>
  <si>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</si>
  <si>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</si>
  <si>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</si>
  <si>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</si>
  <si>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</si>
  <si>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</si>
  <si>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</si>
  <si>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</si>
  <si>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</si>
  <si>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</si>
  <si>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</si>
  <si>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</si>
  <si>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</si>
  <si>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</si>
  <si>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</si>
  <si>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</si>
  <si>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</si>
  <si>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</si>
  <si>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</si>
  <si>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</si>
  <si>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</si>
  <si>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</si>
  <si>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</si>
  <si>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</si>
  <si>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</si>
  <si>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</si>
  <si>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</si>
  <si>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</si>
  <si>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</si>
  <si>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</si>
  <si>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</si>
  <si>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</si>
  <si>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</si>
  <si>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</si>
  <si>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</si>
  <si>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</si>
  <si>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</si>
  <si>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</si>
  <si>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</si>
  <si>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</si>
  <si>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</si>
  <si>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</si>
  <si>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</si>
  <si>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</si>
  <si>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</si>
  <si>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</si>
  <si>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</si>
  <si>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</si>
  <si>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</si>
  <si>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</si>
  <si>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</si>
  <si>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</si>
  <si>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</si>
  <si>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</si>
  <si>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</si>
  <si>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</si>
  <si>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</si>
  <si>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</si>
  <si>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</si>
  <si>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</si>
  <si>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</si>
  <si>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</si>
  <si>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</si>
  <si>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</si>
  <si>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</si>
  <si>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</si>
  <si>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</si>
  <si>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</si>
  <si>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</si>
  <si>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</si>
  <si>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</si>
  <si>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</si>
  <si>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</si>
  <si>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</si>
  <si>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</si>
  <si>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</si>
  <si>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</si>
  <si>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</si>
  <si>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</si>
  <si>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</si>
  <si>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</si>
  <si>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</si>
  <si>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</si>
  <si>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</si>
  <si>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</si>
  <si>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</si>
  <si>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</si>
  <si>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</si>
  <si>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</si>
  <si>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</si>
  <si>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</si>
  <si>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</si>
  <si>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</si>
  <si>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</si>
  <si>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</si>
  <si>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</si>
  <si>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</si>
  <si>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</si>
  <si>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</si>
  <si>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</si>
  <si>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</si>
  <si>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</si>
  <si>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</si>
  <si>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</si>
  <si>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</si>
  <si>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</si>
  <si>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</si>
  <si>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</si>
  <si>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</si>
  <si>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</si>
  <si>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</si>
  <si>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</si>
  <si>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</si>
  <si>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</si>
  <si>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</si>
  <si>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</si>
  <si>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</si>
  <si>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</si>
  <si>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</si>
  <si>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</si>
  <si>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</si>
  <si>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</si>
  <si>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</si>
  <si>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</si>
  <si>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</si>
  <si>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</si>
  <si>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</si>
  <si>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</si>
  <si>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</si>
  <si>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</si>
  <si>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</si>
  <si>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</si>
  <si>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</si>
  <si>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</si>
  <si>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</si>
  <si>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</si>
  <si>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</si>
  <si>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</si>
  <si>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</si>
  <si>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</si>
  <si>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</si>
  <si>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</si>
  <si>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</si>
  <si>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</si>
  <si>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</si>
  <si>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</si>
  <si>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</si>
  <si>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</si>
  <si>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</si>
  <si>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</si>
  <si>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</si>
  <si>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</si>
  <si>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</si>
  <si>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</si>
  <si>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</si>
  <si>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</si>
  <si>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</si>
  <si>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</si>
  <si>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</si>
  <si>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</si>
  <si>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</si>
  <si>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</si>
  <si>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</si>
  <si>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</si>
  <si>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</si>
  <si>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</si>
  <si>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</si>
  <si>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</si>
  <si>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</si>
  <si>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</si>
  <si>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</si>
  <si>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</si>
  <si>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</si>
  <si>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</si>
  <si>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</si>
  <si>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</si>
  <si>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</si>
  <si>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</si>
  <si>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</si>
  <si>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</si>
  <si>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</si>
  <si>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</si>
  <si>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</si>
  <si>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</si>
  <si>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</si>
  <si>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</si>
  <si>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</si>
  <si>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</si>
  <si>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</si>
  <si>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</si>
  <si>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</si>
  <si>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</si>
  <si>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</si>
  <si>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</si>
  <si>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</si>
  <si>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</si>
  <si>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</si>
  <si>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</si>
  <si>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</si>
  <si>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</si>
  <si>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</si>
  <si>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</si>
  <si>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</si>
  <si>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</si>
  <si>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</si>
  <si>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</si>
  <si>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</si>
  <si>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</si>
  <si>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</si>
  <si>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</si>
  <si>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</si>
  <si>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</si>
  <si>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</si>
  <si>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</si>
  <si>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</si>
  <si>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</si>
  <si>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</si>
  <si>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</si>
  <si>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</si>
  <si>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</si>
  <si>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</si>
  <si>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</si>
  <si>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</si>
  <si>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</si>
  <si>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</si>
  <si>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</si>
  <si>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</si>
  <si>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</si>
  <si>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</si>
  <si>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</si>
  <si>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</si>
  <si>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</si>
  <si>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</si>
  <si>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</si>
  <si>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</si>
  <si>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</si>
  <si>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</si>
  <si>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</si>
  <si>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</si>
  <si>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</si>
  <si>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</si>
  <si>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</si>
  <si>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</si>
  <si>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</si>
  <si>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</si>
  <si>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</si>
  <si>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</si>
  <si>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</si>
  <si>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</si>
  <si>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</si>
  <si>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</si>
  <si>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</si>
  <si>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</si>
  <si>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</si>
  <si>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</si>
  <si>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</si>
  <si>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</si>
  <si>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</si>
  <si>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</si>
  <si>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</si>
  <si>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</si>
  <si>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</si>
  <si>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</si>
  <si>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</si>
  <si>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</si>
  <si>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</si>
  <si>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</si>
  <si>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</si>
  <si>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</si>
  <si>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</si>
  <si>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</si>
  <si>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</si>
  <si>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</si>
  <si>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</si>
  <si>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</si>
  <si>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</si>
  <si>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</si>
  <si>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</si>
  <si>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</si>
  <si>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</si>
  <si>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</si>
  <si>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</si>
  <si>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</si>
  <si>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</si>
  <si>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</si>
  <si>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</si>
  <si>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</si>
  <si>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</si>
  <si>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</si>
  <si>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</si>
  <si>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</si>
  <si>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</si>
  <si>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</si>
  <si>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</si>
  <si>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</si>
  <si>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</si>
  <si>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</si>
  <si>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</si>
  <si>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</si>
  <si>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</si>
  <si>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</si>
  <si>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</si>
  <si>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</si>
  <si>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</si>
  <si>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</si>
  <si>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</si>
  <si>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</si>
  <si>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</si>
  <si>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</si>
  <si>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</si>
  <si>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</si>
  <si>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</si>
  <si>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</si>
  <si>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</si>
  <si>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</si>
  <si>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</si>
  <si>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</si>
  <si>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</si>
  <si>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</si>
  <si>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</si>
  <si>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</si>
  <si>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</si>
  <si>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</si>
  <si>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</si>
  <si>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</si>
  <si>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</si>
  <si>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</si>
  <si>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</si>
  <si>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</si>
  <si>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</si>
  <si>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</si>
  <si>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</si>
  <si>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</si>
  <si>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</si>
  <si>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</si>
  <si>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</si>
  <si>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</si>
  <si>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</si>
  <si>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</si>
  <si>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</si>
  <si>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</si>
  <si>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</si>
  <si>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</si>
  <si>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</si>
  <si>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</si>
  <si>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</si>
  <si>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</si>
  <si>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</si>
  <si>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</si>
  <si>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</si>
  <si>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</si>
  <si>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</si>
  <si>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</si>
  <si>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</si>
  <si>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</si>
  <si>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</si>
  <si>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</si>
  <si>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</si>
  <si>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</si>
  <si>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</si>
  <si>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</si>
  <si>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</si>
  <si>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</si>
  <si>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</si>
  <si>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</si>
  <si>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</si>
  <si>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</si>
  <si>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</si>
  <si>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</si>
  <si>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</si>
  <si>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</si>
  <si>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</si>
  <si>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</si>
  <si>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</si>
  <si>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</si>
  <si>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</si>
  <si>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</si>
  <si>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</si>
  <si>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</si>
  <si>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</si>
  <si>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</si>
  <si>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</si>
  <si>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</si>
  <si>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</si>
  <si>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</si>
  <si>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</si>
  <si>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</si>
  <si>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</si>
  <si>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</si>
  <si>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</si>
  <si>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</si>
  <si>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</si>
  <si>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</si>
  <si>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</si>
  <si>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</si>
  <si>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</si>
  <si>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</si>
  <si>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</si>
  <si>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</si>
  <si>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</si>
  <si>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</si>
  <si>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</si>
  <si>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</si>
  <si>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</si>
  <si>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</si>
  <si>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</si>
  <si>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</si>
  <si>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</si>
  <si>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</si>
  <si>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</si>
  <si>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</si>
  <si>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</si>
  <si>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</si>
  <si>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</si>
  <si>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</si>
  <si>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</si>
  <si>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</si>
  <si>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</si>
  <si>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</si>
  <si>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</si>
  <si>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</si>
  <si>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</si>
  <si>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</si>
  <si>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</si>
  <si>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</si>
  <si>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</si>
  <si>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</si>
  <si>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</si>
  <si>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</si>
  <si>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</si>
  <si>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</si>
  <si>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</si>
  <si>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</si>
  <si>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</si>
  <si>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</si>
  <si>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</si>
  <si>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</si>
  <si>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</si>
  <si>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</si>
  <si>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</si>
  <si>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</si>
  <si>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</si>
  <si>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</si>
  <si>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</si>
  <si>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</si>
  <si>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</si>
  <si>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</si>
  <si>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</si>
  <si>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</si>
  <si>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</si>
  <si>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</si>
  <si>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</si>
  <si>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</si>
  <si>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</si>
  <si>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</si>
  <si>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</si>
  <si>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</si>
  <si>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</si>
  <si>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</si>
  <si>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</si>
  <si>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</si>
  <si>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</si>
  <si>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</si>
  <si>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</si>
  <si>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</si>
  <si>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</si>
  <si>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</si>
  <si>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</si>
  <si>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</si>
  <si>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</si>
  <si>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</si>
  <si>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</si>
  <si>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</si>
  <si>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</si>
  <si>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</si>
  <si>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</si>
  <si>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</si>
  <si>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</si>
  <si>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</si>
  <si>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</si>
  <si>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</si>
  <si>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</si>
  <si>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</si>
  <si>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</si>
  <si>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</si>
  <si>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</si>
  <si>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</si>
  <si>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</si>
  <si>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</si>
  <si>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</si>
  <si>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</si>
  <si>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</si>
  <si>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</si>
  <si>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</si>
  <si>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</si>
  <si>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</si>
  <si>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</si>
  <si>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</si>
  <si>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</si>
  <si>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</si>
  <si>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</si>
  <si>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</si>
  <si>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</si>
  <si>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</si>
  <si>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</si>
  <si>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</si>
  <si>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</si>
  <si>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</si>
  <si>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</si>
  <si>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</si>
  <si>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</si>
  <si>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</si>
  <si>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</si>
  <si>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</si>
  <si>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</si>
  <si>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</si>
  <si>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</si>
  <si>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</si>
  <si>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</si>
  <si>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</si>
  <si>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</si>
  <si>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</si>
  <si>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</si>
  <si>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</si>
  <si>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</si>
  <si>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</si>
  <si>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</si>
  <si>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</si>
  <si>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</si>
  <si>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</si>
  <si>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</si>
  <si>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</si>
  <si>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</si>
  <si>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</si>
  <si>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</si>
  <si>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</si>
  <si>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</si>
  <si>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</si>
  <si>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</si>
  <si>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</si>
  <si>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</si>
  <si>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</si>
  <si>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</si>
  <si>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</si>
  <si>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</si>
  <si>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</si>
  <si>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</si>
  <si>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</si>
  <si>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</si>
  <si>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</si>
  <si>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</si>
  <si>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</si>
  <si>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</si>
  <si>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</si>
  <si>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</si>
  <si>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</si>
  <si>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</si>
  <si>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</si>
  <si>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</si>
  <si>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</si>
  <si>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</si>
  <si>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</si>
  <si>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</si>
  <si>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</si>
  <si>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</si>
  <si>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</si>
  <si>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</si>
  <si>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</si>
  <si>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</si>
  <si>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</si>
  <si>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</si>
  <si>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</si>
  <si>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</si>
  <si>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</si>
  <si>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</si>
  <si>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</si>
  <si>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</si>
  <si>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</si>
  <si>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</si>
  <si>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</si>
  <si>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</si>
  <si>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</si>
  <si>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</si>
  <si>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</si>
  <si>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</si>
  <si>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</si>
  <si>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</si>
  <si>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</si>
  <si>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</si>
  <si>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</si>
  <si>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</si>
  <si>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</si>
  <si>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</si>
  <si>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</si>
  <si>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</si>
  <si>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</si>
  <si>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</si>
  <si>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</si>
  <si>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</si>
  <si>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</si>
  <si>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</si>
  <si>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</si>
  <si>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</si>
  <si>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</si>
  <si>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</si>
  <si>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</si>
  <si>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</si>
  <si>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</si>
  <si>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</si>
  <si>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</si>
  <si>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</si>
  <si>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</si>
  <si>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</si>
  <si>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</si>
  <si>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</si>
  <si>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</si>
  <si>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</si>
  <si>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</si>
  <si>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</si>
  <si>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</si>
  <si>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</si>
  <si>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</si>
  <si>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</si>
  <si>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</si>
  <si>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</si>
  <si>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</si>
  <si>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</si>
  <si>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</si>
  <si>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</si>
  <si>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</si>
  <si>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</si>
  <si>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</si>
  <si>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</si>
  <si>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</si>
  <si>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</si>
  <si>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</si>
  <si>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</si>
  <si>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</si>
  <si>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</si>
  <si>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</si>
  <si>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</si>
  <si>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</si>
  <si>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</si>
  <si>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</si>
  <si>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</si>
  <si>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</si>
  <si>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</si>
  <si>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</si>
  <si>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</si>
  <si>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</si>
  <si>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</si>
  <si>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</si>
  <si>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</si>
  <si>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</si>
  <si>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</si>
  <si>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</si>
  <si>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</si>
  <si>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</si>
  <si>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</si>
  <si>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</si>
  <si>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</si>
  <si>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</si>
  <si>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</si>
  <si>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</si>
  <si>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</si>
  <si>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</si>
  <si>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</si>
  <si>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</si>
  <si>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</si>
  <si>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</si>
  <si>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</si>
  <si>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</si>
  <si>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</si>
  <si>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</si>
  <si>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</si>
  <si>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</si>
  <si>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</si>
  <si>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</si>
  <si>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</si>
  <si>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</si>
  <si>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</si>
  <si>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</si>
  <si>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</si>
  <si>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</si>
  <si>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</si>
  <si>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</si>
  <si>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</si>
  <si>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</si>
  <si>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</si>
  <si>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</si>
  <si>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</si>
  <si>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</si>
  <si>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</si>
  <si>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</si>
  <si>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</si>
  <si>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</si>
  <si>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</si>
  <si>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</si>
  <si>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</si>
  <si>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</si>
  <si>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</si>
  <si>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</si>
  <si>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</si>
  <si>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</si>
  <si>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</si>
  <si>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</si>
  <si>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</si>
  <si>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</si>
  <si>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</si>
  <si>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</si>
  <si>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</si>
  <si>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</si>
  <si>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</si>
  <si>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</si>
  <si>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</si>
  <si>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</si>
  <si>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</si>
  <si>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</si>
  <si>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</si>
  <si>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</si>
  <si>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</si>
  <si>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</si>
  <si>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</si>
  <si>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</si>
  <si>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</si>
  <si>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</si>
  <si>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</si>
  <si>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</si>
  <si>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</si>
  <si>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</si>
  <si>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</si>
  <si>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</si>
  <si>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</si>
  <si>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</si>
  <si>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</si>
  <si>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</si>
  <si>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</si>
  <si>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</si>
  <si>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</si>
  <si>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</si>
  <si>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</si>
  <si>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</si>
  <si>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</si>
  <si>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</si>
  <si>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</si>
  <si>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</si>
  <si>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</si>
  <si>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</si>
  <si>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</si>
  <si>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</si>
  <si>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</si>
  <si>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</si>
  <si>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</si>
  <si>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</si>
  <si>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</si>
  <si>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</si>
  <si>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</si>
  <si>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</si>
  <si>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</si>
  <si>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</si>
  <si>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</si>
  <si>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</si>
  <si>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</si>
  <si>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</si>
  <si>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</si>
  <si>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</si>
  <si>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</si>
  <si>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</si>
  <si>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</si>
  <si>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</si>
  <si>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</si>
  <si>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</si>
  <si>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</si>
  <si>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</si>
  <si>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</si>
  <si>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</si>
  <si>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</si>
  <si>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</si>
  <si>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</si>
  <si>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</si>
  <si>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</si>
  <si>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</si>
  <si>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</si>
  <si>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</si>
  <si>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</si>
  <si>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</si>
  <si>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</si>
  <si>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</si>
  <si>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</si>
  <si>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</si>
  <si>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</si>
  <si>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</si>
  <si>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</si>
  <si>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</si>
  <si>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</si>
  <si>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</si>
  <si>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</si>
  <si>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</si>
  <si>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</si>
  <si>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</si>
  <si>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</si>
  <si>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</si>
  <si>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</si>
  <si>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</si>
  <si>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</si>
  <si>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</si>
  <si>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</si>
  <si>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</si>
  <si>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</si>
  <si>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</si>
  <si>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</si>
  <si>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</si>
  <si>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</si>
  <si>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</si>
  <si>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</si>
  <si>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</si>
  <si>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</si>
  <si>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</si>
  <si>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</si>
  <si>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</si>
  <si>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</si>
  <si>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</si>
  <si>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</si>
  <si>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</si>
  <si>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</si>
  <si>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</si>
  <si>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</si>
  <si>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</si>
  <si>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</si>
  <si>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</si>
  <si>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</si>
  <si>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</si>
  <si>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</si>
  <si>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</si>
  <si>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</si>
  <si>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</si>
  <si>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</si>
  <si>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</si>
  <si>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</si>
  <si>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</si>
  <si>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</si>
  <si>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</si>
  <si>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</si>
  <si>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</si>
  <si>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</si>
  <si>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</si>
  <si>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</si>
  <si>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</si>
  <si>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</si>
  <si>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</si>
  <si>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</si>
  <si>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</si>
  <si>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</si>
  <si>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</si>
  <si>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</si>
  <si>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</si>
  <si>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</si>
  <si>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</si>
  <si>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</si>
  <si>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</si>
  <si>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</si>
  <si>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</si>
  <si>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</si>
  <si>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</si>
  <si>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</si>
  <si>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</si>
  <si>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</si>
  <si>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</si>
  <si>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</si>
  <si>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</si>
  <si>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</si>
  <si>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</si>
  <si>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</si>
  <si>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</si>
  <si>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</si>
  <si>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</si>
  <si>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</si>
  <si>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</si>
  <si>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</si>
  <si>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</si>
  <si>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</si>
  <si>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</si>
  <si>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</si>
  <si>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</si>
  <si>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</si>
  <si>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</si>
  <si>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</si>
  <si>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</si>
  <si>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</si>
  <si>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</si>
  <si>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</si>
  <si>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</si>
  <si>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</si>
  <si>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</si>
  <si>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</si>
  <si>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</si>
  <si>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</si>
  <si>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</si>
  <si>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</si>
  <si>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</si>
  <si>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</si>
  <si>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</si>
  <si>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</si>
  <si>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</si>
  <si>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</si>
  <si>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</si>
  <si>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</si>
  <si>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</si>
  <si>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</si>
  <si>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</si>
  <si>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</si>
  <si>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</si>
  <si>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</si>
  <si>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</si>
  <si>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</si>
  <si>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</si>
  <si>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</si>
  <si>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</si>
  <si>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</si>
  <si>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</si>
  <si>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</si>
  <si>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</si>
  <si>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</si>
  <si>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</si>
  <si>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</si>
  <si>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</si>
  <si>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</si>
  <si>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</si>
  <si>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</si>
  <si>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</si>
  <si>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</si>
  <si>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</si>
  <si>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</si>
  <si>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</si>
  <si>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</si>
  <si>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</si>
  <si>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</si>
  <si>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</si>
  <si>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</si>
  <si>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</si>
  <si>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</si>
  <si>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</si>
  <si>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</si>
  <si>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</si>
  <si>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</si>
  <si>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</si>
  <si>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</si>
  <si>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</si>
  <si>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</si>
  <si>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</si>
  <si>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</si>
  <si>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</si>
  <si>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</si>
  <si>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</si>
  <si>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</si>
  <si>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</si>
  <si>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</si>
  <si>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</si>
  <si>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</si>
  <si>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</si>
  <si>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</si>
  <si>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</si>
  <si>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</si>
  <si>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</si>
  <si>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</si>
  <si>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</si>
  <si>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</si>
  <si>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</si>
  <si>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</si>
  <si>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</si>
  <si>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</si>
  <si>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</si>
  <si>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</si>
  <si>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</si>
  <si>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</si>
  <si>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</si>
  <si>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</si>
  <si>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</si>
  <si>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</si>
  <si>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</si>
  <si>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</si>
  <si>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</si>
  <si>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</si>
  <si>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</si>
  <si>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</si>
  <si>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</si>
  <si>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</si>
  <si>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</si>
  <si>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</si>
  <si>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</si>
  <si>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</si>
  <si>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</si>
  <si>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</si>
  <si>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</si>
  <si>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</si>
  <si>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</si>
  <si>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</si>
  <si>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</si>
  <si>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</si>
  <si>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</si>
  <si>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</si>
  <si>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</si>
  <si>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</si>
  <si>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</si>
  <si>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</si>
  <si>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</si>
  <si>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</si>
  <si>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</si>
  <si>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</si>
  <si>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</si>
  <si>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</si>
  <si>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</si>
  <si>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</si>
  <si>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</si>
  <si>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</si>
  <si>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</si>
  <si>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</si>
  <si>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</si>
  <si>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</si>
  <si>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</si>
  <si>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</si>
  <si>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</si>
  <si>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</si>
  <si>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</si>
  <si>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</si>
  <si>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</si>
  <si>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</si>
  <si>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</si>
  <si>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</si>
  <si>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</si>
  <si>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</si>
  <si>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</si>
  <si>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</si>
  <si>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</si>
  <si>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</si>
  <si>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</si>
  <si>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</si>
  <si>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</si>
  <si>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</si>
  <si>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</si>
  <si>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</si>
  <si>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</si>
  <si>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</si>
  <si>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</si>
  <si>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</si>
  <si>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</si>
  <si>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</si>
  <si>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</si>
  <si>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</si>
  <si>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</si>
  <si>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</si>
  <si>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</si>
  <si>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</si>
  <si>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</si>
  <si>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</si>
  <si>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</si>
  <si>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</si>
  <si>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</si>
  <si>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</si>
  <si>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</si>
  <si>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</si>
  <si>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</si>
  <si>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</si>
  <si>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</si>
  <si>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</si>
  <si>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</si>
  <si>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</si>
  <si>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</si>
  <si>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</si>
  <si>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</si>
  <si>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</si>
  <si>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</si>
  <si>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</si>
  <si>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</si>
  <si>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</si>
  <si>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</si>
  <si>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</si>
  <si>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</si>
  <si>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</si>
  <si>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</si>
  <si>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</si>
  <si>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</si>
  <si>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</si>
  <si>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</si>
  <si>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</si>
  <si>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</si>
  <si>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</si>
  <si>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</si>
  <si>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</si>
  <si>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</si>
  <si>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</si>
  <si>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</si>
  <si>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</si>
  <si>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</si>
  <si>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</si>
  <si>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</si>
  <si>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</si>
  <si>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</si>
  <si>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</si>
  <si>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</si>
  <si>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</si>
  <si>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</si>
  <si>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</si>
  <si>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</si>
  <si>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</si>
  <si>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</si>
  <si>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</si>
  <si>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</si>
  <si>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</si>
  <si>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</si>
  <si>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</si>
  <si>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</si>
  <si>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</si>
  <si>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</si>
  <si>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</si>
  <si>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</si>
  <si>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</si>
  <si>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</si>
  <si>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</si>
  <si>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</si>
  <si>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</si>
  <si>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</si>
  <si>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</si>
  <si>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</si>
  <si>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</si>
  <si>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</si>
  <si>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</si>
  <si>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</si>
  <si>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</si>
  <si>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</si>
  <si>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</si>
  <si>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</si>
  <si>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</si>
  <si>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</si>
  <si>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</si>
  <si>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</si>
  <si>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</si>
  <si>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</si>
  <si>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</si>
  <si>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</si>
  <si>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</si>
  <si>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</si>
  <si>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</si>
  <si>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</si>
  <si>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</si>
  <si>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</si>
  <si>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</si>
  <si>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</si>
  <si>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</si>
  <si>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</si>
  <si>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</si>
  <si>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</si>
  <si>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</si>
  <si>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</si>
  <si>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</si>
  <si>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</si>
  <si>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</si>
  <si>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</si>
  <si>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</si>
  <si>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</si>
  <si>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</si>
  <si>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</si>
  <si>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</si>
  <si>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</si>
  <si>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</si>
  <si>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</si>
  <si>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</si>
  <si>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</si>
  <si>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</si>
  <si>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</si>
  <si>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</si>
  <si>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</si>
  <si>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</si>
  <si>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</si>
  <si>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</si>
  <si>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</si>
  <si>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</si>
  <si>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</si>
  <si>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</si>
  <si>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</si>
  <si>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</si>
  <si>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</si>
  <si>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</si>
  <si>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</si>
  <si>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</si>
  <si>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</si>
  <si>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</si>
  <si>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</si>
  <si>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</si>
  <si>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</si>
  <si>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</si>
  <si>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</si>
  <si>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</si>
  <si>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</si>
  <si>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</si>
  <si>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</si>
  <si>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</si>
  <si>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</si>
  <si>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</si>
  <si>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</si>
  <si>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</si>
  <si>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</si>
  <si>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</si>
  <si>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</si>
  <si>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</si>
  <si>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</si>
  <si>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</si>
  <si>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</si>
  <si>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</si>
  <si>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</si>
  <si>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</si>
  <si>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</si>
  <si>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</si>
  <si>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</si>
  <si>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</si>
  <si>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</si>
  <si>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</si>
  <si>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</si>
  <si>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</si>
  <si>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</si>
  <si>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</si>
  <si>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</si>
  <si>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</si>
  <si>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</si>
  <si>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</si>
  <si>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</si>
  <si>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</si>
  <si>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</si>
  <si>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</si>
  <si>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</si>
  <si>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</si>
  <si>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</si>
  <si>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</si>
  <si>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</si>
  <si>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</si>
  <si>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</si>
  <si>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</si>
  <si>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</si>
  <si>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</si>
  <si>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</si>
  <si>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</si>
  <si>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</si>
  <si>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</si>
  <si>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</si>
  <si>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</si>
  <si>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</si>
  <si>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</si>
  <si>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</si>
  <si>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</si>
  <si>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</si>
  <si>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</si>
  <si>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</si>
  <si>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</si>
  <si>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</si>
  <si>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</si>
  <si>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</si>
  <si>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</si>
  <si>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</si>
  <si>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</si>
  <si>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</si>
  <si>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</si>
  <si>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</si>
  <si>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</si>
  <si>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</si>
  <si>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</si>
  <si>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</si>
  <si>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</si>
  <si>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</si>
  <si>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</si>
  <si>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</si>
  <si>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</si>
  <si>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</si>
  <si>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</si>
  <si>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</si>
  <si>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</si>
  <si>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</si>
  <si>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</si>
  <si>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</si>
  <si>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</si>
  <si>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</si>
  <si>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</si>
  <si>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</si>
  <si>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</si>
  <si>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</si>
  <si>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</si>
  <si>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</si>
  <si>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</si>
  <si>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</si>
  <si>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</si>
  <si>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</si>
  <si>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</si>
  <si>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</si>
  <si>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</si>
  <si>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</si>
  <si>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</si>
  <si>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</si>
  <si>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</si>
  <si>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</si>
  <si>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</si>
  <si>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</si>
  <si>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</si>
  <si>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</si>
  <si>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</si>
  <si>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</si>
  <si>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</si>
  <si>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</si>
  <si>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</si>
  <si>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</si>
  <si>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</si>
  <si>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</si>
  <si>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</si>
  <si>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</si>
  <si>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</si>
  <si>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</si>
  <si>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</si>
  <si>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</si>
  <si>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</si>
  <si>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</si>
  <si>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</si>
  <si>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</si>
  <si>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</si>
  <si>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</si>
  <si>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</si>
  <si>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</si>
  <si>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</si>
  <si>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</si>
  <si>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</si>
  <si>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</si>
  <si>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</si>
  <si>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</si>
  <si>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</si>
  <si>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</si>
  <si>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</si>
  <si>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</si>
  <si>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</si>
  <si>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</si>
  <si>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</si>
  <si>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</si>
  <si>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</si>
  <si>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</si>
  <si>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</si>
  <si>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</si>
  <si>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</si>
  <si>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</si>
  <si>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</si>
  <si>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</si>
  <si>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</si>
  <si>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</si>
  <si>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</si>
  <si>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</si>
  <si>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</si>
  <si>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</si>
  <si>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</si>
  <si>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</si>
  <si>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</si>
  <si>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</si>
  <si>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</si>
  <si>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</si>
  <si>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</si>
  <si>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</si>
  <si>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</si>
  <si>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</si>
  <si>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</si>
  <si>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</si>
  <si>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</si>
  <si>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</si>
  <si>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</si>
  <si>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</si>
  <si>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</si>
  <si>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</si>
  <si>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</si>
  <si>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</si>
  <si>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</si>
  <si>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</si>
  <si>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</si>
  <si>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</si>
  <si>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</si>
  <si>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</si>
  <si>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</si>
  <si>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</si>
  <si>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</si>
  <si>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</si>
  <si>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</si>
  <si>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</si>
  <si>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</si>
  <si>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</si>
  <si>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</si>
  <si>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</si>
  <si>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</si>
  <si>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</si>
  <si>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</si>
  <si>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</si>
  <si>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</si>
  <si>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</si>
  <si>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</si>
  <si>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</si>
  <si>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</si>
  <si>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</si>
  <si>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</si>
  <si>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</si>
  <si>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</si>
  <si>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</si>
  <si>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</si>
  <si>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</si>
  <si>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</si>
  <si>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</si>
  <si>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</si>
  <si>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</si>
  <si>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</si>
  <si>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</si>
  <si>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</si>
  <si>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</si>
  <si>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</si>
  <si>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</si>
  <si>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</si>
  <si>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</si>
  <si>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</si>
  <si>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</si>
  <si>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</si>
  <si>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</si>
  <si>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</si>
  <si>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</si>
  <si>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</si>
  <si>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</si>
  <si>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</si>
  <si>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</si>
  <si>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</si>
  <si>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</si>
  <si>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</si>
  <si>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</si>
  <si>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</si>
  <si>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</si>
  <si>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</si>
  <si>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</si>
  <si>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</si>
  <si>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</si>
  <si>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</si>
  <si>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</si>
  <si>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</si>
  <si>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</si>
  <si>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</si>
  <si>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</si>
  <si>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</si>
  <si>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</si>
  <si>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</si>
  <si>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</si>
  <si>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</si>
  <si>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</si>
  <si>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</si>
  <si>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</si>
  <si>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</si>
  <si>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</si>
  <si>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</si>
  <si>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</si>
  <si>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</si>
  <si>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</si>
  <si>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</si>
  <si>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</si>
  <si>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</si>
  <si>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</si>
  <si>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</si>
  <si>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</si>
  <si>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</si>
  <si>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</si>
  <si>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</si>
  <si>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</si>
  <si>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</si>
  <si>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</si>
  <si>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</si>
  <si>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</si>
  <si>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</si>
  <si>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</si>
  <si>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</si>
  <si>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</si>
  <si>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</si>
  <si>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</si>
  <si>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</si>
  <si>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</si>
  <si>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</si>
  <si>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</si>
  <si>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</si>
  <si>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</si>
  <si>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</si>
  <si>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</si>
  <si>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</si>
  <si>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</si>
  <si>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</si>
  <si>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</si>
  <si>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</si>
  <si>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</si>
  <si>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</si>
  <si>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</si>
  <si>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</si>
  <si>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</si>
  <si>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</si>
  <si>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</si>
  <si>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</si>
  <si>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</si>
  <si>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</si>
  <si>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</si>
  <si>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</si>
  <si>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</si>
  <si>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</si>
  <si>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</si>
  <si>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</si>
  <si>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</si>
  <si>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</si>
  <si>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</si>
  <si>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</si>
  <si>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</si>
  <si>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</si>
  <si>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</si>
  <si>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</si>
  <si>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</si>
  <si>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</si>
  <si>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</si>
  <si>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</si>
  <si>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</si>
  <si>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</si>
  <si>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</si>
  <si>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</si>
  <si>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</si>
  <si>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</si>
  <si>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</si>
  <si>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</si>
  <si>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</si>
  <si>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</si>
  <si>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</si>
  <si>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</si>
  <si>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</si>
  <si>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</si>
  <si>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</si>
  <si>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</si>
  <si>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</si>
  <si>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</si>
  <si>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</si>
  <si>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</si>
  <si>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</si>
  <si>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</si>
  <si>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</si>
  <si>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</si>
  <si>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</si>
  <si>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</si>
  <si>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</si>
  <si>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</si>
  <si>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</si>
  <si>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</si>
  <si>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</si>
  <si>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</si>
  <si>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</si>
  <si>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</si>
  <si>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</si>
  <si>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</si>
  <si>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</si>
  <si>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</si>
  <si>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</si>
  <si>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</si>
  <si>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</si>
  <si>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</si>
  <si>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</si>
  <si>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</si>
  <si>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</si>
  <si>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</si>
  <si>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</si>
  <si>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</si>
  <si>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</si>
  <si>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</si>
  <si>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</si>
  <si>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</si>
  <si>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</si>
  <si>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</si>
  <si>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</si>
  <si>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</si>
  <si>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</si>
  <si>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</si>
  <si>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</si>
  <si>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</si>
  <si>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</si>
  <si>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</si>
  <si>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</si>
  <si>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</si>
  <si>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</si>
  <si>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</si>
  <si>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</si>
  <si>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</si>
  <si>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</si>
  <si>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</si>
  <si>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</si>
  <si>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</si>
  <si>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</si>
  <si>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</si>
  <si>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</si>
  <si>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</si>
  <si>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</si>
  <si>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</si>
  <si>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</si>
  <si>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</si>
  <si>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</si>
  <si>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</si>
  <si>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</si>
  <si>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</si>
  <si>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</si>
  <si>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</si>
  <si>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</si>
  <si>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</si>
  <si>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</si>
  <si>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</si>
  <si>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</si>
  <si>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</si>
  <si>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</si>
  <si>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</si>
  <si>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</si>
  <si>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</si>
  <si>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</si>
  <si>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</si>
  <si>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</si>
  <si>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</si>
  <si>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</si>
  <si>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</si>
  <si>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</si>
  <si>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</si>
  <si>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</si>
  <si>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</si>
  <si>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</si>
  <si>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</si>
  <si>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</si>
  <si>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</si>
  <si>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</si>
  <si>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</si>
  <si>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</si>
  <si>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</si>
  <si>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</si>
  <si>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</si>
  <si>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</si>
  <si>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</si>
  <si>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</si>
  <si>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</si>
  <si>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</si>
  <si>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</si>
  <si>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</si>
  <si>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</si>
  <si>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</si>
  <si>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</si>
  <si>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</si>
  <si>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</si>
  <si>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</si>
  <si>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</si>
  <si>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</si>
  <si>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</si>
  <si>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</si>
  <si>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</si>
  <si>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</si>
  <si>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</si>
  <si>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</si>
  <si>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</si>
  <si>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</si>
  <si>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</si>
  <si>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</si>
  <si>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</si>
  <si>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</si>
  <si>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</si>
  <si>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</si>
  <si>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</si>
  <si>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</si>
  <si>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</si>
  <si>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</si>
  <si>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</si>
  <si>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</si>
  <si>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</si>
  <si>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</si>
  <si>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</si>
  <si>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</si>
  <si>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</si>
  <si>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</si>
  <si>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</si>
  <si>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</si>
  <si>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</si>
  <si>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</si>
  <si>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</si>
  <si>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</si>
  <si>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</si>
  <si>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</si>
  <si>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</si>
  <si>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</si>
  <si>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</si>
  <si>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</si>
  <si>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</si>
  <si>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</si>
  <si>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</si>
  <si>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</si>
  <si>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</si>
  <si>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</si>
  <si>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</si>
  <si>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</si>
  <si>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</si>
  <si>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</si>
  <si>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</si>
  <si>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</si>
  <si>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</si>
  <si>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</si>
  <si>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</si>
  <si>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</si>
  <si>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</si>
  <si>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</si>
  <si>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</si>
  <si>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</si>
  <si>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</si>
  <si>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</si>
  <si>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</si>
  <si>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</si>
  <si>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</si>
  <si>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</si>
  <si>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</si>
  <si>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</si>
  <si>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</si>
  <si>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</si>
  <si>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</si>
  <si>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</si>
  <si>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</si>
  <si>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</si>
  <si>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</si>
  <si>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</si>
  <si>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</si>
  <si>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</si>
  <si>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</si>
  <si>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</si>
  <si>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</si>
  <si>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</si>
  <si>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</si>
  <si>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</si>
  <si>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</si>
  <si>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</si>
  <si>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</si>
  <si>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</si>
  <si>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</si>
  <si>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</si>
  <si>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</si>
  <si>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</si>
  <si>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</si>
  <si>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</si>
  <si>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</si>
  <si>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</si>
  <si>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</si>
  <si>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</si>
  <si>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</si>
  <si>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</si>
  <si>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</si>
  <si>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</si>
  <si>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</si>
  <si>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</si>
  <si>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</si>
  <si>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</si>
  <si>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</si>
  <si>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</si>
  <si>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</si>
  <si>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</si>
  <si>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</si>
  <si>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</si>
  <si>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</si>
  <si>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</si>
  <si>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</si>
  <si>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</si>
  <si>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</si>
  <si>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</si>
  <si>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</si>
  <si>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</si>
  <si>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</si>
  <si>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</si>
  <si>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</si>
  <si>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</si>
  <si>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</si>
  <si>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</si>
  <si>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</si>
  <si>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</si>
  <si>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</si>
  <si>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</si>
  <si>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</si>
  <si>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</si>
  <si>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</si>
  <si>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</si>
  <si>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</si>
  <si>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</si>
  <si>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</si>
  <si>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</si>
  <si>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</si>
  <si>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</si>
  <si>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</si>
  <si>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</si>
  <si>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</si>
  <si>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</si>
  <si>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</si>
  <si>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</si>
  <si>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</si>
  <si>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</si>
  <si>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</si>
  <si>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</si>
  <si>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</si>
  <si>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</si>
  <si>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</si>
  <si>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</si>
  <si>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</si>
  <si>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</si>
  <si>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</si>
  <si>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</si>
  <si>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</si>
  <si>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</si>
  <si>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</si>
  <si>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</si>
  <si>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</si>
  <si>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</si>
  <si>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</si>
  <si>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</si>
  <si>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</si>
  <si>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</si>
  <si>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</si>
  <si>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</si>
  <si>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</si>
  <si>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</si>
  <si>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</si>
  <si>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</si>
  <si>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</si>
  <si>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</si>
  <si>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</si>
  <si>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</si>
  <si>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</si>
  <si>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</si>
  <si>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</si>
  <si>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</si>
  <si>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</si>
  <si>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</si>
  <si>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</si>
  <si>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</si>
  <si>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</si>
  <si>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</si>
  <si>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</si>
  <si>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</si>
  <si>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</si>
  <si>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</si>
  <si>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</si>
  <si>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</si>
  <si>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</si>
  <si>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</si>
  <si>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</si>
  <si>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</si>
  <si>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</si>
  <si>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</si>
  <si>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</si>
  <si>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</si>
  <si>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</si>
  <si>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</si>
  <si>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</si>
  <si>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</si>
  <si>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</si>
  <si>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</si>
  <si>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</si>
  <si>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</si>
  <si>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</si>
  <si>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</si>
  <si>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</si>
  <si>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</si>
  <si>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</si>
  <si>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</si>
  <si>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</si>
  <si>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</si>
  <si>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</si>
  <si>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</si>
  <si>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</si>
  <si>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</si>
  <si>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</si>
  <si>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</si>
  <si>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</si>
  <si>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</si>
  <si>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</si>
  <si>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</si>
  <si>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</si>
  <si>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</si>
  <si>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</si>
  <si>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</si>
  <si>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</si>
  <si>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</si>
  <si>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</si>
  <si>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</si>
  <si>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</si>
  <si>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</si>
  <si>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</si>
  <si>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</si>
  <si>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</si>
  <si>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</si>
  <si>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</si>
  <si>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</si>
  <si>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</si>
  <si>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</si>
  <si>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</si>
  <si>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</si>
  <si>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</si>
  <si>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</si>
  <si>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</si>
  <si>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</si>
  <si>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</si>
  <si>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</si>
  <si>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</si>
  <si>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</si>
  <si>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</si>
  <si>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</si>
  <si>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</si>
  <si>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</si>
  <si>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</si>
  <si>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</si>
  <si>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</si>
  <si>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</si>
  <si>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</si>
  <si>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</si>
  <si>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</si>
  <si>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</si>
  <si>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</si>
  <si>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</si>
  <si>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</si>
  <si>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</si>
  <si>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</si>
  <si>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</si>
  <si>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</si>
  <si>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</si>
  <si>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</si>
  <si>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</si>
  <si>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</si>
  <si>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</si>
  <si>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</si>
  <si>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</si>
  <si>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</si>
  <si>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</si>
  <si>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</si>
  <si>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</si>
  <si>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</si>
  <si>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</si>
  <si>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</si>
  <si>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</si>
  <si>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</si>
  <si>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</si>
  <si>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</si>
  <si>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</si>
  <si>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</si>
  <si>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</si>
  <si>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</si>
  <si>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</si>
  <si>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</si>
  <si>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</si>
  <si>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</si>
  <si>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</si>
  <si>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</si>
  <si>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</si>
  <si>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</si>
  <si>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</si>
  <si>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</si>
  <si>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</si>
  <si>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</si>
  <si>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</si>
  <si>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</si>
  <si>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</si>
  <si>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</si>
  <si>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</si>
  <si>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</si>
  <si>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</si>
  <si>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</si>
  <si>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</si>
  <si>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</si>
  <si>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</si>
  <si>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</si>
  <si>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</si>
  <si>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</si>
  <si>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</si>
  <si>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</si>
  <si>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</si>
  <si>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</si>
  <si>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</si>
  <si>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</si>
  <si>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</si>
  <si>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</si>
  <si>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</si>
  <si>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</si>
  <si>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</si>
  <si>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</si>
  <si>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</si>
  <si>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</si>
  <si>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</si>
  <si>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</si>
  <si>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</si>
  <si>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</si>
  <si>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</si>
  <si>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</si>
  <si>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</si>
  <si>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</si>
  <si>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</si>
  <si>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</si>
  <si>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</si>
  <si>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</si>
  <si>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</si>
  <si>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</si>
  <si>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</si>
  <si>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</si>
  <si>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</si>
  <si>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</si>
  <si>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</si>
  <si>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</si>
  <si>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</si>
  <si>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</si>
  <si>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</si>
  <si>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</si>
  <si>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</si>
  <si>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</si>
  <si>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</si>
  <si>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</si>
  <si>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</si>
  <si>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</si>
  <si>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</si>
  <si>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</si>
  <si>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</si>
  <si>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</si>
  <si>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</si>
  <si>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</si>
  <si>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</si>
  <si>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</si>
  <si>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</si>
  <si>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</si>
  <si>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</si>
  <si>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</si>
  <si>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</si>
  <si>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</si>
  <si>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</si>
  <si>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</si>
  <si>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</si>
  <si>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</si>
  <si>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</si>
  <si>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</si>
  <si>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</si>
  <si>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</si>
  <si>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</si>
  <si>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</si>
  <si>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</si>
  <si>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</si>
  <si>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</si>
  <si>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</si>
  <si>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</si>
  <si>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</si>
  <si>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</si>
  <si>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</si>
  <si>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</si>
  <si>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</si>
  <si>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</si>
  <si>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</si>
  <si>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</si>
  <si>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</si>
  <si>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</si>
  <si>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</si>
  <si>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</si>
  <si>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</si>
  <si>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</si>
  <si>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</si>
  <si>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</si>
  <si>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</si>
  <si>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</si>
  <si>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</si>
  <si>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</si>
  <si>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</si>
  <si>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</si>
  <si>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</si>
  <si>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</si>
  <si>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</si>
  <si>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</si>
  <si>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</si>
  <si>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</si>
  <si>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</si>
  <si>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</si>
  <si>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</si>
  <si>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</si>
  <si>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</si>
  <si>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</si>
  <si>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</si>
  <si>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</si>
  <si>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</si>
  <si>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</si>
  <si>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</si>
  <si>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</si>
  <si>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</si>
  <si>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</si>
  <si>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</si>
  <si>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</si>
  <si>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</si>
  <si>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</si>
  <si>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</si>
  <si>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</si>
  <si>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</si>
  <si>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</si>
  <si>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</si>
  <si>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</si>
  <si>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</si>
  <si>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</si>
  <si>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</si>
  <si>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</si>
  <si>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</si>
  <si>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</si>
  <si>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</si>
  <si>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</si>
  <si>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</si>
  <si>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</si>
  <si>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</si>
  <si>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</si>
  <si>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</si>
  <si>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</si>
  <si>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</si>
  <si>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</si>
  <si>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</si>
  <si>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</si>
  <si>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</si>
  <si>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</si>
  <si>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</si>
  <si>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</si>
  <si>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</si>
  <si>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</si>
  <si>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</si>
  <si>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</si>
  <si>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</si>
  <si>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</si>
  <si>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</si>
  <si>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</si>
  <si>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</si>
  <si>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</si>
  <si>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</si>
  <si>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</si>
  <si>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</si>
  <si>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</si>
  <si>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</si>
  <si>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</si>
  <si>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</si>
  <si>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</si>
  <si>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</si>
  <si>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</si>
  <si>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</si>
  <si>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</si>
  <si>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</si>
  <si>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</si>
  <si>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</si>
  <si>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</si>
  <si>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</si>
  <si>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</si>
  <si>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</si>
  <si>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</si>
  <si>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</si>
  <si>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</si>
  <si>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</si>
  <si>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</si>
  <si>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</si>
  <si>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</si>
  <si>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</si>
  <si>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</si>
  <si>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</si>
  <si>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</si>
  <si>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</si>
  <si>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</si>
  <si>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</si>
  <si>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</si>
  <si>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</si>
  <si>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</si>
  <si>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</si>
  <si>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</si>
  <si>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</si>
  <si>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</si>
  <si>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</si>
  <si>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</si>
  <si>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</si>
  <si>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</si>
  <si>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</si>
  <si>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</si>
  <si>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</si>
  <si>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</si>
  <si>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</si>
  <si>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</si>
  <si>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</si>
  <si>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</si>
  <si>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</si>
  <si>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</si>
  <si>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</si>
  <si>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</si>
  <si>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</si>
  <si>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</si>
  <si>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</si>
  <si>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</si>
  <si>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</si>
  <si>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</si>
  <si>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</si>
  <si>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</si>
  <si>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</si>
  <si>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</si>
  <si>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</si>
  <si>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</si>
  <si>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</si>
  <si>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</si>
  <si>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</si>
  <si>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</si>
  <si>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</si>
  <si>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</si>
  <si>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</si>
  <si>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</si>
  <si>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</si>
  <si>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</si>
  <si>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</si>
  <si>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</si>
  <si>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</si>
  <si>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</si>
  <si>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</si>
  <si>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</si>
  <si>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</si>
  <si>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</si>
  <si>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</si>
  <si>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</si>
  <si>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</si>
  <si>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</si>
  <si>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</si>
  <si>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</si>
  <si>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</si>
  <si>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</si>
  <si>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</si>
  <si>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</si>
  <si>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</si>
  <si>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</si>
  <si>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</si>
  <si>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</si>
  <si>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</si>
  <si>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</si>
  <si>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</si>
  <si>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</si>
  <si>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</si>
  <si>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</si>
  <si>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</si>
  <si>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</si>
  <si>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</si>
  <si>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</si>
  <si>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</si>
  <si>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</si>
  <si>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</si>
  <si>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</si>
  <si>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</si>
  <si>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</si>
  <si>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</si>
  <si>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</si>
  <si>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</si>
  <si>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</si>
  <si>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</si>
  <si>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</si>
  <si>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</si>
  <si>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</si>
  <si>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</si>
  <si>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</si>
  <si>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</si>
  <si>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</si>
  <si>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</si>
  <si>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</si>
  <si>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</si>
  <si>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</si>
  <si>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</si>
  <si>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</si>
  <si>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</si>
  <si>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</si>
  <si>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</si>
  <si>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</si>
  <si>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</si>
  <si>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</si>
  <si>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</si>
  <si>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</si>
  <si>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</si>
  <si>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</si>
  <si>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</si>
  <si>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</si>
  <si>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</si>
  <si>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</si>
  <si>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</si>
  <si>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</si>
  <si>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</si>
  <si>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</si>
  <si>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</si>
  <si>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</si>
  <si>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</si>
  <si>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</si>
  <si>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</si>
  <si>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</si>
  <si>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</si>
  <si>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</si>
  <si>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</si>
  <si>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</si>
  <si>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</si>
  <si>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</si>
  <si>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</si>
  <si>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</si>
  <si>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</si>
  <si>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</si>
  <si>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</si>
  <si>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</si>
  <si>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</si>
  <si>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</si>
  <si>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</si>
  <si>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</si>
  <si>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</si>
  <si>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</si>
  <si>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</si>
  <si>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</si>
  <si>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</si>
  <si>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</si>
  <si>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</si>
  <si>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</si>
  <si>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</si>
  <si>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</si>
  <si>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</si>
  <si>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</si>
  <si>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</si>
  <si>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</si>
  <si>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</si>
  <si>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</si>
  <si>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</si>
  <si>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</si>
  <si>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</si>
  <si>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</si>
  <si>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</si>
  <si>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</si>
  <si>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</si>
  <si>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</si>
  <si>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</si>
  <si>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</si>
  <si>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</si>
  <si>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</si>
  <si>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</si>
  <si>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</si>
  <si>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</si>
  <si>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</si>
  <si>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</si>
  <si>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</si>
  <si>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</si>
  <si>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</si>
  <si>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</si>
  <si>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</si>
  <si>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</si>
  <si>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</si>
  <si>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</si>
  <si>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</si>
  <si>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</si>
  <si>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</si>
  <si>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</si>
  <si>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</si>
  <si>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</si>
  <si>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</si>
  <si>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</si>
  <si>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</si>
  <si>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</si>
  <si>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</si>
  <si>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</si>
  <si>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</si>
  <si>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</si>
  <si>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</si>
  <si>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</si>
  <si>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</si>
  <si>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</si>
  <si>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</si>
  <si>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</si>
  <si>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</si>
  <si>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</si>
  <si>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</si>
  <si>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</si>
  <si>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</si>
  <si>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</si>
  <si>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</si>
  <si>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</si>
  <si>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</si>
  <si>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</si>
  <si>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</si>
  <si>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</si>
  <si>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</si>
  <si>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</si>
  <si>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</si>
  <si>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</si>
  <si>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</si>
  <si>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</si>
  <si>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</si>
  <si>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</si>
  <si>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</si>
  <si>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</si>
  <si>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</si>
  <si>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</si>
  <si>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</si>
  <si>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</si>
  <si>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</si>
  <si>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</si>
  <si>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</si>
  <si>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</si>
  <si>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</si>
  <si>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</si>
  <si>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</si>
  <si>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</si>
  <si>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</si>
  <si>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</si>
  <si>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</si>
  <si>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</si>
  <si>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</si>
  <si>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</si>
  <si>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</si>
  <si>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</si>
  <si>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</si>
  <si>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</si>
  <si>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</si>
  <si>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</si>
  <si>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</si>
  <si>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</si>
  <si>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</si>
  <si>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</si>
  <si>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</si>
  <si>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</si>
  <si>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</si>
  <si>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</si>
  <si>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</si>
  <si>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</si>
  <si>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</si>
  <si>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</si>
  <si>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</si>
  <si>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</si>
  <si>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</si>
  <si>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</si>
  <si>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</si>
  <si>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</si>
  <si>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</si>
  <si>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</si>
  <si>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</si>
  <si>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</si>
  <si>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</si>
  <si>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</si>
  <si>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</si>
  <si>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</si>
  <si>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</si>
  <si>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</si>
  <si>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</si>
  <si>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</si>
  <si>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</si>
  <si>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</si>
  <si>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</si>
  <si>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</si>
  <si>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</si>
  <si>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</si>
  <si>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</si>
  <si>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</si>
  <si>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</si>
  <si>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</si>
  <si>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</si>
  <si>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</si>
  <si>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</si>
  <si>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</si>
  <si>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</si>
  <si>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</si>
  <si>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</si>
  <si>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</si>
  <si>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</si>
  <si>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</si>
  <si>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</si>
  <si>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</si>
  <si>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</si>
  <si>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</si>
  <si>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</si>
  <si>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</si>
  <si>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</si>
  <si>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</si>
  <si>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</si>
  <si>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</si>
  <si>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</si>
  <si>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</si>
  <si>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</si>
  <si>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</si>
  <si>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</si>
  <si>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</si>
  <si>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</si>
  <si>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</si>
  <si>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</si>
  <si>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</si>
  <si>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</si>
  <si>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</si>
  <si>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</si>
  <si>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</si>
  <si>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</si>
  <si>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</si>
  <si>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</si>
  <si>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</si>
  <si>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</si>
  <si>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</si>
  <si>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</si>
  <si>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</si>
  <si>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</si>
  <si>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</si>
  <si>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</si>
  <si>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</si>
  <si>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</si>
  <si>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</si>
  <si>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</si>
  <si>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</si>
  <si>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</si>
  <si>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</si>
  <si>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</si>
  <si>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</si>
  <si>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</si>
  <si>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</si>
  <si>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</si>
  <si>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</si>
  <si>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</si>
  <si>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</si>
  <si>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</si>
  <si>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</si>
  <si>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</si>
  <si>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</si>
  <si>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</si>
  <si>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</si>
  <si>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</si>
  <si>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</si>
  <si>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</si>
  <si>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</si>
  <si>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</si>
  <si>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</si>
  <si>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</si>
  <si>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</si>
  <si>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</si>
  <si>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</si>
  <si>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</si>
  <si>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</si>
  <si>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</si>
  <si>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</si>
  <si>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</si>
  <si>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</si>
  <si>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</si>
  <si>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</si>
  <si>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</si>
  <si>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</si>
  <si>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</si>
  <si>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</si>
  <si>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</si>
  <si>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</si>
  <si>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</si>
  <si>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</si>
  <si>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</si>
  <si>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</si>
  <si>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</si>
  <si>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</si>
  <si>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</si>
  <si>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</si>
  <si>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</si>
  <si>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</si>
  <si>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</si>
  <si>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</si>
  <si>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</si>
  <si>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</si>
  <si>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</si>
  <si>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</si>
  <si>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</si>
  <si>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</si>
  <si>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</si>
  <si>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</si>
  <si>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</si>
  <si>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</si>
  <si>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</si>
  <si>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</si>
  <si>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</si>
  <si>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</si>
  <si>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</si>
  <si>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</si>
  <si>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</si>
  <si>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</si>
  <si>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</si>
  <si>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</si>
  <si>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</si>
  <si>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</si>
  <si>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</si>
  <si>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</si>
  <si>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</si>
  <si>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</si>
  <si>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</si>
  <si>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</si>
  <si>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</si>
  <si>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</si>
  <si>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</si>
  <si>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</si>
  <si>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</si>
  <si>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</si>
  <si>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</si>
  <si>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</si>
  <si>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</si>
  <si>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</si>
  <si>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</si>
  <si>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</si>
  <si>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</si>
  <si>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</si>
  <si>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</si>
  <si>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</si>
  <si>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</si>
  <si>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</si>
  <si>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</si>
  <si>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</si>
  <si>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</si>
  <si>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</si>
  <si>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</si>
  <si>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</si>
  <si>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</si>
  <si>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</si>
  <si>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</si>
  <si>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</si>
  <si>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</si>
  <si>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</si>
  <si>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</si>
  <si>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</si>
  <si>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</si>
  <si>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</si>
  <si>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</si>
  <si>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</si>
  <si>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</si>
  <si>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</si>
  <si>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</si>
  <si>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</si>
  <si>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</si>
  <si>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</si>
  <si>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</si>
  <si>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</si>
  <si>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</si>
  <si>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</si>
  <si>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</si>
  <si>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</si>
  <si>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</si>
  <si>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</si>
  <si>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</si>
  <si>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</si>
  <si>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</si>
  <si>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</si>
  <si>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</si>
  <si>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</si>
  <si>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</si>
  <si>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</si>
  <si>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</si>
  <si>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</si>
  <si>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</si>
  <si>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</si>
  <si>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</si>
  <si>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</si>
  <si>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</si>
  <si>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</si>
  <si>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</si>
  <si>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</si>
  <si>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</si>
  <si>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</si>
  <si>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</si>
  <si>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</si>
  <si>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</si>
  <si>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</si>
  <si>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</si>
  <si>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</si>
  <si>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</si>
  <si>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</si>
  <si>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</si>
  <si>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</si>
  <si>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</si>
  <si>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</si>
  <si>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</si>
  <si>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</si>
  <si>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</si>
  <si>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</si>
  <si>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</si>
  <si>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</si>
  <si>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</si>
  <si>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</si>
  <si>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</si>
  <si>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</si>
  <si>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</si>
  <si>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</si>
  <si>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</si>
  <si>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</si>
  <si>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</si>
  <si>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</si>
  <si>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</si>
  <si>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</si>
  <si>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</si>
  <si>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</si>
  <si>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</si>
  <si>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</si>
  <si>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</si>
  <si>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</si>
  <si>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</si>
  <si>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</si>
  <si>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</si>
  <si>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</si>
  <si>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</si>
  <si>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</si>
  <si>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</si>
  <si>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</si>
  <si>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</si>
  <si>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</si>
  <si>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</si>
  <si>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</si>
  <si>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</si>
  <si>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</si>
  <si>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</si>
  <si>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</si>
  <si>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</si>
  <si>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</si>
  <si>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</si>
  <si>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</si>
  <si>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</si>
  <si>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</si>
  <si>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</si>
  <si>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</si>
  <si>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</si>
  <si>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</si>
  <si>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</si>
  <si>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</si>
  <si>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</si>
  <si>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</si>
  <si>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</si>
  <si>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</si>
  <si>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</si>
  <si>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</si>
  <si>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</si>
  <si>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</si>
  <si>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</si>
  <si>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</si>
  <si>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</si>
  <si>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</si>
  <si>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</si>
  <si>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</si>
  <si>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</si>
  <si>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</si>
  <si>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</si>
  <si>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</si>
  <si>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</si>
  <si>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</si>
  <si>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</si>
  <si>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</si>
  <si>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</si>
  <si>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</si>
  <si>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</si>
  <si>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</si>
  <si>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</si>
  <si>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</si>
  <si>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</si>
  <si>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</si>
  <si>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</si>
  <si>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</si>
  <si>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</si>
  <si>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</si>
  <si>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</si>
  <si>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</si>
  <si>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</si>
  <si>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</si>
  <si>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</si>
  <si>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</si>
  <si>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</si>
  <si>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</si>
  <si>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</si>
  <si>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</si>
  <si>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</si>
  <si>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</si>
  <si>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</si>
  <si>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</si>
  <si>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</si>
  <si>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</si>
  <si>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</si>
  <si>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</si>
  <si>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</si>
  <si>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</si>
  <si>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</si>
  <si>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</si>
  <si>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</si>
  <si>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</si>
  <si>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</si>
  <si>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</si>
  <si>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</si>
  <si>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</si>
  <si>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</si>
  <si>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</si>
  <si>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</si>
  <si>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</si>
  <si>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</si>
  <si>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</si>
  <si>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</si>
  <si>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</si>
  <si>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</si>
  <si>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</si>
  <si>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</si>
  <si>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</si>
  <si>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</si>
  <si>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</si>
  <si>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</si>
  <si>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</si>
  <si>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</si>
  <si>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</si>
  <si>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</si>
  <si>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</si>
  <si>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</si>
  <si>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</si>
  <si>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</si>
  <si>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</si>
  <si>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</si>
  <si>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</si>
  <si>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</si>
  <si>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</si>
  <si>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</si>
  <si>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</si>
  <si>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</si>
  <si>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</si>
  <si>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</si>
  <si>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</si>
  <si>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</si>
  <si>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</si>
  <si>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</si>
  <si>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</si>
  <si>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</si>
  <si>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</si>
  <si>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</si>
  <si>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</si>
  <si>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</si>
  <si>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</si>
  <si>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</si>
  <si>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</si>
  <si>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</si>
  <si>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</si>
  <si>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</si>
  <si>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</si>
  <si>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</si>
  <si>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</si>
  <si>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</si>
  <si>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</si>
  <si>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</si>
  <si>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</si>
  <si>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</si>
  <si>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</si>
  <si>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</si>
  <si>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</si>
  <si>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</si>
  <si>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</si>
  <si>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</si>
  <si>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</si>
  <si>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</si>
  <si>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</si>
  <si>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</si>
  <si>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</si>
  <si>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</si>
  <si>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</si>
  <si>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</si>
  <si>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</si>
  <si>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</si>
  <si>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</si>
  <si>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</si>
  <si>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</si>
  <si>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</si>
  <si>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</si>
  <si>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</si>
  <si>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</si>
  <si>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</si>
  <si>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</si>
  <si>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</si>
  <si>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</si>
  <si>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</si>
  <si>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</si>
  <si>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</si>
  <si>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</si>
  <si>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</si>
  <si>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</si>
  <si>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</si>
  <si>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</si>
  <si>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</si>
  <si>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</si>
  <si>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</si>
  <si>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</si>
  <si>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</si>
  <si>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</si>
  <si>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</si>
  <si>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</si>
  <si>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</si>
  <si>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</si>
  <si>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</si>
  <si>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</si>
  <si>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</si>
  <si>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</si>
  <si>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</si>
  <si>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</si>
  <si>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</si>
  <si>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</si>
  <si>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</si>
  <si>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</si>
  <si>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</si>
  <si>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</si>
  <si>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</si>
  <si>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</si>
  <si>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</si>
  <si>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</si>
  <si>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</si>
  <si>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</si>
  <si>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</si>
  <si>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</si>
  <si>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</si>
  <si>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</si>
  <si>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</si>
  <si>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</si>
  <si>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</si>
  <si>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</si>
  <si>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</si>
  <si>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</si>
  <si>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</si>
  <si>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</si>
  <si>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</si>
  <si>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</si>
  <si>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</si>
  <si>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</si>
  <si>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</si>
  <si>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</si>
  <si>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</si>
  <si>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</si>
  <si>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</si>
  <si>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</si>
  <si>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</si>
  <si>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</si>
  <si>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</si>
  <si>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</si>
  <si>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</si>
  <si>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</si>
  <si>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</si>
  <si>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</si>
  <si>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</si>
  <si>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</si>
  <si>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</si>
  <si>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</si>
  <si>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</si>
  <si>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</si>
  <si>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</si>
  <si>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</si>
  <si>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</si>
  <si>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</si>
  <si>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</si>
  <si>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</si>
  <si>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</si>
  <si>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</si>
  <si>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</si>
  <si>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</si>
  <si>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</si>
  <si>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</si>
  <si>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</si>
  <si>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</si>
  <si>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</si>
  <si>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</si>
  <si>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</si>
  <si>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</si>
  <si>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</si>
  <si>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</si>
  <si>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</si>
  <si>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</si>
  <si>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</si>
  <si>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</si>
  <si>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</si>
  <si>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</si>
  <si>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</si>
  <si>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</si>
  <si>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</si>
  <si>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</si>
  <si>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</si>
  <si>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</si>
  <si>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</si>
  <si>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</si>
  <si>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</si>
  <si>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</si>
  <si>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</si>
  <si>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</si>
  <si>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</si>
  <si>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</si>
  <si>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</si>
  <si>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</si>
  <si>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</si>
  <si>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</si>
  <si>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</si>
  <si>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</si>
  <si>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</si>
  <si>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</si>
  <si>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</si>
  <si>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</si>
  <si>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</si>
  <si>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</si>
  <si>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</si>
  <si>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</si>
  <si>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</si>
  <si>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</si>
  <si>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</si>
  <si>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</si>
  <si>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</si>
  <si>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</si>
  <si>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</si>
  <si>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</si>
  <si>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</si>
  <si>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</si>
  <si>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</si>
  <si>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</si>
  <si>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</si>
  <si>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</si>
  <si>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</si>
  <si>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</si>
  <si>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</si>
  <si>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</si>
  <si>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</si>
  <si>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</si>
  <si>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</si>
  <si>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</si>
  <si>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</si>
  <si>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</si>
  <si>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</si>
  <si>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</si>
  <si>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</si>
  <si>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</si>
  <si>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</si>
  <si>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</si>
  <si>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</si>
  <si>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</si>
  <si>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</si>
  <si>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</si>
  <si>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</si>
  <si>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</si>
  <si>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</si>
  <si>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</si>
  <si>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</si>
  <si>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</si>
  <si>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</si>
  <si>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</si>
  <si>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</si>
  <si>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</si>
  <si>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</si>
  <si>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</si>
  <si>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</si>
  <si>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</si>
  <si>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</si>
  <si>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</si>
  <si>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</si>
  <si>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</si>
  <si>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</si>
  <si>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</si>
  <si>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</si>
  <si>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</si>
  <si>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</si>
  <si>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</si>
  <si>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</si>
  <si>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</si>
  <si>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</si>
  <si>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</si>
  <si>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</si>
  <si>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</si>
  <si>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</si>
  <si>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</si>
  <si>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</si>
  <si>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</si>
  <si>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</si>
  <si>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</si>
  <si>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</si>
  <si>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</si>
  <si>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</si>
  <si>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</si>
  <si>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</si>
  <si>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</si>
  <si>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</si>
  <si>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</si>
  <si>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</si>
  <si>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</si>
  <si>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</si>
  <si>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</si>
  <si>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</si>
  <si>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</si>
  <si>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</si>
  <si>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</si>
  <si>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</si>
  <si>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</si>
  <si>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</si>
  <si>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</si>
  <si>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</si>
  <si>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</si>
  <si>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</si>
  <si>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</si>
  <si>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</si>
  <si>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</si>
  <si>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</si>
  <si>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</si>
  <si>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</si>
  <si>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</si>
  <si>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</si>
  <si>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</si>
  <si>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</si>
  <si>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</si>
  <si>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</si>
  <si>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</si>
  <si>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</si>
  <si>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</si>
  <si>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</si>
  <si>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</si>
  <si>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</si>
  <si>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</si>
  <si>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</si>
  <si>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</si>
  <si>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</si>
  <si>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</si>
  <si>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</si>
  <si>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</si>
  <si>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</si>
  <si>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</si>
  <si>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</si>
  <si>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</si>
  <si>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</si>
  <si>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</si>
  <si>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</si>
  <si>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</si>
  <si>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</si>
  <si>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</si>
  <si>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</si>
  <si>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</si>
  <si>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</si>
  <si>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</si>
  <si>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</si>
  <si>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</si>
  <si>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</si>
  <si>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</si>
  <si>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</si>
  <si>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</si>
  <si>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</si>
  <si>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</si>
  <si>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</si>
  <si>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</si>
  <si>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</si>
  <si>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</si>
  <si>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</si>
  <si>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</si>
  <si>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</si>
  <si>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</si>
  <si>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</si>
  <si>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</si>
  <si>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</si>
  <si>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</si>
  <si>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</si>
  <si>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</si>
  <si>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</si>
  <si>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</si>
  <si>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</si>
  <si>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</si>
  <si>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</si>
  <si>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</si>
  <si>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</si>
  <si>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</si>
  <si>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</si>
  <si>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</si>
  <si>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</si>
  <si>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</si>
  <si>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</si>
  <si>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</si>
  <si>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</si>
  <si>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</si>
  <si>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</si>
  <si>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</si>
  <si>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</si>
  <si>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</si>
  <si>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</si>
  <si>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</si>
  <si>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</si>
  <si>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</si>
  <si>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</si>
  <si>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</si>
  <si>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</si>
  <si>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</si>
  <si>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</si>
  <si>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</si>
  <si>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</si>
  <si>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</si>
  <si>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</si>
  <si>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</si>
  <si>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</si>
  <si>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</si>
  <si>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</si>
  <si>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</si>
  <si>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</si>
  <si>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</si>
  <si>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</si>
  <si>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</si>
  <si>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</si>
  <si>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</si>
  <si>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</si>
  <si>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</si>
  <si>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</si>
  <si>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</si>
  <si>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</si>
  <si>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</si>
  <si>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</si>
  <si>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</si>
  <si>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</si>
  <si>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</si>
  <si>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</si>
  <si>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</si>
  <si>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</si>
  <si>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</si>
  <si>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</si>
  <si>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</si>
  <si>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</si>
  <si>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</si>
  <si>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</si>
  <si>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</si>
  <si>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</si>
  <si>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</si>
  <si>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</si>
  <si>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</si>
  <si>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</si>
  <si>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</si>
  <si>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</si>
  <si>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</si>
  <si>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</si>
  <si>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</si>
  <si>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</si>
  <si>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</si>
  <si>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</si>
  <si>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</si>
  <si>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</si>
  <si>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</si>
  <si>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</si>
  <si>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</si>
  <si>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</si>
  <si>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</si>
  <si>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</si>
  <si>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</si>
  <si>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</si>
  <si>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</si>
  <si>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</si>
  <si>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</si>
  <si>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</si>
  <si>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</si>
  <si>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</si>
  <si>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</si>
  <si>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</si>
  <si>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</si>
  <si>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</si>
  <si>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</si>
  <si>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</si>
  <si>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</si>
  <si>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</si>
  <si>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</si>
  <si>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</si>
  <si>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</si>
  <si>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</si>
  <si>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</si>
  <si>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</si>
  <si>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</si>
  <si>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</si>
  <si>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</si>
  <si>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</si>
  <si>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</si>
  <si>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</si>
  <si>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</si>
  <si>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</si>
  <si>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</si>
  <si>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</si>
  <si>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</si>
  <si>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</si>
  <si>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</si>
  <si>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</si>
  <si>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</si>
  <si>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</si>
  <si>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</si>
  <si>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</si>
  <si>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</si>
  <si>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</si>
  <si>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</si>
  <si>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</si>
  <si>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</si>
  <si>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MVAH Development LLC</t>
  </si>
  <si>
    <t>9100 Centre Pointe Dr., Suite 200</t>
  </si>
  <si>
    <t>West Chester</t>
  </si>
  <si>
    <t>brian.mcgeady@mvahpartners.com</t>
  </si>
  <si>
    <t>Brian McGeady</t>
  </si>
  <si>
    <t>Managing Partner</t>
  </si>
  <si>
    <t>Justin Gregory</t>
  </si>
  <si>
    <t>9100 Centre Pointe Dr.</t>
  </si>
  <si>
    <t>justin.gregory@mvahpartners.com</t>
  </si>
  <si>
    <t>Financial Analyst</t>
  </si>
  <si>
    <t>40% of Units at 60% of AMI</t>
  </si>
  <si>
    <t>N/a</t>
  </si>
  <si>
    <t>For Profit</t>
  </si>
  <si>
    <t>mvahpartners.com</t>
  </si>
  <si>
    <t>Senior Vice President</t>
  </si>
  <si>
    <t>MVAH Management LLC</t>
  </si>
  <si>
    <t>Coleman Talley LLP</t>
  </si>
  <si>
    <t xml:space="preserve">910 N Patterson St </t>
  </si>
  <si>
    <t>Gregory Q. Clark</t>
  </si>
  <si>
    <t>Partner</t>
  </si>
  <si>
    <t>www.ColemanTalley.com</t>
  </si>
  <si>
    <t>Greg.Clark@ColemanTalley.com</t>
  </si>
  <si>
    <t>Tidwell Group</t>
  </si>
  <si>
    <t>5901 Peachtree Dunwoody Rd. Building A, Suite 125</t>
  </si>
  <si>
    <t>Jessica R. Smith, CPA</t>
  </si>
  <si>
    <t>Manager</t>
  </si>
  <si>
    <t>tidwellgroup.com</t>
  </si>
  <si>
    <t>jessica.smith@tidwellgroup.com</t>
  </si>
  <si>
    <t>BDCL Architects</t>
  </si>
  <si>
    <t>Kirk Paisley</t>
  </si>
  <si>
    <t>President</t>
  </si>
  <si>
    <t>kirk.paisley@mvahpartners.com</t>
  </si>
  <si>
    <t>Amortizing</t>
  </si>
  <si>
    <t>Applicable Utility Allowances from the DCA Georgia South Region have been attached. The appropiate electric utilities that will be paid by the Resident have been selected and the Owner will be paying for Water / Sewer; although the units will still be sub-metered.</t>
  </si>
  <si>
    <t>Agree</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</si>
  <si>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</si>
  <si>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United Consulting</t>
  </si>
  <si>
    <t>Purchase Contract</t>
  </si>
  <si>
    <t>N/Ap</t>
  </si>
  <si>
    <t>Georgia Power</t>
  </si>
  <si>
    <t>Room</t>
  </si>
  <si>
    <t>On-site laundry</t>
  </si>
  <si>
    <t>Section D. is not applicable for this development. This development is providing required amenities that meet applicable DCA requirements.</t>
  </si>
  <si>
    <t>The Conceptual Site Development Plan is included in the application and all amenities required and selected are included on the plan.</t>
  </si>
  <si>
    <t>Zeffert &amp; Associates</t>
  </si>
  <si>
    <t>Applicant agrees to follow DCA standards and policies regarding Architectural Design &amp; Quality Standards.</t>
  </si>
  <si>
    <t>This development does not qualify for the non-profit set-aside.</t>
  </si>
  <si>
    <t>This development does not qualify for the CHDO set-aside for Home Loans.</t>
  </si>
  <si>
    <t>This development will meet all AFFH requirements.</t>
  </si>
  <si>
    <t>Authorized Signer</t>
  </si>
  <si>
    <t>Wayne County Transit</t>
  </si>
  <si>
    <t>(912) 427-5914</t>
  </si>
  <si>
    <t>wayneinfo@wayncountyga.us</t>
  </si>
  <si>
    <t>https://www.waynecountyga.us/department/index.php?structureid=32</t>
  </si>
  <si>
    <t>This criteria is not being elected by applicant.</t>
  </si>
  <si>
    <t>None at this time.</t>
  </si>
  <si>
    <t>Monarch Private Capital</t>
  </si>
  <si>
    <t>PNC Bank, N.A.</t>
  </si>
  <si>
    <t>The Federal Equity will be coming from PNC Bank, N.A. and State Equity will coming from Monarch Private Capital. The construction loan will be coming from PNC Bank, N.A.</t>
  </si>
  <si>
    <t>Georgia South High-Rise Apartment</t>
  </si>
  <si>
    <t>Development as proposed meets all DCA environmental requirements.</t>
  </si>
  <si>
    <t>Ryan Edwards</t>
  </si>
  <si>
    <t>ryan.l.edwards@pnc.com</t>
  </si>
  <si>
    <t>www.PNC.com</t>
  </si>
  <si>
    <t>101 South Fifth Street, 7th Floor</t>
  </si>
  <si>
    <t>Brent Barringer</t>
  </si>
  <si>
    <t>Managing Director of LIHTC</t>
  </si>
  <si>
    <t>www.monarchprivate.com</t>
  </si>
  <si>
    <t>bbarringer@monarchprivate.com</t>
  </si>
  <si>
    <t>3414 Peachtree Road, Suite 825</t>
  </si>
  <si>
    <t>2020PA-043</t>
  </si>
  <si>
    <t>Twin Oaks Commons</t>
  </si>
  <si>
    <t>City Limits</t>
  </si>
  <si>
    <t>9702.00</t>
  </si>
  <si>
    <t>158 Twin Oaks Dr.</t>
  </si>
  <si>
    <t>MVAH Partners LLC owns MVAH Development LLC (co-developer), MVAH Twin Oaks Commons LLC (managing general partner / member), and MVAH Management LLC (management company).</t>
  </si>
  <si>
    <t>Twin Oaks Commons LLC</t>
  </si>
  <si>
    <t>MVAH Twin Oaks Commons LLC</t>
  </si>
  <si>
    <t xml:space="preserve">MVAH Partners LLC owns MVAH Development LLC (co-developer), MVAH Twin Oaks Commons LLC (managing general partner / member), and MVAH Management LLC (management company). </t>
  </si>
  <si>
    <t>Acquisition/Rehab</t>
  </si>
  <si>
    <t>469 N. Main St.</t>
  </si>
  <si>
    <t>coludowici@alltell.net</t>
  </si>
  <si>
    <t>City of Ludowici</t>
  </si>
  <si>
    <t>Mayor</t>
  </si>
  <si>
    <t>James Fuller, Jr.</t>
  </si>
  <si>
    <t>(912) 545-0038</t>
  </si>
  <si>
    <t>www.longcountyeda.com/ludowici</t>
  </si>
  <si>
    <t>MVAH Partners LLC</t>
  </si>
  <si>
    <t>Jesup Commons</t>
  </si>
  <si>
    <t>Indirect</t>
  </si>
  <si>
    <t>MVAH Holding LLC</t>
  </si>
  <si>
    <t>Both</t>
  </si>
  <si>
    <t>Direct</t>
  </si>
  <si>
    <t>Evans Commons</t>
  </si>
  <si>
    <t>MVAH Jesup Commons LLC</t>
  </si>
  <si>
    <t>MVAH Evans Commons LLC</t>
  </si>
  <si>
    <t>98-019</t>
  </si>
  <si>
    <t>2015 (Completed)</t>
  </si>
  <si>
    <t>GA-98-01908</t>
  </si>
  <si>
    <t>GA-98-01901</t>
  </si>
  <si>
    <t>MVAH Partners LLC owns MVAH Development LLC (co-developer), MVAH Twin Oaks Commons LLC (managing general partner / member), and MVAH Management LLC (management company). Vacant units have not be re-leased. Applicant agrees to extending cancellation option in lines with the QAP and the appropiate scoring item.</t>
  </si>
  <si>
    <t>Sams Partners LP</t>
  </si>
  <si>
    <t>Griffin Lotson</t>
  </si>
  <si>
    <t>griffinlotson@gmail.com</t>
  </si>
  <si>
    <t>1072 Morning Glory Ln</t>
  </si>
  <si>
    <t>Empire Corporation of Tennessee, Inc.</t>
  </si>
  <si>
    <t>3600 Henson Road</t>
  </si>
  <si>
    <t>https://empireinctn.com/</t>
  </si>
  <si>
    <t>drews@empireinctn.com</t>
  </si>
  <si>
    <t>Drew Sutherland</t>
  </si>
  <si>
    <t>Senior Project Manager</t>
  </si>
  <si>
    <t>Empire Construction reviewed the applicable conceptual drawings and the conceptual site plan and compared those design features with historical data from the coastal region of Georgia and gave us a preliminary estimate based on these factors. As this is a rehabilitation development, there is an extensive scope of work and PNA analysis was conducted.</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</si>
  <si>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Long County Millage Rates. We also utilized the current tax bills in the analysis as this is a currently operating property.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 An activities manager has been provided in the budget on a part-time basis per the applicable QAP rules. Additionally, the rent schedule is not able to accurately capture the existing HOME regulations in the LURA that this development will be following, specifically 4 of the three bedroom units will be restricted to 55% and not 50% AMI. We have decided to restrict at 50% AMI in the rent schedule and going forward to meet this requirement; this way all units will be restricted to 50% AMI Income. The rent restrictions are as follows: 4 three-bedrooms are restricted to 50% AMI rents, 12 one-bedrooms are restricted to 45% AMI rents, 20 two-bedroom units are restricted to 45% AMI rents, and 4 three-bedroom units are restricted at 50% AMI rents.</t>
  </si>
  <si>
    <t>There are no debt service payments that deviate from the payment calculations from the Sources of Funds tab. In each of the first 15 years of the cash flow analysis, DCA requirements are being met with a DSCR above 1.25 and an income to expense ratio above 1.15 in year 15.</t>
  </si>
  <si>
    <t>All commitments submitted financially are firm commitments, the development is clearly visible in a major commerical corridor of Ludowici and is located off of a major road. Additionally, this is a rehabilitation of an existing affordable housing property and this will lead to the preservation of affordable housing in the State of Georgia. One of DCA's goals.</t>
  </si>
  <si>
    <t>The proposed development is well under the Project Cost Limit (PCL).</t>
  </si>
  <si>
    <t>The proposed development is designated as a family development and meets DCA requirements as a family development.</t>
  </si>
  <si>
    <t>Proposed development is family, and Movie Nights and Exercise Classes are being proposed. The actitivites manager has been allocated on a proportional basis as this is a smaller development. Due to this we meet the requirements of 2 services for familty developments.</t>
  </si>
  <si>
    <t>N/ap</t>
  </si>
  <si>
    <t>VSI APPRAISAL GROUP</t>
  </si>
  <si>
    <t>No identity of interest exists between the buyer and seller of the property. An appraisal has been provided due to the requirements of the DCA Rural HOME Preservation Set-Aside.</t>
  </si>
  <si>
    <t>Development site is under control and the site control contract meets applicable DCA requirements. The entity with site control is the applicant. The seller of the property is an unrelated third party. The site control inspection period ends on December 30, 2020 and the closing date if no extensions are exercised is 08/27/21. This is through November 30, 2020. Exercising all of the extensions will lead to a final contract date of 08/27/21. Which greatly exceeds November 30, 2020.</t>
  </si>
  <si>
    <t>The proposed development site is located directly off of a public road. S. McDonald Street is a public street in the City of Ludowici. All properties, including our development site, that have frontage
along S. McDonald Street has the right to connect and utilize this road. We have provided a letter from the City stating as much.</t>
  </si>
  <si>
    <t>Zoning is in place at the time of application submission and all applicable Georgia DCA requirements are being met. We have provided a letter from Long County / City of Ludowici Planning and Zoning Board stating that all applicable zoning is in place and there are no further restrictions.</t>
  </si>
  <si>
    <t>Georgia Power Company is currently providing electricity to the site and have provided a letter. They state that no further improvements are needed to continue providing power.</t>
  </si>
  <si>
    <t>City of Jesup has provided a letter of availability for water and sewer included in the application. No annexation or improvements are required. Additionally, the City of Ludowici confirmed that the service at the development site is current and on-going.</t>
  </si>
  <si>
    <t>Covered Porch</t>
  </si>
  <si>
    <t>N/A - no NC involved</t>
  </si>
  <si>
    <t>Substantial Gut Rehab</t>
  </si>
  <si>
    <t>Dominion Due Diligence Group</t>
  </si>
  <si>
    <t>Jackie Queen</t>
  </si>
  <si>
    <t>This development is a rehabilitation development and specifically a preservation of affordable housing. A PNA by a qualified provider has been included as well as the required energy audit report. The rehab scope of work meets all applicable DCA requirements and also matches the suggestions found in the PNA.</t>
  </si>
  <si>
    <t>Applicant agrees to follow DCA standards and policies regarding Building Sustanability. The development will also be receiving the required sustainable bulding certification.</t>
  </si>
  <si>
    <t>Applicant agrees to follow DCA standards and policies regarding Accessibility; additionally, as this is a Rehab development. The neccesary modifications and additional accessible units and features have been included in the Rehab Scope of Work.</t>
  </si>
  <si>
    <t>This development does qualify for the rural home preservation set-aside. We have provided the DCA pre-application selection letter as well as the other required information.</t>
  </si>
  <si>
    <t>Live Oaks</t>
  </si>
  <si>
    <t>Twin Oaks</t>
  </si>
  <si>
    <t>Each resident will be given individual relocation advisory/counseling services no later than thirty (30) days prior to the date of their proposed relocation.  The resident will be furnished with a thirty (30) day notice to vacate their unit at that time and alternatives for temporary or permanent relocation housing will be discussed.  Resident and counselor will determine which temporary or permanent housing best fits resident’s needs and will formulate an individualized moving plan.</t>
  </si>
  <si>
    <t>Third-party</t>
  </si>
  <si>
    <t>Custom Relocation Specialists, LLC</t>
  </si>
  <si>
    <t>Relocation specialist</t>
  </si>
  <si>
    <t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t>
  </si>
  <si>
    <t>This development is involves temporary relocation but there will be NO displacement of tenants. All applicable relocation standards are being met and we are utilizing a highly qualified relocation specialist to help us formulate our relocation plan and also help perform the relocation.</t>
  </si>
  <si>
    <t>Section 811</t>
  </si>
  <si>
    <t>This development will meet the requirement by agreeing to accept a DCA PBRA contract if desired by DCA. We understand the requirements of the Section 811 program.</t>
  </si>
  <si>
    <t>This development is an optimal utilization of resources for DCA and will greatly benefit the residents of the City of Ludowici and Long County.</t>
  </si>
  <si>
    <t>This development qualifies for and is requesting Acquisition credits. Because of this; we have included the required legal opinion as requested by DCA.</t>
  </si>
  <si>
    <t>The certifying GP/Developer and Principal (MVAH Holding LLC, MVAH Development LLC, and MVAH Partners LLC) have not changed and all qualifying entities are still participating with no change since pre-application.</t>
  </si>
  <si>
    <t>Bowen National Research</t>
  </si>
  <si>
    <t>Ashton Place Apts.</t>
  </si>
  <si>
    <t>Pines at Willowbrook</t>
  </si>
  <si>
    <t>Royal Oaks</t>
  </si>
  <si>
    <t>Sunset Pointe</t>
  </si>
  <si>
    <t>Twin Oaks Commons involves the Acquisition and Rehab of 40-units at 105 Twin Oaks, Ludowici, Long Countty, Georgia 31316-7261; with coordinates of 31.704298, -81.737643. The proposed preservation of a
rental community originally funded in 1998 will offer 12 one-bedroom, 20 two-bedroom and 8 three-bedroom townhome-style units. These units will be housed in  townhomes with
community space. The project will target and restrict occupancy to family households earning up to 50% of the Area Median Income (AMI) and will involve the pay-off of a HOME Loan that is set to expire.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Central Air Conditioning
 Ceiling Fan
 Patio/Balcony
 Patio Storage
Services
 Classes
 Parties</t>
  </si>
  <si>
    <t>State Investment Partner, Monarch Private Capital, is a passive Investor in MVAH Partners but is not a managing partner and does not have day to day control or decisionmaking authority over MVAH Partners and related parties.</t>
  </si>
  <si>
    <t>2020-050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</si>
</sst>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2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3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86"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86"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33"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80" xfId="0" applyFont="1" applyFill="1" applyBorder="1" applyAlignment="1" applyProtection="1">
      <alignment horizontal="center"/>
    </xf>
    <xf numFmtId="0" fontId="14" fillId="5" borderId="79"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3" fillId="5" borderId="78"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86" xfId="0" applyNumberFormat="1" applyFont="1" applyFill="1" applyBorder="1" applyAlignment="1" applyProtection="1">
      <alignment horizont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3">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956</v>
      </c>
    </row>
    <row r="2" spans="1:6" ht="15" customHeight="1">
      <c r="A2" s="830" t="str">
        <f>'Part I-Project Information'!F34</f>
        <v>Twin Oaks Commons</v>
      </c>
    </row>
    <row r="3" spans="1:6" ht="15" customHeight="1">
      <c r="A3" s="830" t="str">
        <f>CONCATENATE('Part I-Project Information'!F38,", ", 'Part I-Project Information'!J39," County")</f>
        <v>Ludowici, Long County</v>
      </c>
    </row>
    <row r="4" spans="1:6" ht="12" customHeight="1">
      <c r="A4" s="1350"/>
    </row>
    <row r="5" spans="1:6" ht="72" customHeight="1">
      <c r="A5" s="2400" t="s">
        <v>7138</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Jqo1svLfrbhNYdetSGFY+fCpIQVGQajvi4v7FmpF12EMXc6A670VGDbBR9oPW02FnmtbCsHI3ZnHM7hfe+ihVA==" saltValue="Sag+xbhPAslgrStKm3yJe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2020-050 Twin Oaks Commons, Ludowici, Long County</v>
      </c>
      <c r="B1" s="1748"/>
      <c r="C1" s="1748"/>
      <c r="D1" s="1748"/>
      <c r="E1" s="1748"/>
      <c r="F1" s="1748"/>
      <c r="G1" s="1748"/>
      <c r="H1" s="1748"/>
      <c r="I1" s="1750"/>
      <c r="J1" s="1748"/>
      <c r="K1" s="1748"/>
      <c r="L1" s="1748"/>
      <c r="M1" s="1748"/>
      <c r="N1" s="1748"/>
      <c r="O1" s="1748"/>
      <c r="P1" s="1748"/>
      <c r="Q1" s="1749"/>
      <c r="T1" s="1746" t="str">
        <f>A1</f>
        <v>PART SIX - PROJECTED REVENUES &amp; EXPENSES  -  2020-050 Twin Oaks Commons, Ludowici, Long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597</v>
      </c>
      <c r="B3" s="4" t="s">
        <v>2304</v>
      </c>
      <c r="C3" s="1"/>
      <c r="D3" s="882" t="s">
        <v>3433</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475</v>
      </c>
      <c r="IF3" s="447" t="s">
        <v>2375</v>
      </c>
      <c r="IG3" s="447" t="s">
        <v>2376</v>
      </c>
      <c r="IH3" s="447" t="s">
        <v>2377</v>
      </c>
      <c r="II3" s="447" t="s">
        <v>2378</v>
      </c>
      <c r="IJ3" s="447" t="s">
        <v>475</v>
      </c>
      <c r="IK3" s="447" t="s">
        <v>2375</v>
      </c>
      <c r="IL3" s="447" t="s">
        <v>2376</v>
      </c>
      <c r="IM3" s="447" t="s">
        <v>2377</v>
      </c>
      <c r="IN3" s="447" t="s">
        <v>2378</v>
      </c>
      <c r="IO3" s="2245"/>
      <c r="IP3" s="2245"/>
      <c r="IQ3" s="2245"/>
      <c r="IR3" s="2245"/>
      <c r="IS3" s="2245"/>
      <c r="IT3" s="2245"/>
      <c r="IU3" s="2245"/>
      <c r="IV3" s="2245"/>
      <c r="IW3" s="2245"/>
      <c r="IX3" s="2245"/>
      <c r="IY3" s="447" t="s">
        <v>475</v>
      </c>
      <c r="IZ3" s="447" t="s">
        <v>2375</v>
      </c>
      <c r="JA3" s="447" t="s">
        <v>2376</v>
      </c>
      <c r="JB3" s="447" t="s">
        <v>2377</v>
      </c>
      <c r="JC3" s="447" t="s">
        <v>2378</v>
      </c>
      <c r="JD3" s="447" t="s">
        <v>475</v>
      </c>
      <c r="JE3" s="447" t="s">
        <v>2375</v>
      </c>
      <c r="JF3" s="447" t="s">
        <v>2376</v>
      </c>
      <c r="JG3" s="447" t="s">
        <v>2377</v>
      </c>
      <c r="JH3" s="447" t="s">
        <v>2378</v>
      </c>
      <c r="JI3" s="447" t="s">
        <v>475</v>
      </c>
      <c r="JJ3" s="447" t="s">
        <v>2375</v>
      </c>
      <c r="JK3" s="447" t="s">
        <v>2376</v>
      </c>
      <c r="JL3" s="447" t="s">
        <v>2377</v>
      </c>
      <c r="JM3" s="447" t="s">
        <v>2378</v>
      </c>
      <c r="JN3" s="447" t="s">
        <v>475</v>
      </c>
      <c r="JO3" s="447" t="s">
        <v>2375</v>
      </c>
      <c r="JP3" s="447" t="s">
        <v>2376</v>
      </c>
      <c r="JQ3" s="447" t="s">
        <v>2377</v>
      </c>
      <c r="JR3" s="447" t="s">
        <v>2378</v>
      </c>
      <c r="JS3" s="447" t="s">
        <v>475</v>
      </c>
      <c r="JT3" s="447" t="s">
        <v>2375</v>
      </c>
      <c r="JU3" s="447" t="s">
        <v>2376</v>
      </c>
      <c r="JV3" s="447" t="s">
        <v>2377</v>
      </c>
      <c r="JW3" s="447" t="s">
        <v>2378</v>
      </c>
      <c r="JX3" s="447" t="s">
        <v>475</v>
      </c>
      <c r="JY3" s="447" t="s">
        <v>2375</v>
      </c>
      <c r="JZ3" s="447" t="s">
        <v>2376</v>
      </c>
      <c r="KA3" s="447" t="s">
        <v>2377</v>
      </c>
      <c r="KB3" s="447" t="s">
        <v>2378</v>
      </c>
      <c r="KC3" s="447" t="s">
        <v>475</v>
      </c>
      <c r="KD3" s="447" t="s">
        <v>2375</v>
      </c>
      <c r="KE3" s="447" t="s">
        <v>2376</v>
      </c>
      <c r="KF3" s="447" t="s">
        <v>2377</v>
      </c>
      <c r="KG3" s="447" t="s">
        <v>2378</v>
      </c>
      <c r="KH3" s="447" t="s">
        <v>475</v>
      </c>
      <c r="KI3" s="447" t="s">
        <v>2375</v>
      </c>
      <c r="KJ3" s="447" t="s">
        <v>2376</v>
      </c>
      <c r="KK3" s="447" t="s">
        <v>2377</v>
      </c>
      <c r="KL3" s="447" t="s">
        <v>2378</v>
      </c>
      <c r="KM3" s="447" t="s">
        <v>475</v>
      </c>
      <c r="KN3" s="447" t="s">
        <v>2375</v>
      </c>
      <c r="KO3" s="447" t="s">
        <v>2376</v>
      </c>
      <c r="KP3" s="447" t="s">
        <v>2377</v>
      </c>
      <c r="KQ3" s="447" t="s">
        <v>2378</v>
      </c>
      <c r="KR3" s="447" t="s">
        <v>475</v>
      </c>
      <c r="KS3" s="447" t="s">
        <v>2375</v>
      </c>
      <c r="KT3" s="447" t="s">
        <v>2376</v>
      </c>
      <c r="KU3" s="447" t="s">
        <v>2377</v>
      </c>
      <c r="KV3" s="447" t="s">
        <v>2378</v>
      </c>
      <c r="KW3" s="447" t="s">
        <v>475</v>
      </c>
      <c r="KX3" s="447" t="s">
        <v>2375</v>
      </c>
      <c r="KY3" s="447" t="s">
        <v>2376</v>
      </c>
      <c r="KZ3" s="447" t="s">
        <v>2377</v>
      </c>
      <c r="LA3" s="447" t="s">
        <v>2378</v>
      </c>
      <c r="LB3" s="447" t="s">
        <v>475</v>
      </c>
      <c r="LC3" s="447" t="s">
        <v>2375</v>
      </c>
      <c r="LD3" s="447" t="s">
        <v>2376</v>
      </c>
      <c r="LE3" s="447" t="s">
        <v>2377</v>
      </c>
      <c r="LF3" s="447" t="s">
        <v>2378</v>
      </c>
      <c r="LG3" s="447" t="s">
        <v>475</v>
      </c>
      <c r="LH3" s="447" t="s">
        <v>2375</v>
      </c>
      <c r="LI3" s="447" t="s">
        <v>2376</v>
      </c>
      <c r="LJ3" s="447" t="s">
        <v>2377</v>
      </c>
      <c r="LK3" s="447" t="s">
        <v>2378</v>
      </c>
      <c r="LL3" s="447" t="s">
        <v>475</v>
      </c>
      <c r="LM3" s="447" t="s">
        <v>2375</v>
      </c>
      <c r="LN3" s="447" t="s">
        <v>2376</v>
      </c>
      <c r="LO3" s="447" t="s">
        <v>2377</v>
      </c>
      <c r="LP3" s="447" t="s">
        <v>2378</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3306</v>
      </c>
      <c r="MQ3" s="2643" t="s">
        <v>3307</v>
      </c>
      <c r="MR3" s="2643" t="s">
        <v>3308</v>
      </c>
      <c r="MS3" s="2643" t="s">
        <v>3309</v>
      </c>
      <c r="MT3" s="2643" t="s">
        <v>3310</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3518</v>
      </c>
      <c r="R4" s="2373"/>
      <c r="S4" s="413"/>
      <c r="T4" s="413"/>
      <c r="U4" s="413"/>
      <c r="W4" s="414"/>
      <c r="X4" s="2657" t="s">
        <v>4123</v>
      </c>
      <c r="Y4" s="2657" t="s">
        <v>4124</v>
      </c>
      <c r="Z4" s="2657" t="s">
        <v>4125</v>
      </c>
      <c r="AA4" s="2657" t="s">
        <v>4126</v>
      </c>
      <c r="AB4" s="2657" t="s">
        <v>4127</v>
      </c>
      <c r="AC4" s="2657" t="s">
        <v>4128</v>
      </c>
      <c r="AD4" s="2657" t="s">
        <v>4129</v>
      </c>
      <c r="AE4" s="2657" t="s">
        <v>4130</v>
      </c>
      <c r="AF4" s="2657" t="s">
        <v>4131</v>
      </c>
      <c r="AG4" s="2657" t="s">
        <v>4132</v>
      </c>
      <c r="AH4" s="2657" t="s">
        <v>897</v>
      </c>
      <c r="AI4" s="2657" t="s">
        <v>737</v>
      </c>
      <c r="AJ4" s="2657" t="s">
        <v>738</v>
      </c>
      <c r="AK4" s="2657" t="s">
        <v>739</v>
      </c>
      <c r="AL4" s="2657" t="s">
        <v>740</v>
      </c>
      <c r="AM4" s="2657" t="s">
        <v>898</v>
      </c>
      <c r="AN4" s="2657" t="s">
        <v>2249</v>
      </c>
      <c r="AO4" s="2657" t="s">
        <v>2250</v>
      </c>
      <c r="AP4" s="2657" t="s">
        <v>2251</v>
      </c>
      <c r="AQ4" s="2657" t="s">
        <v>2252</v>
      </c>
      <c r="AR4" s="2657" t="s">
        <v>4134</v>
      </c>
      <c r="AS4" s="2657" t="s">
        <v>4135</v>
      </c>
      <c r="AT4" s="2657" t="s">
        <v>4136</v>
      </c>
      <c r="AU4" s="2657" t="s">
        <v>4137</v>
      </c>
      <c r="AV4" s="2657" t="s">
        <v>4133</v>
      </c>
      <c r="AW4" s="2657" t="s">
        <v>899</v>
      </c>
      <c r="AX4" s="2657" t="s">
        <v>2253</v>
      </c>
      <c r="AY4" s="2657" t="s">
        <v>2254</v>
      </c>
      <c r="AZ4" s="2657" t="s">
        <v>2255</v>
      </c>
      <c r="BA4" s="2657" t="s">
        <v>2256</v>
      </c>
      <c r="BB4" s="2657" t="s">
        <v>4138</v>
      </c>
      <c r="BC4" s="2657" t="s">
        <v>4139</v>
      </c>
      <c r="BD4" s="2657" t="s">
        <v>4140</v>
      </c>
      <c r="BE4" s="2657" t="s">
        <v>4141</v>
      </c>
      <c r="BF4" s="2657" t="s">
        <v>4142</v>
      </c>
      <c r="BG4" s="2657" t="s">
        <v>126</v>
      </c>
      <c r="BH4" s="2657" t="s">
        <v>2257</v>
      </c>
      <c r="BI4" s="2657" t="s">
        <v>2258</v>
      </c>
      <c r="BJ4" s="2657" t="s">
        <v>2259</v>
      </c>
      <c r="BK4" s="2657" t="s">
        <v>1125</v>
      </c>
      <c r="BL4" s="2657" t="s">
        <v>4143</v>
      </c>
      <c r="BM4" s="2657" t="s">
        <v>4144</v>
      </c>
      <c r="BN4" s="2657" t="s">
        <v>4145</v>
      </c>
      <c r="BO4" s="2657" t="s">
        <v>4146</v>
      </c>
      <c r="BP4" s="2657" t="s">
        <v>4147</v>
      </c>
      <c r="BQ4" s="2657" t="s">
        <v>539</v>
      </c>
      <c r="BR4" s="2657" t="s">
        <v>540</v>
      </c>
      <c r="BS4" s="2657" t="s">
        <v>559</v>
      </c>
      <c r="BT4" s="2657" t="s">
        <v>560</v>
      </c>
      <c r="BU4" s="2657" t="s">
        <v>561</v>
      </c>
      <c r="BV4" s="2657" t="s">
        <v>4148</v>
      </c>
      <c r="BW4" s="2657" t="s">
        <v>4149</v>
      </c>
      <c r="BX4" s="2657" t="s">
        <v>4150</v>
      </c>
      <c r="BY4" s="2657" t="s">
        <v>4151</v>
      </c>
      <c r="BZ4" s="2657" t="s">
        <v>4152</v>
      </c>
      <c r="CA4" s="2657" t="s">
        <v>562</v>
      </c>
      <c r="CB4" s="2657" t="s">
        <v>563</v>
      </c>
      <c r="CC4" s="2657" t="s">
        <v>564</v>
      </c>
      <c r="CD4" s="2657" t="s">
        <v>565</v>
      </c>
      <c r="CE4" s="2657" t="s">
        <v>566</v>
      </c>
      <c r="CF4" s="2657" t="s">
        <v>567</v>
      </c>
      <c r="CG4" s="2657" t="s">
        <v>568</v>
      </c>
      <c r="CH4" s="2657" t="s">
        <v>908</v>
      </c>
      <c r="CI4" s="2657" t="s">
        <v>909</v>
      </c>
      <c r="CJ4" s="2657" t="s">
        <v>910</v>
      </c>
      <c r="CK4" s="2657" t="s">
        <v>4158</v>
      </c>
      <c r="CL4" s="2657" t="s">
        <v>4159</v>
      </c>
      <c r="CM4" s="2657" t="s">
        <v>4160</v>
      </c>
      <c r="CN4" s="2657" t="s">
        <v>4161</v>
      </c>
      <c r="CO4" s="2657" t="s">
        <v>4162</v>
      </c>
      <c r="CP4" s="2657" t="s">
        <v>4153</v>
      </c>
      <c r="CQ4" s="2657" t="s">
        <v>4154</v>
      </c>
      <c r="CR4" s="2657" t="s">
        <v>4155</v>
      </c>
      <c r="CS4" s="2657" t="s">
        <v>4156</v>
      </c>
      <c r="CT4" s="2657" t="s">
        <v>4157</v>
      </c>
      <c r="CU4" s="2657" t="s">
        <v>4163</v>
      </c>
      <c r="CV4" s="2657" t="s">
        <v>4164</v>
      </c>
      <c r="CW4" s="2657" t="s">
        <v>4165</v>
      </c>
      <c r="CX4" s="2657" t="s">
        <v>4166</v>
      </c>
      <c r="CY4" s="2657" t="s">
        <v>4167</v>
      </c>
      <c r="CZ4" s="2657" t="s">
        <v>484</v>
      </c>
      <c r="DA4" s="2657" t="s">
        <v>485</v>
      </c>
      <c r="DB4" s="2657" t="s">
        <v>486</v>
      </c>
      <c r="DC4" s="2657" t="s">
        <v>487</v>
      </c>
      <c r="DD4" s="2657" t="s">
        <v>488</v>
      </c>
      <c r="DE4" s="2657" t="s">
        <v>4168</v>
      </c>
      <c r="DF4" s="2657" t="s">
        <v>4169</v>
      </c>
      <c r="DG4" s="2657" t="s">
        <v>4170</v>
      </c>
      <c r="DH4" s="2657" t="s">
        <v>4171</v>
      </c>
      <c r="DI4" s="2657" t="s">
        <v>4172</v>
      </c>
      <c r="DJ4" s="2657" t="s">
        <v>858</v>
      </c>
      <c r="DK4" s="2657" t="s">
        <v>859</v>
      </c>
      <c r="DL4" s="2657" t="s">
        <v>860</v>
      </c>
      <c r="DM4" s="2657" t="s">
        <v>861</v>
      </c>
      <c r="DN4" s="2657" t="s">
        <v>862</v>
      </c>
      <c r="DO4" s="2657" t="s">
        <v>863</v>
      </c>
      <c r="DP4" s="2657" t="s">
        <v>864</v>
      </c>
      <c r="DQ4" s="2657" t="s">
        <v>865</v>
      </c>
      <c r="DR4" s="2657" t="s">
        <v>866</v>
      </c>
      <c r="DS4" s="2657" t="s">
        <v>867</v>
      </c>
      <c r="DT4" s="2657" t="s">
        <v>4173</v>
      </c>
      <c r="DU4" s="2657" t="s">
        <v>4174</v>
      </c>
      <c r="DV4" s="2657" t="s">
        <v>4175</v>
      </c>
      <c r="DW4" s="2657" t="s">
        <v>4176</v>
      </c>
      <c r="DX4" s="2657" t="s">
        <v>4177</v>
      </c>
      <c r="DY4" s="2657" t="s">
        <v>4178</v>
      </c>
      <c r="DZ4" s="2657" t="s">
        <v>4179</v>
      </c>
      <c r="EA4" s="2657" t="s">
        <v>4180</v>
      </c>
      <c r="EB4" s="2657" t="s">
        <v>4181</v>
      </c>
      <c r="EC4" s="2657" t="s">
        <v>4182</v>
      </c>
      <c r="ED4" s="2657" t="s">
        <v>2365</v>
      </c>
      <c r="EE4" s="2657" t="s">
        <v>2366</v>
      </c>
      <c r="EF4" s="2657" t="s">
        <v>2367</v>
      </c>
      <c r="EG4" s="2657" t="s">
        <v>2368</v>
      </c>
      <c r="EH4" s="2657" t="s">
        <v>2369</v>
      </c>
      <c r="EI4" s="2657" t="s">
        <v>4183</v>
      </c>
      <c r="EJ4" s="2657" t="s">
        <v>4184</v>
      </c>
      <c r="EK4" s="2657" t="s">
        <v>4185</v>
      </c>
      <c r="EL4" s="2657" t="s">
        <v>4186</v>
      </c>
      <c r="EM4" s="2657" t="s">
        <v>4187</v>
      </c>
      <c r="EN4" s="2657" t="s">
        <v>4188</v>
      </c>
      <c r="EO4" s="2657" t="s">
        <v>4189</v>
      </c>
      <c r="EP4" s="2657" t="s">
        <v>4190</v>
      </c>
      <c r="EQ4" s="2657" t="s">
        <v>4191</v>
      </c>
      <c r="ER4" s="2657" t="s">
        <v>4192</v>
      </c>
      <c r="ES4" s="2643" t="s">
        <v>114</v>
      </c>
      <c r="ET4" s="2643" t="s">
        <v>1128</v>
      </c>
      <c r="EU4" s="2643" t="s">
        <v>1129</v>
      </c>
      <c r="EV4" s="2643" t="s">
        <v>1186</v>
      </c>
      <c r="EW4" s="2643" t="s">
        <v>1187</v>
      </c>
      <c r="EX4" s="2643" t="s">
        <v>129</v>
      </c>
      <c r="EY4" s="2643" t="s">
        <v>1188</v>
      </c>
      <c r="EZ4" s="2643" t="s">
        <v>1189</v>
      </c>
      <c r="FA4" s="2643" t="s">
        <v>1190</v>
      </c>
      <c r="FB4" s="2643" t="s">
        <v>1191</v>
      </c>
      <c r="FC4" s="2657" t="s">
        <v>4193</v>
      </c>
      <c r="FD4" s="2657" t="s">
        <v>4194</v>
      </c>
      <c r="FE4" s="2657" t="s">
        <v>4195</v>
      </c>
      <c r="FF4" s="2657" t="s">
        <v>4196</v>
      </c>
      <c r="FG4" s="2657" t="s">
        <v>4197</v>
      </c>
      <c r="FH4" s="2643" t="s">
        <v>128</v>
      </c>
      <c r="FI4" s="2643" t="s">
        <v>889</v>
      </c>
      <c r="FJ4" s="2643" t="s">
        <v>890</v>
      </c>
      <c r="FK4" s="2643" t="s">
        <v>891</v>
      </c>
      <c r="FL4" s="2643" t="s">
        <v>892</v>
      </c>
      <c r="FM4" s="2657" t="s">
        <v>4198</v>
      </c>
      <c r="FN4" s="2657" t="s">
        <v>4199</v>
      </c>
      <c r="FO4" s="2657" t="s">
        <v>4200</v>
      </c>
      <c r="FP4" s="2657" t="s">
        <v>4201</v>
      </c>
      <c r="FQ4" s="2657" t="s">
        <v>4202</v>
      </c>
      <c r="FR4" s="2643" t="s">
        <v>127</v>
      </c>
      <c r="FS4" s="2643" t="s">
        <v>893</v>
      </c>
      <c r="FT4" s="2643" t="s">
        <v>894</v>
      </c>
      <c r="FU4" s="2643" t="s">
        <v>895</v>
      </c>
      <c r="FV4" s="2643" t="s">
        <v>896</v>
      </c>
      <c r="FW4" s="2643" t="s">
        <v>788</v>
      </c>
      <c r="FX4" s="2643" t="s">
        <v>789</v>
      </c>
      <c r="FY4" s="2643" t="s">
        <v>790</v>
      </c>
      <c r="FZ4" s="2643" t="s">
        <v>791</v>
      </c>
      <c r="GA4" s="2643" t="s">
        <v>792</v>
      </c>
      <c r="GB4" s="2643" t="s">
        <v>934</v>
      </c>
      <c r="GC4" s="2643" t="s">
        <v>935</v>
      </c>
      <c r="GD4" s="2643" t="s">
        <v>936</v>
      </c>
      <c r="GE4" s="2643" t="s">
        <v>937</v>
      </c>
      <c r="GF4" s="2643" t="s">
        <v>2364</v>
      </c>
      <c r="GG4" s="2643" t="s">
        <v>1404</v>
      </c>
      <c r="GH4" s="2643" t="s">
        <v>1405</v>
      </c>
      <c r="GI4" s="2643" t="s">
        <v>1406</v>
      </c>
      <c r="GJ4" s="2643" t="s">
        <v>1407</v>
      </c>
      <c r="GK4" s="2643" t="s">
        <v>1408</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1764</v>
      </c>
      <c r="GZ4" s="2643" t="s">
        <v>1765</v>
      </c>
      <c r="HA4" s="2643" t="s">
        <v>1766</v>
      </c>
      <c r="HB4" s="2643" t="s">
        <v>574</v>
      </c>
      <c r="HC4" s="2643" t="s">
        <v>575</v>
      </c>
      <c r="HD4" s="2643" t="s">
        <v>576</v>
      </c>
      <c r="HE4" s="2643" t="s">
        <v>577</v>
      </c>
      <c r="HF4" s="2643" t="s">
        <v>20</v>
      </c>
      <c r="HG4" s="2643" t="s">
        <v>21</v>
      </c>
      <c r="HH4" s="2643" t="s">
        <v>22</v>
      </c>
      <c r="HI4" s="2643" t="s">
        <v>23</v>
      </c>
      <c r="HJ4" s="2643" t="s">
        <v>24</v>
      </c>
      <c r="HK4" s="2643" t="s">
        <v>483</v>
      </c>
      <c r="HL4" s="2643" t="s">
        <v>424</v>
      </c>
      <c r="HM4" s="2643" t="s">
        <v>425</v>
      </c>
      <c r="HN4" s="2643" t="s">
        <v>426</v>
      </c>
      <c r="HO4" s="2643" t="s">
        <v>427</v>
      </c>
      <c r="HP4" s="2643" t="s">
        <v>2150</v>
      </c>
      <c r="HQ4" s="2643" t="s">
        <v>2151</v>
      </c>
      <c r="HR4" s="2643" t="s">
        <v>2152</v>
      </c>
      <c r="HS4" s="2643" t="s">
        <v>1447</v>
      </c>
      <c r="HT4" s="2643" t="s">
        <v>1448</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1591</v>
      </c>
      <c r="LR4" s="2643" t="s">
        <v>2455</v>
      </c>
      <c r="LS4" s="2643" t="s">
        <v>2456</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1798</v>
      </c>
      <c r="D5" s="1"/>
      <c r="E5" s="4"/>
      <c r="F5" s="1"/>
      <c r="G5" s="3946" t="s">
        <v>197</v>
      </c>
      <c r="I5" s="2641" t="s">
        <v>4791</v>
      </c>
      <c r="K5" s="2375" t="s">
        <v>3430</v>
      </c>
      <c r="L5" s="2662" t="str">
        <f>'Part I-Project Information'!$B$6</f>
        <v>May 26, 2020 Version</v>
      </c>
      <c r="M5" s="2663"/>
      <c r="N5" s="2370" t="s">
        <v>558</v>
      </c>
      <c r="P5" s="2374" t="s">
        <v>4218</v>
      </c>
      <c r="Q5" s="2641"/>
      <c r="R5" s="2373"/>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3301</v>
      </c>
      <c r="MV5" s="2668" t="s">
        <v>3302</v>
      </c>
      <c r="MW5" s="2668" t="s">
        <v>3303</v>
      </c>
      <c r="MX5" s="2668" t="s">
        <v>3304</v>
      </c>
      <c r="MY5" s="2668" t="s">
        <v>3305</v>
      </c>
      <c r="MZ5" s="2643" t="s">
        <v>3315</v>
      </c>
      <c r="NA5" s="2643" t="s">
        <v>3317</v>
      </c>
      <c r="NB5" s="2643" t="s">
        <v>3318</v>
      </c>
      <c r="NC5" s="2643" t="s">
        <v>3319</v>
      </c>
      <c r="ND5" s="2643"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1758</v>
      </c>
      <c r="D6" s="1"/>
      <c r="E6" s="4"/>
      <c r="F6" s="3947" t="s">
        <v>197</v>
      </c>
      <c r="G6" s="2375" t="s">
        <v>3487</v>
      </c>
      <c r="H6" s="2641" t="s">
        <v>3660</v>
      </c>
      <c r="I6" s="2641"/>
      <c r="J6" s="2375" t="s">
        <v>777</v>
      </c>
      <c r="K6" s="2375" t="s">
        <v>3490</v>
      </c>
      <c r="L6" s="2663"/>
      <c r="M6" s="2663"/>
      <c r="N6" s="2660" t="str">
        <f>'Part I-Project Information'!$O$40</f>
        <v>Long Co.</v>
      </c>
      <c r="O6" s="2660"/>
      <c r="P6" s="3948">
        <f>VLOOKUP('Part I-Project Information'!$O$40,'DCA Underwriting Assumptions'!$C$173:$D$283,2)</f>
        <v>58200</v>
      </c>
      <c r="Q6" s="2641"/>
      <c r="R6" s="2666" t="s">
        <v>2617</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4205</v>
      </c>
      <c r="C7" s="1"/>
      <c r="D7" s="4"/>
      <c r="E7" s="1"/>
      <c r="F7" s="1"/>
      <c r="G7" s="2375" t="s">
        <v>3488</v>
      </c>
      <c r="H7" s="2641"/>
      <c r="I7" s="2641"/>
      <c r="J7" s="2375" t="s">
        <v>778</v>
      </c>
      <c r="K7" s="2375" t="s">
        <v>3491</v>
      </c>
      <c r="L7" s="831"/>
      <c r="M7" s="831"/>
      <c r="N7" s="2660"/>
      <c r="O7" s="2660"/>
      <c r="Q7" s="2641"/>
      <c r="R7" s="832"/>
      <c r="S7" s="836" t="s">
        <v>2614</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550</v>
      </c>
      <c r="IZ7" s="2246" t="s">
        <v>2375</v>
      </c>
      <c r="JA7" s="2246" t="s">
        <v>2376</v>
      </c>
      <c r="JB7" s="2246" t="s">
        <v>2377</v>
      </c>
      <c r="JC7" s="2246" t="s">
        <v>2378</v>
      </c>
      <c r="JD7" s="2246" t="s">
        <v>550</v>
      </c>
      <c r="JE7" s="2246" t="s">
        <v>2375</v>
      </c>
      <c r="JF7" s="2246" t="s">
        <v>2376</v>
      </c>
      <c r="JG7" s="2246" t="s">
        <v>2377</v>
      </c>
      <c r="JH7" s="2246" t="s">
        <v>2378</v>
      </c>
      <c r="JI7" s="2246" t="s">
        <v>550</v>
      </c>
      <c r="JJ7" s="2246" t="s">
        <v>2375</v>
      </c>
      <c r="JK7" s="2246" t="s">
        <v>2376</v>
      </c>
      <c r="JL7" s="2246" t="s">
        <v>2377</v>
      </c>
      <c r="JM7" s="2246" t="s">
        <v>2378</v>
      </c>
      <c r="JN7" s="2246" t="s">
        <v>550</v>
      </c>
      <c r="JO7" s="2246" t="s">
        <v>2375</v>
      </c>
      <c r="JP7" s="2246" t="s">
        <v>2376</v>
      </c>
      <c r="JQ7" s="2246" t="s">
        <v>2377</v>
      </c>
      <c r="JR7" s="2246" t="s">
        <v>2378</v>
      </c>
      <c r="JS7" s="2246" t="s">
        <v>550</v>
      </c>
      <c r="JT7" s="2246" t="s">
        <v>2375</v>
      </c>
      <c r="JU7" s="2246" t="s">
        <v>2376</v>
      </c>
      <c r="JV7" s="2246" t="s">
        <v>2377</v>
      </c>
      <c r="JW7" s="2246" t="s">
        <v>2378</v>
      </c>
      <c r="JX7" s="2246" t="s">
        <v>550</v>
      </c>
      <c r="JY7" s="2246" t="s">
        <v>2375</v>
      </c>
      <c r="JZ7" s="2246" t="s">
        <v>2376</v>
      </c>
      <c r="KA7" s="2246" t="s">
        <v>2377</v>
      </c>
      <c r="KB7" s="2246" t="s">
        <v>2378</v>
      </c>
      <c r="KC7" s="2246" t="s">
        <v>550</v>
      </c>
      <c r="KD7" s="2246" t="s">
        <v>2375</v>
      </c>
      <c r="KE7" s="2246" t="s">
        <v>2376</v>
      </c>
      <c r="KF7" s="2246" t="s">
        <v>2377</v>
      </c>
      <c r="KG7" s="2246" t="s">
        <v>2378</v>
      </c>
      <c r="KH7" s="2246" t="s">
        <v>550</v>
      </c>
      <c r="KI7" s="2246" t="s">
        <v>2375</v>
      </c>
      <c r="KJ7" s="2246" t="s">
        <v>2376</v>
      </c>
      <c r="KK7" s="2246" t="s">
        <v>2377</v>
      </c>
      <c r="KL7" s="2246" t="s">
        <v>2378</v>
      </c>
      <c r="KM7" s="2246" t="s">
        <v>550</v>
      </c>
      <c r="KN7" s="2246" t="s">
        <v>2375</v>
      </c>
      <c r="KO7" s="2246" t="s">
        <v>2376</v>
      </c>
      <c r="KP7" s="2246" t="s">
        <v>2377</v>
      </c>
      <c r="KQ7" s="2246" t="s">
        <v>2378</v>
      </c>
      <c r="KR7" s="2246" t="s">
        <v>550</v>
      </c>
      <c r="KS7" s="2246" t="s">
        <v>2375</v>
      </c>
      <c r="KT7" s="2246" t="s">
        <v>2376</v>
      </c>
      <c r="KU7" s="2246" t="s">
        <v>2377</v>
      </c>
      <c r="KV7" s="2246" t="s">
        <v>2378</v>
      </c>
      <c r="KW7" s="2246" t="s">
        <v>550</v>
      </c>
      <c r="KX7" s="2246" t="s">
        <v>2375</v>
      </c>
      <c r="KY7" s="2246" t="s">
        <v>2376</v>
      </c>
      <c r="KZ7" s="2246" t="s">
        <v>2377</v>
      </c>
      <c r="LA7" s="2246" t="s">
        <v>2378</v>
      </c>
      <c r="LB7" s="2246" t="s">
        <v>550</v>
      </c>
      <c r="LC7" s="2246" t="s">
        <v>2375</v>
      </c>
      <c r="LD7" s="2246" t="s">
        <v>2376</v>
      </c>
      <c r="LE7" s="2246" t="s">
        <v>2377</v>
      </c>
      <c r="LF7" s="2246" t="s">
        <v>2378</v>
      </c>
      <c r="LG7" s="2246" t="s">
        <v>550</v>
      </c>
      <c r="LH7" s="2246" t="s">
        <v>2375</v>
      </c>
      <c r="LI7" s="2246" t="s">
        <v>2376</v>
      </c>
      <c r="LJ7" s="2246" t="s">
        <v>2377</v>
      </c>
      <c r="LK7" s="2246" t="s">
        <v>2378</v>
      </c>
      <c r="LL7" s="2246" t="s">
        <v>550</v>
      </c>
      <c r="LM7" s="2246" t="s">
        <v>2375</v>
      </c>
      <c r="LN7" s="2246" t="s">
        <v>2376</v>
      </c>
      <c r="LO7" s="2246" t="s">
        <v>2377</v>
      </c>
      <c r="LP7" s="2246" t="s">
        <v>2378</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4206</v>
      </c>
      <c r="C8" s="2375" t="s">
        <v>168</v>
      </c>
      <c r="D8" s="2375" t="s">
        <v>529</v>
      </c>
      <c r="E8" s="2375" t="s">
        <v>1444</v>
      </c>
      <c r="F8" s="2375" t="s">
        <v>1444</v>
      </c>
      <c r="G8" s="2375" t="s">
        <v>1446</v>
      </c>
      <c r="H8" s="2375" t="s">
        <v>3488</v>
      </c>
      <c r="I8" s="2641"/>
      <c r="J8" s="2664" t="s">
        <v>4473</v>
      </c>
      <c r="K8" s="2375" t="s">
        <v>2342</v>
      </c>
      <c r="L8" s="2667" t="s">
        <v>142</v>
      </c>
      <c r="M8" s="2667"/>
      <c r="N8" s="2375" t="s">
        <v>2305</v>
      </c>
      <c r="O8" s="2375" t="s">
        <v>4786</v>
      </c>
      <c r="P8" s="2375" t="s">
        <v>377</v>
      </c>
      <c r="Q8" s="2641"/>
      <c r="R8" s="2375" t="s">
        <v>2613</v>
      </c>
      <c r="S8" s="2375" t="s">
        <v>2615</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1432</v>
      </c>
      <c r="IA8" s="2246" t="s">
        <v>2375</v>
      </c>
      <c r="IB8" s="2246" t="s">
        <v>2376</v>
      </c>
      <c r="IC8" s="2246" t="s">
        <v>2377</v>
      </c>
      <c r="ID8" s="2246" t="s">
        <v>2378</v>
      </c>
      <c r="IE8" s="2643" t="s">
        <v>2430</v>
      </c>
      <c r="IF8" s="2643" t="s">
        <v>2430</v>
      </c>
      <c r="IG8" s="2643" t="s">
        <v>2430</v>
      </c>
      <c r="IH8" s="2643" t="s">
        <v>2430</v>
      </c>
      <c r="II8" s="2643" t="s">
        <v>2430</v>
      </c>
      <c r="IJ8" s="2643" t="s">
        <v>3257</v>
      </c>
      <c r="IK8" s="2643" t="s">
        <v>3257</v>
      </c>
      <c r="IL8" s="2643" t="s">
        <v>3257</v>
      </c>
      <c r="IM8" s="2643" t="s">
        <v>3257</v>
      </c>
      <c r="IN8" s="2643" t="s">
        <v>3257</v>
      </c>
      <c r="IO8" s="2246" t="s">
        <v>550</v>
      </c>
      <c r="IP8" s="2246" t="s">
        <v>2375</v>
      </c>
      <c r="IQ8" s="2246" t="s">
        <v>2376</v>
      </c>
      <c r="IR8" s="2246" t="s">
        <v>2377</v>
      </c>
      <c r="IS8" s="2246" t="s">
        <v>2378</v>
      </c>
      <c r="IT8" s="2246" t="s">
        <v>550</v>
      </c>
      <c r="IU8" s="2246" t="s">
        <v>2375</v>
      </c>
      <c r="IV8" s="2246" t="s">
        <v>2376</v>
      </c>
      <c r="IW8" s="2246" t="s">
        <v>2377</v>
      </c>
      <c r="IX8" s="2246" t="s">
        <v>2378</v>
      </c>
      <c r="IY8" s="2643" t="s">
        <v>2432</v>
      </c>
      <c r="IZ8" s="2643" t="s">
        <v>2432</v>
      </c>
      <c r="JA8" s="2643" t="s">
        <v>2432</v>
      </c>
      <c r="JB8" s="2643" t="s">
        <v>2432</v>
      </c>
      <c r="JC8" s="2643" t="s">
        <v>2432</v>
      </c>
      <c r="JD8" s="2643" t="s">
        <v>3253</v>
      </c>
      <c r="JE8" s="2643" t="s">
        <v>3253</v>
      </c>
      <c r="JF8" s="2643" t="s">
        <v>3253</v>
      </c>
      <c r="JG8" s="2643" t="s">
        <v>3253</v>
      </c>
      <c r="JH8" s="2643" t="s">
        <v>3253</v>
      </c>
      <c r="JI8" s="2643" t="s">
        <v>352</v>
      </c>
      <c r="JJ8" s="2643" t="s">
        <v>352</v>
      </c>
      <c r="JK8" s="2643" t="s">
        <v>352</v>
      </c>
      <c r="JL8" s="2643" t="s">
        <v>352</v>
      </c>
      <c r="JM8" s="2643" t="s">
        <v>352</v>
      </c>
      <c r="JN8" s="2643" t="s">
        <v>3252</v>
      </c>
      <c r="JO8" s="2643" t="s">
        <v>3252</v>
      </c>
      <c r="JP8" s="2643" t="s">
        <v>3252</v>
      </c>
      <c r="JQ8" s="2643" t="s">
        <v>3252</v>
      </c>
      <c r="JR8" s="2643" t="s">
        <v>3252</v>
      </c>
      <c r="JS8" s="2643" t="s">
        <v>353</v>
      </c>
      <c r="JT8" s="2643" t="s">
        <v>353</v>
      </c>
      <c r="JU8" s="2643" t="s">
        <v>353</v>
      </c>
      <c r="JV8" s="2643" t="s">
        <v>353</v>
      </c>
      <c r="JW8" s="2643" t="s">
        <v>353</v>
      </c>
      <c r="JX8" s="2643" t="s">
        <v>3251</v>
      </c>
      <c r="JY8" s="2643" t="s">
        <v>3251</v>
      </c>
      <c r="JZ8" s="2643" t="s">
        <v>3251</v>
      </c>
      <c r="KA8" s="2643" t="s">
        <v>3251</v>
      </c>
      <c r="KB8" s="2643" t="s">
        <v>3251</v>
      </c>
      <c r="KC8" s="2643" t="s">
        <v>354</v>
      </c>
      <c r="KD8" s="2643" t="s">
        <v>354</v>
      </c>
      <c r="KE8" s="2643" t="s">
        <v>354</v>
      </c>
      <c r="KF8" s="2643" t="s">
        <v>354</v>
      </c>
      <c r="KG8" s="2643" t="s">
        <v>354</v>
      </c>
      <c r="KH8" s="2643" t="s">
        <v>3254</v>
      </c>
      <c r="KI8" s="2643" t="s">
        <v>3254</v>
      </c>
      <c r="KJ8" s="2643" t="s">
        <v>3254</v>
      </c>
      <c r="KK8" s="2643" t="s">
        <v>3254</v>
      </c>
      <c r="KL8" s="2643" t="s">
        <v>3254</v>
      </c>
      <c r="KM8" s="2643" t="s">
        <v>355</v>
      </c>
      <c r="KN8" s="2643" t="s">
        <v>355</v>
      </c>
      <c r="KO8" s="2643" t="s">
        <v>355</v>
      </c>
      <c r="KP8" s="2643" t="s">
        <v>355</v>
      </c>
      <c r="KQ8" s="2643" t="s">
        <v>355</v>
      </c>
      <c r="KR8" s="2643" t="s">
        <v>3255</v>
      </c>
      <c r="KS8" s="2643" t="s">
        <v>3255</v>
      </c>
      <c r="KT8" s="2643" t="s">
        <v>3255</v>
      </c>
      <c r="KU8" s="2643" t="s">
        <v>3255</v>
      </c>
      <c r="KV8" s="2643" t="s">
        <v>3255</v>
      </c>
      <c r="KW8" s="2643" t="s">
        <v>1431</v>
      </c>
      <c r="KX8" s="2643" t="s">
        <v>1431</v>
      </c>
      <c r="KY8" s="2643" t="s">
        <v>1431</v>
      </c>
      <c r="KZ8" s="2643" t="s">
        <v>1431</v>
      </c>
      <c r="LA8" s="2643" t="s">
        <v>1431</v>
      </c>
      <c r="LB8" s="2643" t="s">
        <v>3256</v>
      </c>
      <c r="LC8" s="2643" t="s">
        <v>3256</v>
      </c>
      <c r="LD8" s="2643" t="s">
        <v>3256</v>
      </c>
      <c r="LE8" s="2643" t="s">
        <v>3256</v>
      </c>
      <c r="LF8" s="2643" t="s">
        <v>3256</v>
      </c>
      <c r="LG8" s="2643" t="s">
        <v>4792</v>
      </c>
      <c r="LH8" s="2643" t="s">
        <v>4792</v>
      </c>
      <c r="LI8" s="2643" t="s">
        <v>4792</v>
      </c>
      <c r="LJ8" s="2643" t="s">
        <v>4792</v>
      </c>
      <c r="LK8" s="2643" t="s">
        <v>4792</v>
      </c>
      <c r="LL8" s="2643" t="s">
        <v>4793</v>
      </c>
      <c r="LM8" s="2643" t="s">
        <v>4793</v>
      </c>
      <c r="LN8" s="2643" t="s">
        <v>4793</v>
      </c>
      <c r="LO8" s="2643" t="s">
        <v>4793</v>
      </c>
      <c r="LP8" s="2643" t="s">
        <v>4793</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4519</v>
      </c>
      <c r="C9" s="2375" t="s">
        <v>167</v>
      </c>
      <c r="D9" s="2375" t="s">
        <v>169</v>
      </c>
      <c r="E9" s="2375" t="s">
        <v>1445</v>
      </c>
      <c r="F9" s="2375" t="s">
        <v>1252</v>
      </c>
      <c r="G9" s="2375" t="s">
        <v>3489</v>
      </c>
      <c r="H9" s="2375" t="s">
        <v>1446</v>
      </c>
      <c r="I9" s="2642"/>
      <c r="J9" s="2665"/>
      <c r="K9" s="444" t="s">
        <v>344</v>
      </c>
      <c r="L9" s="2375" t="s">
        <v>1497</v>
      </c>
      <c r="M9" s="2375" t="s">
        <v>523</v>
      </c>
      <c r="N9" s="2375" t="s">
        <v>1444</v>
      </c>
      <c r="O9" s="2375" t="s">
        <v>3207</v>
      </c>
      <c r="P9" s="2375" t="s">
        <v>378</v>
      </c>
      <c r="Q9" s="2642"/>
      <c r="R9" s="2375" t="s">
        <v>1446</v>
      </c>
      <c r="S9" s="2375" t="s">
        <v>2616</v>
      </c>
      <c r="T9" s="31" t="s">
        <v>1797</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2429</v>
      </c>
      <c r="IB9" s="2246" t="s">
        <v>2429</v>
      </c>
      <c r="IC9" s="2246" t="s">
        <v>2429</v>
      </c>
      <c r="ID9" s="2246" t="s">
        <v>2429</v>
      </c>
      <c r="IE9" s="2643"/>
      <c r="IF9" s="2643"/>
      <c r="IG9" s="2643"/>
      <c r="IH9" s="2643"/>
      <c r="II9" s="2643"/>
      <c r="IJ9" s="2643"/>
      <c r="IK9" s="2643"/>
      <c r="IL9" s="2643"/>
      <c r="IM9" s="2643"/>
      <c r="IN9" s="2643"/>
      <c r="IO9" s="2246" t="s">
        <v>2431</v>
      </c>
      <c r="IP9" s="2246" t="s">
        <v>2431</v>
      </c>
      <c r="IQ9" s="2246" t="s">
        <v>2431</v>
      </c>
      <c r="IR9" s="2246" t="s">
        <v>2431</v>
      </c>
      <c r="IS9" s="2246" t="s">
        <v>2431</v>
      </c>
      <c r="IT9" s="2246" t="s">
        <v>3258</v>
      </c>
      <c r="IU9" s="2246" t="s">
        <v>3258</v>
      </c>
      <c r="IV9" s="2246" t="s">
        <v>3258</v>
      </c>
      <c r="IW9" s="2246" t="s">
        <v>3258</v>
      </c>
      <c r="IX9" s="2246" t="s">
        <v>3258</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49" t="s">
        <v>4116</v>
      </c>
      <c r="C10" s="3950"/>
      <c r="D10" s="3951"/>
      <c r="E10" s="3952"/>
      <c r="F10" s="3952"/>
      <c r="G10" s="3952"/>
      <c r="H10" s="3952"/>
      <c r="I10" s="3953"/>
      <c r="J10" s="3954"/>
      <c r="K10" s="3955"/>
      <c r="L10" s="566">
        <f t="shared" ref="L10:L47" si="0">MAX(0,H10-I10-J10)</f>
        <v>0</v>
      </c>
      <c r="M10" s="566">
        <f t="shared" ref="M10:M47" si="1">MAX(0,E10*L10)</f>
        <v>0</v>
      </c>
      <c r="N10" s="3956"/>
      <c r="O10" s="3956"/>
      <c r="P10" s="3956"/>
      <c r="Q10" s="3957"/>
      <c r="R10" s="3958"/>
      <c r="S10" s="3959"/>
      <c r="T10" s="3960"/>
      <c r="U10" s="3961"/>
      <c r="V10" s="3961"/>
      <c r="W10" s="396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63" t="s">
        <v>4116</v>
      </c>
      <c r="C11" s="3964"/>
      <c r="D11" s="3965"/>
      <c r="E11" s="3966"/>
      <c r="F11" s="3966"/>
      <c r="G11" s="3966"/>
      <c r="H11" s="3966"/>
      <c r="I11" s="3966"/>
      <c r="J11" s="3967"/>
      <c r="K11" s="3968"/>
      <c r="L11" s="567">
        <f t="shared" si="0"/>
        <v>0</v>
      </c>
      <c r="M11" s="567">
        <f t="shared" si="1"/>
        <v>0</v>
      </c>
      <c r="N11" s="3969"/>
      <c r="O11" s="3969"/>
      <c r="P11" s="3969"/>
      <c r="Q11" s="3970"/>
      <c r="R11" s="3971"/>
      <c r="S11" s="3972"/>
      <c r="T11" s="3973"/>
      <c r="U11" s="3974"/>
      <c r="V11" s="3974"/>
      <c r="W11" s="397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63" t="s">
        <v>298</v>
      </c>
      <c r="C12" s="3964"/>
      <c r="D12" s="3965"/>
      <c r="E12" s="3966"/>
      <c r="F12" s="3966"/>
      <c r="G12" s="3966"/>
      <c r="H12" s="3966"/>
      <c r="I12" s="3966"/>
      <c r="J12" s="3967"/>
      <c r="K12" s="3968"/>
      <c r="L12" s="567">
        <f t="shared" si="0"/>
        <v>0</v>
      </c>
      <c r="M12" s="567">
        <f t="shared" si="1"/>
        <v>0</v>
      </c>
      <c r="N12" s="3976"/>
      <c r="O12" s="3976"/>
      <c r="P12" s="3976"/>
      <c r="Q12" s="3977"/>
      <c r="R12" s="3971"/>
      <c r="S12" s="3972"/>
      <c r="T12" s="3973"/>
      <c r="U12" s="3974"/>
      <c r="V12" s="3974"/>
      <c r="W12" s="397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63" t="s">
        <v>298</v>
      </c>
      <c r="C13" s="3964"/>
      <c r="D13" s="3965"/>
      <c r="E13" s="3966"/>
      <c r="F13" s="3966"/>
      <c r="G13" s="3966"/>
      <c r="H13" s="3966"/>
      <c r="I13" s="3966"/>
      <c r="J13" s="3967"/>
      <c r="K13" s="3968"/>
      <c r="L13" s="567">
        <f t="shared" si="0"/>
        <v>0</v>
      </c>
      <c r="M13" s="567">
        <f t="shared" si="1"/>
        <v>0</v>
      </c>
      <c r="N13" s="3969"/>
      <c r="O13" s="3976"/>
      <c r="P13" s="3969"/>
      <c r="Q13" s="3970"/>
      <c r="R13" s="3971"/>
      <c r="S13" s="3972"/>
      <c r="T13" s="3973"/>
      <c r="U13" s="3974"/>
      <c r="V13" s="3974"/>
      <c r="W13" s="397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63" t="s">
        <v>298</v>
      </c>
      <c r="C14" s="3964"/>
      <c r="D14" s="3965"/>
      <c r="E14" s="3966"/>
      <c r="F14" s="3966"/>
      <c r="G14" s="3966"/>
      <c r="H14" s="3966"/>
      <c r="I14" s="3966"/>
      <c r="J14" s="3967"/>
      <c r="K14" s="3968"/>
      <c r="L14" s="567">
        <f t="shared" si="0"/>
        <v>0</v>
      </c>
      <c r="M14" s="567">
        <f t="shared" si="1"/>
        <v>0</v>
      </c>
      <c r="N14" s="3969"/>
      <c r="O14" s="3976"/>
      <c r="P14" s="3969"/>
      <c r="Q14" s="3970"/>
      <c r="R14" s="3971"/>
      <c r="S14" s="3972"/>
      <c r="T14" s="3973"/>
      <c r="U14" s="3974"/>
      <c r="V14" s="3974"/>
      <c r="W14" s="397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63" t="s">
        <v>298</v>
      </c>
      <c r="C15" s="3964"/>
      <c r="D15" s="3965"/>
      <c r="E15" s="3966"/>
      <c r="F15" s="3966"/>
      <c r="G15" s="3966"/>
      <c r="H15" s="3966"/>
      <c r="I15" s="3966"/>
      <c r="J15" s="3967"/>
      <c r="K15" s="3968"/>
      <c r="L15" s="567">
        <f t="shared" si="0"/>
        <v>0</v>
      </c>
      <c r="M15" s="567">
        <f t="shared" si="1"/>
        <v>0</v>
      </c>
      <c r="N15" s="3969"/>
      <c r="O15" s="3969"/>
      <c r="P15" s="3969"/>
      <c r="Q15" s="3970"/>
      <c r="R15" s="3971"/>
      <c r="S15" s="3972"/>
      <c r="T15" s="3973"/>
      <c r="U15" s="3974"/>
      <c r="V15" s="3974"/>
      <c r="W15" s="397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78" t="s">
        <v>298</v>
      </c>
      <c r="C16" s="3979"/>
      <c r="D16" s="3980"/>
      <c r="E16" s="3981"/>
      <c r="F16" s="3981"/>
      <c r="G16" s="3981"/>
      <c r="H16" s="3981"/>
      <c r="I16" s="3981"/>
      <c r="J16" s="3982"/>
      <c r="K16" s="3983"/>
      <c r="L16" s="1338">
        <f t="shared" si="0"/>
        <v>0</v>
      </c>
      <c r="M16" s="1338">
        <f t="shared" si="1"/>
        <v>0</v>
      </c>
      <c r="N16" s="3984"/>
      <c r="O16" s="3984"/>
      <c r="P16" s="3984"/>
      <c r="Q16" s="3985"/>
      <c r="R16" s="3971"/>
      <c r="S16" s="3972"/>
      <c r="T16" s="3973"/>
      <c r="U16" s="3974"/>
      <c r="V16" s="3974"/>
      <c r="W16" s="397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3986">
        <v>50</v>
      </c>
      <c r="C17" s="3987">
        <v>1</v>
      </c>
      <c r="D17" s="3988">
        <v>1</v>
      </c>
      <c r="E17" s="3989">
        <v>12</v>
      </c>
      <c r="F17" s="3966">
        <v>650</v>
      </c>
      <c r="G17" s="3989">
        <v>491</v>
      </c>
      <c r="H17" s="3989">
        <f>352+67+50</f>
        <v>469</v>
      </c>
      <c r="I17" s="3989">
        <v>0</v>
      </c>
      <c r="J17" s="3990">
        <f>IF(C17="",0,HLOOKUP(C17,'Part V-Utility Allowances'!$I$11:$M$22,12))</f>
        <v>67</v>
      </c>
      <c r="K17" s="3991"/>
      <c r="L17" s="1337">
        <f t="shared" si="0"/>
        <v>402</v>
      </c>
      <c r="M17" s="1337">
        <f t="shared" si="1"/>
        <v>4824</v>
      </c>
      <c r="N17" s="3976" t="s">
        <v>2886</v>
      </c>
      <c r="O17" s="3976" t="s">
        <v>39</v>
      </c>
      <c r="P17" s="3976" t="s">
        <v>7064</v>
      </c>
      <c r="Q17" s="3977" t="s">
        <v>2886</v>
      </c>
      <c r="R17" s="3971"/>
      <c r="S17" s="3972"/>
      <c r="T17" s="3973"/>
      <c r="U17" s="3974"/>
      <c r="V17" s="3974"/>
      <c r="W17" s="397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7800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t="str">
        <f t="shared" si="168"/>
        <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f t="shared" si="183"/>
        <v>12</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f t="shared" si="248"/>
        <v>12</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12</v>
      </c>
      <c r="MR17" s="2246">
        <f t="shared" si="340"/>
        <v>0</v>
      </c>
      <c r="MS17" s="2246">
        <f t="shared" si="341"/>
        <v>0</v>
      </c>
      <c r="MT17" s="2246">
        <f t="shared" si="342"/>
        <v>0</v>
      </c>
      <c r="MU17" s="2246">
        <f t="shared" si="343"/>
        <v>0</v>
      </c>
      <c r="MV17" s="2246">
        <f t="shared" si="344"/>
        <v>0</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3992">
        <v>50</v>
      </c>
      <c r="C18" s="3964">
        <v>2</v>
      </c>
      <c r="D18" s="3965">
        <v>1.5</v>
      </c>
      <c r="E18" s="3966">
        <v>20</v>
      </c>
      <c r="F18" s="3966">
        <v>925</v>
      </c>
      <c r="G18" s="3966">
        <v>589</v>
      </c>
      <c r="H18" s="3966">
        <f>419+85+50</f>
        <v>554</v>
      </c>
      <c r="I18" s="3966">
        <v>0</v>
      </c>
      <c r="J18" s="3993">
        <f>IF(C18="",0,HLOOKUP(C18,'Part V-Utility Allowances'!$I$11:$M$22,12))</f>
        <v>85</v>
      </c>
      <c r="K18" s="3968"/>
      <c r="L18" s="567">
        <f t="shared" si="0"/>
        <v>469</v>
      </c>
      <c r="M18" s="567">
        <f t="shared" si="1"/>
        <v>9380</v>
      </c>
      <c r="N18" s="3969" t="s">
        <v>2886</v>
      </c>
      <c r="O18" s="3976" t="s">
        <v>39</v>
      </c>
      <c r="P18" s="3976" t="s">
        <v>7064</v>
      </c>
      <c r="Q18" s="3970" t="s">
        <v>2886</v>
      </c>
      <c r="R18" s="3971"/>
      <c r="S18" s="3972"/>
      <c r="T18" s="3973"/>
      <c r="U18" s="3974"/>
      <c r="V18" s="3974"/>
      <c r="W18" s="397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20</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18500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f t="shared" si="184"/>
        <v>20</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f t="shared" si="249"/>
        <v>20</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20</v>
      </c>
      <c r="MS18" s="2246">
        <f t="shared" si="341"/>
        <v>0</v>
      </c>
      <c r="MT18" s="2246">
        <f t="shared" si="342"/>
        <v>0</v>
      </c>
      <c r="MU18" s="2246">
        <f t="shared" si="343"/>
        <v>0</v>
      </c>
      <c r="MV18" s="2246">
        <f t="shared" si="344"/>
        <v>0</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3986">
        <v>50</v>
      </c>
      <c r="C19" s="3964">
        <v>3</v>
      </c>
      <c r="D19" s="3965">
        <v>2</v>
      </c>
      <c r="E19" s="3966">
        <v>4</v>
      </c>
      <c r="F19" s="3966">
        <v>1100</v>
      </c>
      <c r="G19" s="3966">
        <v>756</v>
      </c>
      <c r="H19" s="3966">
        <f>555+J19+25</f>
        <v>685</v>
      </c>
      <c r="I19" s="3966">
        <v>0</v>
      </c>
      <c r="J19" s="3993">
        <f>IF(C19="",0,HLOOKUP(C19,'Part V-Utility Allowances'!$I$11:$M$22,12))</f>
        <v>105</v>
      </c>
      <c r="K19" s="3968"/>
      <c r="L19" s="567">
        <f t="shared" si="0"/>
        <v>580</v>
      </c>
      <c r="M19" s="567">
        <f t="shared" si="1"/>
        <v>2320</v>
      </c>
      <c r="N19" s="3969" t="s">
        <v>2886</v>
      </c>
      <c r="O19" s="3976" t="s">
        <v>39</v>
      </c>
      <c r="P19" s="3976" t="s">
        <v>7064</v>
      </c>
      <c r="Q19" s="3970" t="s">
        <v>2886</v>
      </c>
      <c r="R19" s="3971"/>
      <c r="S19" s="3972"/>
      <c r="T19" s="3973"/>
      <c r="U19" s="3974"/>
      <c r="V19" s="3974"/>
      <c r="W19" s="397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4</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4400</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f t="shared" si="185"/>
        <v>4</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f t="shared" si="250"/>
        <v>4</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4</v>
      </c>
      <c r="MT19" s="2246">
        <f t="shared" si="342"/>
        <v>0</v>
      </c>
      <c r="MU19" s="2246">
        <f t="shared" si="343"/>
        <v>0</v>
      </c>
      <c r="MV19" s="2246">
        <f t="shared" si="344"/>
        <v>0</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3992">
        <v>50</v>
      </c>
      <c r="C20" s="3964">
        <v>3</v>
      </c>
      <c r="D20" s="3965">
        <v>2</v>
      </c>
      <c r="E20" s="3966">
        <v>4</v>
      </c>
      <c r="F20" s="3966">
        <v>1100</v>
      </c>
      <c r="G20" s="3966">
        <v>756</v>
      </c>
      <c r="H20" s="3966">
        <f>555+J20+25</f>
        <v>685</v>
      </c>
      <c r="I20" s="3966">
        <v>0</v>
      </c>
      <c r="J20" s="3993">
        <f>IF(C20="",0,HLOOKUP(C20,'Part V-Utility Allowances'!$I$11:$M$22,12))</f>
        <v>105</v>
      </c>
      <c r="K20" s="3968"/>
      <c r="L20" s="567">
        <f t="shared" si="0"/>
        <v>580</v>
      </c>
      <c r="M20" s="567">
        <f t="shared" si="1"/>
        <v>2320</v>
      </c>
      <c r="N20" s="3969" t="s">
        <v>2886</v>
      </c>
      <c r="O20" s="3976" t="s">
        <v>39</v>
      </c>
      <c r="P20" s="3976" t="s">
        <v>7064</v>
      </c>
      <c r="Q20" s="3970" t="s">
        <v>2886</v>
      </c>
      <c r="R20" s="3971"/>
      <c r="S20" s="3972"/>
      <c r="T20" s="3973"/>
      <c r="U20" s="3974"/>
      <c r="V20" s="3974"/>
      <c r="W20" s="397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f t="shared" si="20"/>
        <v>4</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f t="shared" si="135"/>
        <v>4400</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f t="shared" si="185"/>
        <v>4</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f t="shared" si="250"/>
        <v>4</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4</v>
      </c>
      <c r="MT20" s="2246">
        <f t="shared" si="342"/>
        <v>0</v>
      </c>
      <c r="MU20" s="2246">
        <f t="shared" si="343"/>
        <v>0</v>
      </c>
      <c r="MV20" s="2246">
        <f t="shared" si="344"/>
        <v>0</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3986"/>
      <c r="C21" s="3964"/>
      <c r="D21" s="3965"/>
      <c r="E21" s="3966"/>
      <c r="F21" s="3966"/>
      <c r="G21" s="3966"/>
      <c r="H21" s="3966"/>
      <c r="I21" s="3966"/>
      <c r="J21" s="3993">
        <f>IF(C21="",0,HLOOKUP(C21,'Part V-Utility Allowances'!$I$11:$M$22,12))</f>
        <v>0</v>
      </c>
      <c r="K21" s="3968"/>
      <c r="L21" s="567">
        <f t="shared" si="0"/>
        <v>0</v>
      </c>
      <c r="M21" s="567">
        <f t="shared" si="1"/>
        <v>0</v>
      </c>
      <c r="N21" s="3969"/>
      <c r="O21" s="3976"/>
      <c r="P21" s="3969"/>
      <c r="Q21" s="3970"/>
      <c r="R21" s="3971"/>
      <c r="S21" s="3972"/>
      <c r="T21" s="3973"/>
      <c r="U21" s="3974"/>
      <c r="V21" s="3974"/>
      <c r="W21" s="397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3992"/>
      <c r="C22" s="3964"/>
      <c r="D22" s="3965"/>
      <c r="E22" s="3966"/>
      <c r="F22" s="3966"/>
      <c r="G22" s="3966"/>
      <c r="H22" s="3966"/>
      <c r="I22" s="3966"/>
      <c r="J22" s="3993">
        <f>IF(C22="",0,HLOOKUP(C22,'Part V-Utility Allowances'!$I$11:$M$22,12))</f>
        <v>0</v>
      </c>
      <c r="K22" s="3968"/>
      <c r="L22" s="567">
        <f t="shared" si="0"/>
        <v>0</v>
      </c>
      <c r="M22" s="567">
        <f t="shared" si="1"/>
        <v>0</v>
      </c>
      <c r="N22" s="3969"/>
      <c r="O22" s="3976"/>
      <c r="P22" s="3969"/>
      <c r="Q22" s="3970"/>
      <c r="R22" s="3971"/>
      <c r="S22" s="3972"/>
      <c r="T22" s="3973"/>
      <c r="U22" s="3974"/>
      <c r="V22" s="3974"/>
      <c r="W22" s="397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3992"/>
      <c r="C23" s="3964"/>
      <c r="D23" s="3965"/>
      <c r="E23" s="3966"/>
      <c r="F23" s="3966"/>
      <c r="G23" s="3966"/>
      <c r="H23" s="3966"/>
      <c r="I23" s="3966"/>
      <c r="J23" s="3993">
        <f>IF(C23="",0,HLOOKUP(C23,'Part V-Utility Allowances'!$I$11:$M$22,12))</f>
        <v>0</v>
      </c>
      <c r="K23" s="3968"/>
      <c r="L23" s="567">
        <f t="shared" si="0"/>
        <v>0</v>
      </c>
      <c r="M23" s="567">
        <f t="shared" si="1"/>
        <v>0</v>
      </c>
      <c r="N23" s="3969"/>
      <c r="O23" s="3969"/>
      <c r="P23" s="3969"/>
      <c r="Q23" s="3970"/>
      <c r="R23" s="3971"/>
      <c r="S23" s="3972"/>
      <c r="T23" s="3973"/>
      <c r="U23" s="3974"/>
      <c r="V23" s="3974"/>
      <c r="W23" s="397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3992"/>
      <c r="C24" s="3964"/>
      <c r="D24" s="3965"/>
      <c r="E24" s="3966"/>
      <c r="F24" s="3966"/>
      <c r="G24" s="3966"/>
      <c r="H24" s="3966"/>
      <c r="I24" s="3966"/>
      <c r="J24" s="3993">
        <f>IF(C24="",0,HLOOKUP(C24,'Part V-Utility Allowances'!$I$11:$M$22,12))</f>
        <v>0</v>
      </c>
      <c r="K24" s="3968"/>
      <c r="L24" s="567">
        <f t="shared" si="0"/>
        <v>0</v>
      </c>
      <c r="M24" s="567">
        <f t="shared" si="1"/>
        <v>0</v>
      </c>
      <c r="N24" s="3969"/>
      <c r="O24" s="3969"/>
      <c r="P24" s="3969"/>
      <c r="Q24" s="3970"/>
      <c r="R24" s="3971"/>
      <c r="S24" s="3972"/>
      <c r="T24" s="3973"/>
      <c r="U24" s="3974"/>
      <c r="V24" s="3974"/>
      <c r="W24" s="397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3992"/>
      <c r="C25" s="3964"/>
      <c r="D25" s="3965"/>
      <c r="E25" s="3966"/>
      <c r="F25" s="3966"/>
      <c r="G25" s="3966"/>
      <c r="H25" s="3966"/>
      <c r="I25" s="3966"/>
      <c r="J25" s="3993">
        <f>IF(C25="",0,HLOOKUP(C25,'Part V-Utility Allowances'!$I$11:$M$22,12))</f>
        <v>0</v>
      </c>
      <c r="K25" s="3968"/>
      <c r="L25" s="567">
        <f t="shared" si="0"/>
        <v>0</v>
      </c>
      <c r="M25" s="567">
        <f t="shared" si="1"/>
        <v>0</v>
      </c>
      <c r="N25" s="3969"/>
      <c r="O25" s="3969"/>
      <c r="P25" s="3969"/>
      <c r="Q25" s="3970"/>
      <c r="R25" s="3971"/>
      <c r="S25" s="3972"/>
      <c r="T25" s="3973"/>
      <c r="U25" s="3974"/>
      <c r="V25" s="3974"/>
      <c r="W25" s="397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3992"/>
      <c r="C26" s="3964"/>
      <c r="D26" s="3965"/>
      <c r="E26" s="3966"/>
      <c r="F26" s="3966"/>
      <c r="G26" s="3966"/>
      <c r="H26" s="3966"/>
      <c r="I26" s="3966"/>
      <c r="J26" s="3993">
        <f>IF(C26="",0,HLOOKUP(C26,'Part V-Utility Allowances'!$I$11:$M$22,12))</f>
        <v>0</v>
      </c>
      <c r="K26" s="3968"/>
      <c r="L26" s="567">
        <f t="shared" si="0"/>
        <v>0</v>
      </c>
      <c r="M26" s="567">
        <f t="shared" si="1"/>
        <v>0</v>
      </c>
      <c r="N26" s="3969"/>
      <c r="O26" s="3969"/>
      <c r="P26" s="3969"/>
      <c r="Q26" s="3970"/>
      <c r="R26" s="3971"/>
      <c r="S26" s="3972"/>
      <c r="T26" s="3973"/>
      <c r="U26" s="3974"/>
      <c r="V26" s="3974"/>
      <c r="W26" s="397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3992"/>
      <c r="C27" s="3964"/>
      <c r="D27" s="3965"/>
      <c r="E27" s="3966"/>
      <c r="F27" s="3966"/>
      <c r="G27" s="3966"/>
      <c r="H27" s="3966"/>
      <c r="I27" s="3966"/>
      <c r="J27" s="3993">
        <f>IF(C27="",0,HLOOKUP(C27,'Part V-Utility Allowances'!$I$11:$M$22,12))</f>
        <v>0</v>
      </c>
      <c r="K27" s="3968"/>
      <c r="L27" s="567">
        <f t="shared" si="0"/>
        <v>0</v>
      </c>
      <c r="M27" s="567">
        <f t="shared" si="1"/>
        <v>0</v>
      </c>
      <c r="N27" s="3969"/>
      <c r="O27" s="3969"/>
      <c r="P27" s="3969"/>
      <c r="Q27" s="3970"/>
      <c r="R27" s="3971"/>
      <c r="S27" s="3972"/>
      <c r="T27" s="3973"/>
      <c r="U27" s="3974"/>
      <c r="V27" s="3974"/>
      <c r="W27" s="397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3992"/>
      <c r="C28" s="3964"/>
      <c r="D28" s="3965"/>
      <c r="E28" s="3966"/>
      <c r="F28" s="3966"/>
      <c r="G28" s="3966"/>
      <c r="H28" s="3966"/>
      <c r="I28" s="3966"/>
      <c r="J28" s="3993">
        <f>IF(C28="",0,HLOOKUP(C28,'Part V-Utility Allowances'!$I$11:$M$22,12))</f>
        <v>0</v>
      </c>
      <c r="K28" s="3968"/>
      <c r="L28" s="567">
        <f t="shared" si="0"/>
        <v>0</v>
      </c>
      <c r="M28" s="567">
        <f t="shared" si="1"/>
        <v>0</v>
      </c>
      <c r="N28" s="3969"/>
      <c r="O28" s="3969"/>
      <c r="P28" s="3969"/>
      <c r="Q28" s="3970"/>
      <c r="R28" s="3971"/>
      <c r="S28" s="3972"/>
      <c r="T28" s="3973"/>
      <c r="U28" s="3974"/>
      <c r="V28" s="3974"/>
      <c r="W28" s="397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3992"/>
      <c r="C29" s="3964"/>
      <c r="D29" s="3965"/>
      <c r="E29" s="3966"/>
      <c r="F29" s="3966"/>
      <c r="G29" s="3966"/>
      <c r="H29" s="3966"/>
      <c r="I29" s="3966"/>
      <c r="J29" s="3993">
        <f>IF(C29="",0,HLOOKUP(C29,'Part V-Utility Allowances'!$I$11:$M$22,12))</f>
        <v>0</v>
      </c>
      <c r="K29" s="3968"/>
      <c r="L29" s="567">
        <f t="shared" si="0"/>
        <v>0</v>
      </c>
      <c r="M29" s="567">
        <f t="shared" si="1"/>
        <v>0</v>
      </c>
      <c r="N29" s="3969"/>
      <c r="O29" s="3969"/>
      <c r="P29" s="3969"/>
      <c r="Q29" s="3970"/>
      <c r="R29" s="3971"/>
      <c r="S29" s="3972"/>
      <c r="T29" s="3973"/>
      <c r="U29" s="3974"/>
      <c r="V29" s="3974"/>
      <c r="W29" s="397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3992"/>
      <c r="C30" s="3964"/>
      <c r="D30" s="3965"/>
      <c r="E30" s="3966"/>
      <c r="F30" s="3966"/>
      <c r="G30" s="3966"/>
      <c r="H30" s="3966"/>
      <c r="I30" s="3966"/>
      <c r="J30" s="3993">
        <f>IF(C30="",0,HLOOKUP(C30,'Part V-Utility Allowances'!$I$11:$M$22,12))</f>
        <v>0</v>
      </c>
      <c r="K30" s="3968"/>
      <c r="L30" s="567">
        <f t="shared" si="0"/>
        <v>0</v>
      </c>
      <c r="M30" s="567">
        <f t="shared" si="1"/>
        <v>0</v>
      </c>
      <c r="N30" s="3969"/>
      <c r="O30" s="3969"/>
      <c r="P30" s="3969"/>
      <c r="Q30" s="3970"/>
      <c r="R30" s="3971"/>
      <c r="S30" s="3972"/>
      <c r="T30" s="3973"/>
      <c r="U30" s="3974"/>
      <c r="V30" s="3974"/>
      <c r="W30" s="397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3992"/>
      <c r="C31" s="3964"/>
      <c r="D31" s="3965"/>
      <c r="E31" s="3966"/>
      <c r="F31" s="3966"/>
      <c r="G31" s="3966"/>
      <c r="H31" s="3966"/>
      <c r="I31" s="3966"/>
      <c r="J31" s="3993">
        <f>IF(C31="",0,HLOOKUP(C31,'Part V-Utility Allowances'!$I$11:$M$22,12))</f>
        <v>0</v>
      </c>
      <c r="K31" s="3968"/>
      <c r="L31" s="567">
        <f t="shared" si="0"/>
        <v>0</v>
      </c>
      <c r="M31" s="567">
        <f t="shared" si="1"/>
        <v>0</v>
      </c>
      <c r="N31" s="3969"/>
      <c r="O31" s="3969"/>
      <c r="P31" s="3969"/>
      <c r="Q31" s="3970"/>
      <c r="R31" s="3971"/>
      <c r="S31" s="3972"/>
      <c r="T31" s="3973"/>
      <c r="U31" s="3974"/>
      <c r="V31" s="3974"/>
      <c r="W31" s="397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3992"/>
      <c r="C32" s="3964"/>
      <c r="D32" s="3965"/>
      <c r="E32" s="3966"/>
      <c r="F32" s="3966"/>
      <c r="G32" s="3966"/>
      <c r="H32" s="3966"/>
      <c r="I32" s="3966"/>
      <c r="J32" s="3993">
        <f>IF(C32="",0,HLOOKUP(C32,'Part V-Utility Allowances'!$I$11:$M$22,12))</f>
        <v>0</v>
      </c>
      <c r="K32" s="3968"/>
      <c r="L32" s="567">
        <f t="shared" si="0"/>
        <v>0</v>
      </c>
      <c r="M32" s="567">
        <f t="shared" si="1"/>
        <v>0</v>
      </c>
      <c r="N32" s="3969"/>
      <c r="O32" s="3969"/>
      <c r="P32" s="3969"/>
      <c r="Q32" s="3970"/>
      <c r="R32" s="3971"/>
      <c r="S32" s="3972"/>
      <c r="T32" s="3973"/>
      <c r="U32" s="3974"/>
      <c r="V32" s="3974"/>
      <c r="W32" s="397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3992"/>
      <c r="C33" s="3964"/>
      <c r="D33" s="3965"/>
      <c r="E33" s="3966"/>
      <c r="F33" s="3966"/>
      <c r="G33" s="3966"/>
      <c r="H33" s="3966"/>
      <c r="I33" s="3966"/>
      <c r="J33" s="3993">
        <f>IF(C33="",0,HLOOKUP(C33,'Part V-Utility Allowances'!$I$11:$M$22,12))</f>
        <v>0</v>
      </c>
      <c r="K33" s="3968"/>
      <c r="L33" s="567">
        <f t="shared" si="0"/>
        <v>0</v>
      </c>
      <c r="M33" s="567">
        <f t="shared" si="1"/>
        <v>0</v>
      </c>
      <c r="N33" s="3969"/>
      <c r="O33" s="3969"/>
      <c r="P33" s="3969"/>
      <c r="Q33" s="3970"/>
      <c r="R33" s="3971"/>
      <c r="S33" s="3972"/>
      <c r="T33" s="3973"/>
      <c r="U33" s="3974"/>
      <c r="V33" s="3974"/>
      <c r="W33" s="397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3992"/>
      <c r="C34" s="3964"/>
      <c r="D34" s="3965"/>
      <c r="E34" s="3966"/>
      <c r="F34" s="3966"/>
      <c r="G34" s="3966"/>
      <c r="H34" s="3966"/>
      <c r="I34" s="3966"/>
      <c r="J34" s="3993">
        <f>IF(C34="",0,HLOOKUP(C34,'Part V-Utility Allowances'!$I$11:$M$22,12))</f>
        <v>0</v>
      </c>
      <c r="K34" s="3968"/>
      <c r="L34" s="567">
        <f t="shared" si="0"/>
        <v>0</v>
      </c>
      <c r="M34" s="567">
        <f t="shared" si="1"/>
        <v>0</v>
      </c>
      <c r="N34" s="3969"/>
      <c r="O34" s="3969"/>
      <c r="P34" s="3969"/>
      <c r="Q34" s="3970"/>
      <c r="R34" s="3971"/>
      <c r="S34" s="3972"/>
      <c r="T34" s="3973"/>
      <c r="U34" s="3974"/>
      <c r="V34" s="3974"/>
      <c r="W34" s="397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3992"/>
      <c r="C35" s="3964"/>
      <c r="D35" s="3965"/>
      <c r="E35" s="3966"/>
      <c r="F35" s="3966"/>
      <c r="G35" s="3966"/>
      <c r="H35" s="3966"/>
      <c r="I35" s="3966"/>
      <c r="J35" s="3993">
        <f>IF(C35="",0,HLOOKUP(C35,'Part V-Utility Allowances'!$I$11:$M$22,12))</f>
        <v>0</v>
      </c>
      <c r="K35" s="3968"/>
      <c r="L35" s="567">
        <f t="shared" si="0"/>
        <v>0</v>
      </c>
      <c r="M35" s="567">
        <f t="shared" si="1"/>
        <v>0</v>
      </c>
      <c r="N35" s="3969"/>
      <c r="O35" s="3969"/>
      <c r="P35" s="3969"/>
      <c r="Q35" s="3970"/>
      <c r="R35" s="3971"/>
      <c r="S35" s="3972"/>
      <c r="T35" s="3973"/>
      <c r="U35" s="3974"/>
      <c r="V35" s="3974"/>
      <c r="W35" s="397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3992"/>
      <c r="C36" s="3964"/>
      <c r="D36" s="3965"/>
      <c r="E36" s="3966"/>
      <c r="F36" s="3966"/>
      <c r="G36" s="3966"/>
      <c r="H36" s="3966"/>
      <c r="I36" s="3966"/>
      <c r="J36" s="3993">
        <f>IF(C36="",0,HLOOKUP(C36,'Part V-Utility Allowances'!$I$11:$M$22,12))</f>
        <v>0</v>
      </c>
      <c r="K36" s="3968"/>
      <c r="L36" s="567">
        <f t="shared" si="0"/>
        <v>0</v>
      </c>
      <c r="M36" s="567">
        <f t="shared" si="1"/>
        <v>0</v>
      </c>
      <c r="N36" s="3969"/>
      <c r="O36" s="3969"/>
      <c r="P36" s="3969"/>
      <c r="Q36" s="3970"/>
      <c r="R36" s="3971"/>
      <c r="S36" s="3972"/>
      <c r="T36" s="3973"/>
      <c r="U36" s="3974"/>
      <c r="V36" s="3974"/>
      <c r="W36" s="397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3992"/>
      <c r="C37" s="3964"/>
      <c r="D37" s="3965"/>
      <c r="E37" s="3966"/>
      <c r="F37" s="3966"/>
      <c r="G37" s="3966"/>
      <c r="H37" s="3966"/>
      <c r="I37" s="3966"/>
      <c r="J37" s="3993">
        <f>IF(C37="",0,HLOOKUP(C37,'Part V-Utility Allowances'!$I$11:$M$22,12))</f>
        <v>0</v>
      </c>
      <c r="K37" s="3968"/>
      <c r="L37" s="567">
        <f t="shared" si="0"/>
        <v>0</v>
      </c>
      <c r="M37" s="567">
        <f t="shared" si="1"/>
        <v>0</v>
      </c>
      <c r="N37" s="3969"/>
      <c r="O37" s="3969"/>
      <c r="P37" s="3969"/>
      <c r="Q37" s="3970"/>
      <c r="R37" s="3971"/>
      <c r="S37" s="3972"/>
      <c r="T37" s="3973"/>
      <c r="U37" s="3974"/>
      <c r="V37" s="3974"/>
      <c r="W37" s="397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3992"/>
      <c r="C38" s="3964"/>
      <c r="D38" s="3965"/>
      <c r="E38" s="3966"/>
      <c r="F38" s="3966"/>
      <c r="G38" s="3966"/>
      <c r="H38" s="3966"/>
      <c r="I38" s="3966"/>
      <c r="J38" s="3993">
        <f>IF(C38="",0,HLOOKUP(C38,'Part V-Utility Allowances'!$I$11:$M$22,12))</f>
        <v>0</v>
      </c>
      <c r="K38" s="3968"/>
      <c r="L38" s="567">
        <f t="shared" si="0"/>
        <v>0</v>
      </c>
      <c r="M38" s="567">
        <f t="shared" si="1"/>
        <v>0</v>
      </c>
      <c r="N38" s="3969"/>
      <c r="O38" s="3969"/>
      <c r="P38" s="3969"/>
      <c r="Q38" s="3970"/>
      <c r="R38" s="3971"/>
      <c r="S38" s="3972"/>
      <c r="T38" s="3973"/>
      <c r="U38" s="3974"/>
      <c r="V38" s="3974"/>
      <c r="W38" s="397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3992"/>
      <c r="C39" s="3964"/>
      <c r="D39" s="3965"/>
      <c r="E39" s="3966"/>
      <c r="F39" s="3966"/>
      <c r="G39" s="3966"/>
      <c r="H39" s="3966"/>
      <c r="I39" s="3966"/>
      <c r="J39" s="3993">
        <f>IF(C39="",0,HLOOKUP(C39,'Part V-Utility Allowances'!$I$11:$M$22,12))</f>
        <v>0</v>
      </c>
      <c r="K39" s="3968"/>
      <c r="L39" s="567">
        <f t="shared" si="0"/>
        <v>0</v>
      </c>
      <c r="M39" s="567">
        <f t="shared" si="1"/>
        <v>0</v>
      </c>
      <c r="N39" s="3969"/>
      <c r="O39" s="3969"/>
      <c r="P39" s="3969"/>
      <c r="Q39" s="3970"/>
      <c r="R39" s="3971"/>
      <c r="S39" s="3972"/>
      <c r="T39" s="3973"/>
      <c r="U39" s="3974"/>
      <c r="V39" s="3974"/>
      <c r="W39" s="397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3992"/>
      <c r="C40" s="3964"/>
      <c r="D40" s="3965"/>
      <c r="E40" s="3966"/>
      <c r="F40" s="3966"/>
      <c r="G40" s="3966"/>
      <c r="H40" s="3966"/>
      <c r="I40" s="3966"/>
      <c r="J40" s="3993">
        <f>IF(C40="",0,HLOOKUP(C40,'Part V-Utility Allowances'!$I$11:$M$22,12))</f>
        <v>0</v>
      </c>
      <c r="K40" s="3968"/>
      <c r="L40" s="567">
        <f t="shared" si="0"/>
        <v>0</v>
      </c>
      <c r="M40" s="567">
        <f t="shared" si="1"/>
        <v>0</v>
      </c>
      <c r="N40" s="3969"/>
      <c r="O40" s="3969"/>
      <c r="P40" s="3969"/>
      <c r="Q40" s="3970"/>
      <c r="R40" s="3971"/>
      <c r="S40" s="3972"/>
      <c r="T40" s="3973"/>
      <c r="U40" s="3974"/>
      <c r="V40" s="3974"/>
      <c r="W40" s="397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3992"/>
      <c r="C41" s="3964"/>
      <c r="D41" s="3965"/>
      <c r="E41" s="3966"/>
      <c r="F41" s="3966"/>
      <c r="G41" s="3966"/>
      <c r="H41" s="3966"/>
      <c r="I41" s="3966"/>
      <c r="J41" s="3993">
        <f>IF(C41="",0,HLOOKUP(C41,'Part V-Utility Allowances'!$I$11:$M$22,12))</f>
        <v>0</v>
      </c>
      <c r="K41" s="3968"/>
      <c r="L41" s="567">
        <f t="shared" si="0"/>
        <v>0</v>
      </c>
      <c r="M41" s="567">
        <f t="shared" si="1"/>
        <v>0</v>
      </c>
      <c r="N41" s="3969"/>
      <c r="O41" s="3969"/>
      <c r="P41" s="3969"/>
      <c r="Q41" s="3970"/>
      <c r="R41" s="3971"/>
      <c r="S41" s="3972"/>
      <c r="T41" s="3973"/>
      <c r="U41" s="3974"/>
      <c r="V41" s="3974"/>
      <c r="W41" s="397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3992"/>
      <c r="C42" s="3964"/>
      <c r="D42" s="3965"/>
      <c r="E42" s="3966"/>
      <c r="F42" s="3966"/>
      <c r="G42" s="3966"/>
      <c r="H42" s="3966"/>
      <c r="I42" s="3966"/>
      <c r="J42" s="3993">
        <f>IF(C42="",0,HLOOKUP(C42,'Part V-Utility Allowances'!$I$11:$M$22,12))</f>
        <v>0</v>
      </c>
      <c r="K42" s="3968"/>
      <c r="L42" s="567">
        <f t="shared" si="0"/>
        <v>0</v>
      </c>
      <c r="M42" s="567">
        <f t="shared" si="1"/>
        <v>0</v>
      </c>
      <c r="N42" s="3969"/>
      <c r="O42" s="3969"/>
      <c r="P42" s="3969"/>
      <c r="Q42" s="3970"/>
      <c r="R42" s="3971"/>
      <c r="S42" s="3972"/>
      <c r="T42" s="3973"/>
      <c r="U42" s="3974"/>
      <c r="V42" s="3974"/>
      <c r="W42" s="397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3992"/>
      <c r="C43" s="3964"/>
      <c r="D43" s="3965"/>
      <c r="E43" s="3966"/>
      <c r="F43" s="3966"/>
      <c r="G43" s="3966"/>
      <c r="H43" s="3966"/>
      <c r="I43" s="3966"/>
      <c r="J43" s="3993">
        <f>IF(C43="",0,HLOOKUP(C43,'Part V-Utility Allowances'!$I$11:$M$22,12))</f>
        <v>0</v>
      </c>
      <c r="K43" s="3968"/>
      <c r="L43" s="567">
        <f t="shared" si="0"/>
        <v>0</v>
      </c>
      <c r="M43" s="567">
        <f t="shared" si="1"/>
        <v>0</v>
      </c>
      <c r="N43" s="3969"/>
      <c r="O43" s="3969"/>
      <c r="P43" s="3969"/>
      <c r="Q43" s="3970"/>
      <c r="R43" s="3971"/>
      <c r="S43" s="3972"/>
      <c r="T43" s="3973"/>
      <c r="U43" s="3974"/>
      <c r="V43" s="3974"/>
      <c r="W43" s="397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3992"/>
      <c r="C44" s="3964"/>
      <c r="D44" s="3965"/>
      <c r="E44" s="3966"/>
      <c r="F44" s="3966"/>
      <c r="G44" s="3966"/>
      <c r="H44" s="3966"/>
      <c r="I44" s="3966"/>
      <c r="J44" s="3993">
        <f>IF(C44="",0,HLOOKUP(C44,'Part V-Utility Allowances'!$I$11:$M$22,12))</f>
        <v>0</v>
      </c>
      <c r="K44" s="3968"/>
      <c r="L44" s="567">
        <f t="shared" si="0"/>
        <v>0</v>
      </c>
      <c r="M44" s="567">
        <f t="shared" si="1"/>
        <v>0</v>
      </c>
      <c r="N44" s="3969"/>
      <c r="O44" s="3969"/>
      <c r="P44" s="3969"/>
      <c r="Q44" s="3970"/>
      <c r="R44" s="3971"/>
      <c r="S44" s="3972"/>
      <c r="T44" s="3973"/>
      <c r="U44" s="3974"/>
      <c r="V44" s="3974"/>
      <c r="W44" s="397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3992"/>
      <c r="C45" s="3964"/>
      <c r="D45" s="3965"/>
      <c r="E45" s="3966"/>
      <c r="F45" s="3966"/>
      <c r="G45" s="3966"/>
      <c r="H45" s="3966"/>
      <c r="I45" s="3966"/>
      <c r="J45" s="3993">
        <f>IF(C45="",0,HLOOKUP(C45,'Part V-Utility Allowances'!$I$11:$M$22,12))</f>
        <v>0</v>
      </c>
      <c r="K45" s="3968"/>
      <c r="L45" s="567">
        <f t="shared" si="0"/>
        <v>0</v>
      </c>
      <c r="M45" s="567">
        <f t="shared" si="1"/>
        <v>0</v>
      </c>
      <c r="N45" s="3969"/>
      <c r="O45" s="3969"/>
      <c r="P45" s="3969"/>
      <c r="Q45" s="3970"/>
      <c r="R45" s="3971"/>
      <c r="S45" s="3972"/>
      <c r="T45" s="3973"/>
      <c r="U45" s="3974"/>
      <c r="V45" s="3974"/>
      <c r="W45" s="397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3992"/>
      <c r="C46" s="3964"/>
      <c r="D46" s="3965"/>
      <c r="E46" s="3966"/>
      <c r="F46" s="3966"/>
      <c r="G46" s="3966"/>
      <c r="H46" s="3966"/>
      <c r="I46" s="3966"/>
      <c r="J46" s="3993">
        <f>IF(C46="",0,HLOOKUP(C46,'Part V-Utility Allowances'!$I$11:$M$22,12))</f>
        <v>0</v>
      </c>
      <c r="K46" s="3968"/>
      <c r="L46" s="567">
        <f t="shared" si="0"/>
        <v>0</v>
      </c>
      <c r="M46" s="567">
        <f t="shared" si="1"/>
        <v>0</v>
      </c>
      <c r="N46" s="3969"/>
      <c r="O46" s="3969"/>
      <c r="P46" s="3969"/>
      <c r="Q46" s="3970"/>
      <c r="R46" s="3971"/>
      <c r="S46" s="3972"/>
      <c r="T46" s="3973"/>
      <c r="U46" s="3974"/>
      <c r="V46" s="3974"/>
      <c r="W46" s="397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3994"/>
      <c r="C47" s="3995"/>
      <c r="D47" s="3996"/>
      <c r="E47" s="3997"/>
      <c r="F47" s="3997"/>
      <c r="G47" s="3997"/>
      <c r="H47" s="3997"/>
      <c r="I47" s="3997"/>
      <c r="J47" s="3998">
        <f>IF(C47="",0,HLOOKUP(C47,'Part V-Utility Allowances'!$I$11:$M$22,12))</f>
        <v>0</v>
      </c>
      <c r="K47" s="3999"/>
      <c r="L47" s="568">
        <f t="shared" si="0"/>
        <v>0</v>
      </c>
      <c r="M47" s="568">
        <f t="shared" si="1"/>
        <v>0</v>
      </c>
      <c r="N47" s="4000"/>
      <c r="O47" s="4000"/>
      <c r="P47" s="4000"/>
      <c r="Q47" s="4001"/>
      <c r="R47" s="4002"/>
      <c r="S47" s="4003"/>
      <c r="T47" s="4004"/>
      <c r="U47" s="4005"/>
      <c r="V47" s="4005"/>
      <c r="W47" s="400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4210</v>
      </c>
      <c r="C48" s="2652"/>
      <c r="D48" s="138" t="s">
        <v>995</v>
      </c>
      <c r="E48" s="1343">
        <f>SUM(E10:E47)</f>
        <v>40</v>
      </c>
      <c r="F48" s="1341">
        <f>(E10*F10+E11*F11+E12*F12+E13*F13+E14*F14+E15*F15+E16*F16+E17*F17+E18*F18+E19*F19+E20*F20+E21*F21+E22*F22+E23*F23+E24*F24+E25*F25+E26*F26+E27*F27+E28*F28+E29*F29+E30*F30+E31*F31+E32*F32+E33*F33+E34*F34+E35*F35+E36*F36+E37*F37+E38*F38+E39*F39+E40*F40+E41*F41+E42*F42+E43*F43+E44*F44+E45*F45+E46*F46+E47*F47)</f>
        <v>35100</v>
      </c>
      <c r="H48" s="2655" t="s">
        <v>4207</v>
      </c>
      <c r="I48" s="4007" t="s">
        <v>4208</v>
      </c>
      <c r="J48" s="1344" t="str">
        <f>IF(P67=0,"",IF(SUM(P58:P62)/P67&gt;=0.4,"Pass","Fail"))</f>
        <v>Pass</v>
      </c>
      <c r="K48" s="547"/>
      <c r="L48" s="872" t="s">
        <v>1275</v>
      </c>
      <c r="M48" s="123">
        <f>SUM(M10:M47)</f>
        <v>18844</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0</v>
      </c>
      <c r="AJ48" s="2249">
        <f t="shared" si="349"/>
        <v>0</v>
      </c>
      <c r="AK48" s="2249">
        <f t="shared" si="349"/>
        <v>0</v>
      </c>
      <c r="AL48" s="2249">
        <f t="shared" si="349"/>
        <v>0</v>
      </c>
      <c r="AM48" s="2249">
        <f>SUM(AM10:AM47)</f>
        <v>0</v>
      </c>
      <c r="AN48" s="2249">
        <f>SUM(AN10:AN47)</f>
        <v>12</v>
      </c>
      <c r="AO48" s="2249">
        <f>SUM(AO10:AO47)</f>
        <v>20</v>
      </c>
      <c r="AP48" s="2249">
        <f>SUM(AP10:AP47)</f>
        <v>8</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0</v>
      </c>
      <c r="EU48" s="2249">
        <f t="shared" si="352"/>
        <v>0</v>
      </c>
      <c r="EV48" s="2249">
        <f t="shared" si="352"/>
        <v>0</v>
      </c>
      <c r="EW48" s="2249">
        <f t="shared" si="352"/>
        <v>0</v>
      </c>
      <c r="EX48" s="2249">
        <f t="shared" si="348"/>
        <v>0</v>
      </c>
      <c r="EY48" s="2249">
        <f t="shared" si="348"/>
        <v>7800</v>
      </c>
      <c r="EZ48" s="2249">
        <f t="shared" si="348"/>
        <v>18500</v>
      </c>
      <c r="FA48" s="2249">
        <f t="shared" si="348"/>
        <v>8800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0</v>
      </c>
      <c r="GI48" s="2249">
        <f t="shared" si="353"/>
        <v>0</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12</v>
      </c>
      <c r="GX48" s="2249">
        <f t="shared" si="353"/>
        <v>20</v>
      </c>
      <c r="GY48" s="2249">
        <f t="shared" si="353"/>
        <v>8</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12</v>
      </c>
      <c r="JK48" s="2249">
        <f t="shared" si="354"/>
        <v>20</v>
      </c>
      <c r="JL48" s="2249">
        <f t="shared" si="354"/>
        <v>8</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12</v>
      </c>
      <c r="MR48" s="2249">
        <f t="shared" si="355"/>
        <v>20</v>
      </c>
      <c r="MS48" s="2249">
        <f t="shared" si="355"/>
        <v>8</v>
      </c>
      <c r="MT48" s="2249">
        <f t="shared" si="355"/>
        <v>0</v>
      </c>
      <c r="MU48" s="2249">
        <f t="shared" si="355"/>
        <v>0</v>
      </c>
      <c r="MV48" s="2249">
        <f t="shared" si="355"/>
        <v>0</v>
      </c>
      <c r="MW48" s="2249">
        <f t="shared" si="355"/>
        <v>0</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50</v>
      </c>
      <c r="C49" s="2654"/>
      <c r="D49" s="2374" t="s">
        <v>4117</v>
      </c>
      <c r="E49" s="1340">
        <f>SUM(E17:E47)</f>
        <v>40</v>
      </c>
      <c r="F49" s="1342">
        <f>(E17*F17+E18*F18+E19*F19+E20*F20+E21*F21+E22*F22+E23*F23+E24*F24+E25*F25+E26*F26+E27*F27+E28*F28+E29*F29+E30*F30+E31*F31+E32*F32+E33*F33+E34*F34+E35*F35+E36*F36+E37*F37+E38*F38+E39*F39+E40*F40+E41*F41+E42*F42+E43*F43+E44*F44+E45*F45+E46*F46+E47*F47)</f>
        <v>35100</v>
      </c>
      <c r="H49" s="2656"/>
      <c r="I49" s="4008" t="s">
        <v>4209</v>
      </c>
      <c r="J49" s="1345" t="str">
        <f>IF(P67=0,"",IF(SUM(P59:P62)/P67&gt;=0.2,"Pass","Fail"))</f>
        <v>Pass</v>
      </c>
      <c r="K49" s="547"/>
      <c r="L49" s="138" t="s">
        <v>793</v>
      </c>
      <c r="M49" s="123">
        <f>M48*12</f>
        <v>226128</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2551</v>
      </c>
      <c r="B51" s="4009"/>
      <c r="C51" s="4009"/>
      <c r="D51" s="4009"/>
      <c r="E51" s="4009"/>
      <c r="F51" s="4009"/>
      <c r="G51" s="4009"/>
      <c r="H51" s="4009"/>
      <c r="I51" s="4009"/>
      <c r="J51" s="4009"/>
      <c r="K51" s="4009"/>
      <c r="L51" s="4009"/>
      <c r="M51" s="4009"/>
      <c r="N51" s="4009"/>
      <c r="O51" s="4009"/>
      <c r="P51" s="4009"/>
      <c r="Q51" s="4009"/>
      <c r="R51" s="401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09"/>
      <c r="B52" s="4009"/>
      <c r="C52" s="4009"/>
      <c r="D52" s="4009"/>
      <c r="E52" s="4009"/>
      <c r="F52" s="4009"/>
      <c r="G52" s="4009"/>
      <c r="H52" s="4009"/>
      <c r="I52" s="4009"/>
      <c r="J52" s="4009"/>
      <c r="K52" s="4009"/>
      <c r="L52" s="4009"/>
      <c r="M52" s="4009"/>
      <c r="N52" s="4009"/>
      <c r="O52" s="4009"/>
      <c r="P52" s="4009"/>
      <c r="Q52" s="4009"/>
      <c r="R52" s="401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721</v>
      </c>
      <c r="B53" s="13" t="s">
        <v>518</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1113</v>
      </c>
      <c r="H55" s="82" t="s">
        <v>1017</v>
      </c>
      <c r="I55" s="82"/>
      <c r="J55" s="82"/>
      <c r="K55" s="119" t="s">
        <v>550</v>
      </c>
      <c r="L55" s="119" t="s">
        <v>519</v>
      </c>
      <c r="M55" s="119" t="s">
        <v>520</v>
      </c>
      <c r="N55" s="119" t="s">
        <v>521</v>
      </c>
      <c r="O55" s="119" t="s">
        <v>522</v>
      </c>
      <c r="P55" s="119" t="s">
        <v>523</v>
      </c>
      <c r="S55" s="31" t="s">
        <v>1797</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4804</v>
      </c>
      <c r="B56" s="2640"/>
      <c r="C56" s="94" t="s">
        <v>1114</v>
      </c>
      <c r="D56" s="1"/>
      <c r="E56" s="1"/>
      <c r="F56" s="1"/>
      <c r="G56" s="82"/>
      <c r="H56" s="110" t="s">
        <v>4118</v>
      </c>
      <c r="I56" s="36"/>
      <c r="J56" s="82"/>
      <c r="K56" s="1353">
        <f>X48</f>
        <v>0</v>
      </c>
      <c r="L56" s="1354">
        <f>Y48</f>
        <v>0</v>
      </c>
      <c r="M56" s="1354">
        <f>Z48</f>
        <v>0</v>
      </c>
      <c r="N56" s="1354">
        <f>AA48</f>
        <v>0</v>
      </c>
      <c r="O56" s="1355">
        <f>AB48</f>
        <v>0</v>
      </c>
      <c r="P56" s="919">
        <f t="shared" ref="P56:P67" si="357">SUM(K56:O56)</f>
        <v>0</v>
      </c>
      <c r="Q56" s="2647" t="s">
        <v>3492</v>
      </c>
      <c r="R56" s="2381"/>
      <c r="S56" s="4011"/>
      <c r="T56" s="4012"/>
      <c r="U56" s="4012"/>
      <c r="V56" s="4012"/>
      <c r="W56" s="401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4119</v>
      </c>
      <c r="I57" s="36"/>
      <c r="J57" s="82"/>
      <c r="K57" s="1356">
        <f>AC48</f>
        <v>0</v>
      </c>
      <c r="L57" s="1357">
        <f>AD48</f>
        <v>0</v>
      </c>
      <c r="M57" s="1357">
        <f>AE48</f>
        <v>0</v>
      </c>
      <c r="N57" s="1357">
        <f>AF48</f>
        <v>0</v>
      </c>
      <c r="O57" s="1358">
        <f>AG48</f>
        <v>0</v>
      </c>
      <c r="P57" s="914">
        <f t="shared" si="357"/>
        <v>0</v>
      </c>
      <c r="Q57" s="2647"/>
      <c r="R57" s="2381"/>
      <c r="S57" s="3973"/>
      <c r="T57" s="3974"/>
      <c r="U57" s="3974"/>
      <c r="V57" s="3974"/>
      <c r="W57" s="397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1126</v>
      </c>
      <c r="I58" s="36"/>
      <c r="J58" s="82"/>
      <c r="K58" s="1356">
        <f>AH48</f>
        <v>0</v>
      </c>
      <c r="L58" s="1357">
        <f>AI48</f>
        <v>0</v>
      </c>
      <c r="M58" s="1357">
        <f>AJ48</f>
        <v>0</v>
      </c>
      <c r="N58" s="1357">
        <f>AK48</f>
        <v>0</v>
      </c>
      <c r="O58" s="1358">
        <f>AL48</f>
        <v>0</v>
      </c>
      <c r="P58" s="914">
        <f t="shared" si="357"/>
        <v>0</v>
      </c>
      <c r="Q58" s="2647"/>
      <c r="R58" s="2381"/>
      <c r="S58" s="3973"/>
      <c r="T58" s="3974"/>
      <c r="U58" s="3974"/>
      <c r="V58" s="3974"/>
      <c r="W58" s="397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12</v>
      </c>
      <c r="M59" s="1378">
        <f>AO48</f>
        <v>20</v>
      </c>
      <c r="N59" s="1378">
        <f>AP48</f>
        <v>8</v>
      </c>
      <c r="O59" s="1379">
        <f>AQ48</f>
        <v>0</v>
      </c>
      <c r="P59" s="572">
        <f t="shared" si="357"/>
        <v>40</v>
      </c>
      <c r="Q59" s="2647"/>
      <c r="R59" s="2381"/>
      <c r="S59" s="3973"/>
      <c r="T59" s="3974"/>
      <c r="U59" s="3974"/>
      <c r="V59" s="3974"/>
      <c r="W59" s="397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4120</v>
      </c>
      <c r="I60" s="52"/>
      <c r="J60" s="1094"/>
      <c r="K60" s="1356">
        <f>AR48</f>
        <v>0</v>
      </c>
      <c r="L60" s="1357">
        <f>AS48</f>
        <v>0</v>
      </c>
      <c r="M60" s="1357">
        <f>AT48</f>
        <v>0</v>
      </c>
      <c r="N60" s="1357">
        <f>AU48</f>
        <v>0</v>
      </c>
      <c r="O60" s="1358">
        <f>AV48</f>
        <v>0</v>
      </c>
      <c r="P60" s="914">
        <f t="shared" si="357"/>
        <v>0</v>
      </c>
      <c r="Q60" s="2647"/>
      <c r="R60" s="2381"/>
      <c r="S60" s="3973"/>
      <c r="T60" s="3974"/>
      <c r="U60" s="3974"/>
      <c r="V60" s="3974"/>
      <c r="W60" s="397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4121</v>
      </c>
      <c r="I61" s="36"/>
      <c r="J61" s="82"/>
      <c r="K61" s="1356">
        <f>AW48</f>
        <v>0</v>
      </c>
      <c r="L61" s="1357">
        <f>AX48</f>
        <v>0</v>
      </c>
      <c r="M61" s="1357">
        <f>AY48</f>
        <v>0</v>
      </c>
      <c r="N61" s="1357">
        <f>AZ48</f>
        <v>0</v>
      </c>
      <c r="O61" s="1358">
        <f>BA48</f>
        <v>0</v>
      </c>
      <c r="P61" s="914">
        <f t="shared" si="357"/>
        <v>0</v>
      </c>
      <c r="Q61" s="2647"/>
      <c r="R61" s="2381"/>
      <c r="S61" s="3973"/>
      <c r="T61" s="3974"/>
      <c r="U61" s="3974"/>
      <c r="V61" s="3974"/>
      <c r="W61" s="397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4122</v>
      </c>
      <c r="I62" s="36"/>
      <c r="J62" s="82"/>
      <c r="K62" s="1359">
        <f>BB48</f>
        <v>0</v>
      </c>
      <c r="L62" s="1360">
        <f>BC48</f>
        <v>0</v>
      </c>
      <c r="M62" s="1360">
        <f>BD48</f>
        <v>0</v>
      </c>
      <c r="N62" s="1360">
        <f>BE48</f>
        <v>0</v>
      </c>
      <c r="O62" s="1361">
        <f>BF48</f>
        <v>0</v>
      </c>
      <c r="P62" s="572">
        <f t="shared" si="357"/>
        <v>0</v>
      </c>
      <c r="Q62" s="2647"/>
      <c r="R62" s="2381"/>
      <c r="S62" s="3973"/>
      <c r="T62" s="3974"/>
      <c r="U62" s="3974"/>
      <c r="V62" s="3974"/>
      <c r="W62" s="397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4204</v>
      </c>
      <c r="D63" s="1"/>
      <c r="E63" s="1"/>
      <c r="F63" s="1"/>
      <c r="G63" s="82"/>
      <c r="H63" s="89"/>
      <c r="I63" s="55"/>
      <c r="J63" s="82"/>
      <c r="K63" s="1327">
        <f>SUM(K56:K62)</f>
        <v>0</v>
      </c>
      <c r="L63" s="1327">
        <f>SUM(L56:L62)</f>
        <v>12</v>
      </c>
      <c r="M63" s="1327">
        <f>SUM(M56:M62)</f>
        <v>20</v>
      </c>
      <c r="N63" s="1327">
        <f>SUM(N56:N62)</f>
        <v>8</v>
      </c>
      <c r="O63" s="1327">
        <f>SUM(O56:O62)</f>
        <v>0</v>
      </c>
      <c r="P63" s="1327">
        <f t="shared" si="357"/>
        <v>40</v>
      </c>
      <c r="Q63" s="2648"/>
      <c r="S63" s="3973"/>
      <c r="T63" s="3974"/>
      <c r="U63" s="3974"/>
      <c r="V63" s="3974"/>
      <c r="W63" s="397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73"/>
      <c r="T64" s="3974"/>
      <c r="U64" s="3974"/>
      <c r="V64" s="3974"/>
      <c r="W64" s="397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1115</v>
      </c>
      <c r="D65" s="1334"/>
      <c r="E65" s="1334"/>
      <c r="F65" s="1334"/>
      <c r="G65" s="1335"/>
      <c r="H65" s="1753"/>
      <c r="I65" s="49"/>
      <c r="J65" s="1335"/>
      <c r="K65" s="1336">
        <f>SUM(K63:K64)</f>
        <v>0</v>
      </c>
      <c r="L65" s="1336">
        <f>SUM(L63:L64)</f>
        <v>12</v>
      </c>
      <c r="M65" s="1336">
        <f>SUM(M63:M64)</f>
        <v>20</v>
      </c>
      <c r="N65" s="1336">
        <f>SUM(N63:N64)</f>
        <v>8</v>
      </c>
      <c r="O65" s="1336">
        <f>SUM(O63:O64)</f>
        <v>0</v>
      </c>
      <c r="P65" s="1336">
        <f t="shared" si="357"/>
        <v>40</v>
      </c>
      <c r="S65" s="3973"/>
      <c r="T65" s="3974"/>
      <c r="U65" s="3974"/>
      <c r="V65" s="3974"/>
      <c r="W65" s="397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2443</v>
      </c>
      <c r="I66" s="36"/>
      <c r="J66" s="82"/>
      <c r="K66" s="915">
        <f>ED48</f>
        <v>0</v>
      </c>
      <c r="L66" s="915">
        <f>EE48</f>
        <v>0</v>
      </c>
      <c r="M66" s="915">
        <f>EF48</f>
        <v>0</v>
      </c>
      <c r="N66" s="915">
        <f>EG48</f>
        <v>0</v>
      </c>
      <c r="O66" s="915">
        <f>EH48</f>
        <v>0</v>
      </c>
      <c r="P66" s="915">
        <f t="shared" si="357"/>
        <v>0</v>
      </c>
      <c r="Q66" s="483" t="s">
        <v>3493</v>
      </c>
      <c r="S66" s="3973"/>
      <c r="T66" s="3974"/>
      <c r="U66" s="3974"/>
      <c r="V66" s="3974"/>
      <c r="W66" s="397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1748</v>
      </c>
      <c r="D67" s="1"/>
      <c r="E67" s="1"/>
      <c r="F67" s="1"/>
      <c r="G67" s="82"/>
      <c r="H67" s="110"/>
      <c r="I67" s="36"/>
      <c r="J67" s="82"/>
      <c r="K67" s="1326">
        <f>SUM(K65:K66)</f>
        <v>0</v>
      </c>
      <c r="L67" s="1326">
        <f>SUM(L65:L66)</f>
        <v>12</v>
      </c>
      <c r="M67" s="1326">
        <f>SUM(M65:M66)</f>
        <v>20</v>
      </c>
      <c r="N67" s="1326">
        <f>SUM(N65:N66)</f>
        <v>8</v>
      </c>
      <c r="O67" s="1326">
        <f>SUM(O65:O66)</f>
        <v>0</v>
      </c>
      <c r="P67" s="1326">
        <f t="shared" si="357"/>
        <v>40</v>
      </c>
      <c r="S67" s="4004"/>
      <c r="T67" s="4005"/>
      <c r="U67" s="4005"/>
      <c r="V67" s="4005"/>
      <c r="W67" s="400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4223</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4118</v>
      </c>
      <c r="I70" s="36"/>
      <c r="J70" s="1741"/>
      <c r="K70" s="4014" t="str">
        <f t="shared" ref="K70:P70" si="358">IF(OR(K56=0,K$67=0),"",K56/K$67)</f>
        <v/>
      </c>
      <c r="L70" s="4015" t="str">
        <f t="shared" si="358"/>
        <v/>
      </c>
      <c r="M70" s="4015" t="str">
        <f t="shared" si="358"/>
        <v/>
      </c>
      <c r="N70" s="4015" t="str">
        <f t="shared" si="358"/>
        <v/>
      </c>
      <c r="O70" s="4015" t="str">
        <f t="shared" si="358"/>
        <v/>
      </c>
      <c r="P70" s="4016" t="str">
        <f t="shared" si="358"/>
        <v/>
      </c>
      <c r="Q70" s="40" t="s">
        <v>4777</v>
      </c>
      <c r="S70" s="4011"/>
      <c r="T70" s="4012"/>
      <c r="U70" s="4012"/>
      <c r="V70" s="4012"/>
      <c r="W70" s="401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4799</v>
      </c>
      <c r="I71" s="36"/>
      <c r="J71" s="1"/>
      <c r="K71" s="4017" t="str">
        <f>IF(OR(K56=0,$P70="",K$67=0),"",$P70*K$67)</f>
        <v/>
      </c>
      <c r="L71" s="4017" t="str">
        <f>IF(OR(L56=0,$P70="",L$67=0),"",$P70*L$67)</f>
        <v/>
      </c>
      <c r="M71" s="4017" t="str">
        <f>IF(OR(M56=0,$P70="",M$67=0),"",$P70*M$67)</f>
        <v/>
      </c>
      <c r="N71" s="4017" t="str">
        <f>IF(OR(N56=0,$P70="",N$67=0),"",$P70*N$67)</f>
        <v/>
      </c>
      <c r="O71" s="4017" t="str">
        <f>IF(OR(O56=0,$P70="",O$67=0),"",$P70*O$67)</f>
        <v/>
      </c>
      <c r="P71" s="4018" t="str">
        <f t="shared" ref="P71" si="359">IF(OR($P70="",P$67=0),"",$P70*P$67)</f>
        <v/>
      </c>
      <c r="S71" s="3973"/>
      <c r="T71" s="3974"/>
      <c r="U71" s="3974"/>
      <c r="V71" s="3974"/>
      <c r="W71" s="397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19" t="s">
        <v>4800</v>
      </c>
      <c r="I72" s="4020"/>
      <c r="J72" s="1"/>
      <c r="K72" s="4021" t="str">
        <f t="shared" ref="K72:P72" si="360">IF(OR(K71="",K56=0),"", K56-K71)</f>
        <v/>
      </c>
      <c r="L72" s="4022" t="str">
        <f t="shared" si="360"/>
        <v/>
      </c>
      <c r="M72" s="4022" t="str">
        <f t="shared" si="360"/>
        <v/>
      </c>
      <c r="N72" s="4022" t="str">
        <f t="shared" si="360"/>
        <v/>
      </c>
      <c r="O72" s="4022" t="str">
        <f t="shared" si="360"/>
        <v/>
      </c>
      <c r="P72" s="4023" t="str">
        <f t="shared" si="360"/>
        <v/>
      </c>
      <c r="S72" s="3973"/>
      <c r="T72" s="3974"/>
      <c r="U72" s="3974"/>
      <c r="V72" s="3974"/>
      <c r="W72" s="397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24" t="s">
        <v>4776</v>
      </c>
      <c r="E73" s="4024"/>
      <c r="F73" s="4024"/>
      <c r="G73" s="8"/>
      <c r="H73" s="110" t="s">
        <v>4119</v>
      </c>
      <c r="I73" s="36"/>
      <c r="J73" s="1"/>
      <c r="K73" s="4025" t="str">
        <f t="shared" ref="K73:P73" si="361">IF(OR(K57=0,K$67=0),"",K57/K$67)</f>
        <v/>
      </c>
      <c r="L73" s="4026" t="str">
        <f t="shared" si="361"/>
        <v/>
      </c>
      <c r="M73" s="4026" t="str">
        <f t="shared" si="361"/>
        <v/>
      </c>
      <c r="N73" s="4026" t="str">
        <f t="shared" si="361"/>
        <v/>
      </c>
      <c r="O73" s="4026" t="str">
        <f t="shared" si="361"/>
        <v/>
      </c>
      <c r="P73" s="4027" t="str">
        <f t="shared" si="361"/>
        <v/>
      </c>
      <c r="S73" s="3973"/>
      <c r="T73" s="3974"/>
      <c r="U73" s="3974"/>
      <c r="V73" s="3974"/>
      <c r="W73" s="397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24"/>
      <c r="E74" s="4024"/>
      <c r="F74" s="4024"/>
      <c r="G74" s="8"/>
      <c r="H74" s="110" t="s">
        <v>4799</v>
      </c>
      <c r="I74" s="36"/>
      <c r="J74" s="1"/>
      <c r="K74" s="4017" t="str">
        <f>IF(OR(K57=0,$P73="",K$67=0),"",$P73*K$67)</f>
        <v/>
      </c>
      <c r="L74" s="4017" t="str">
        <f>IF(OR(L57=0,$P73="",L$67=0),"",$P73*L$67)</f>
        <v/>
      </c>
      <c r="M74" s="4017" t="str">
        <f>IF(OR(M57=0,$P73="",M$67=0),"",$P73*M$67)</f>
        <v/>
      </c>
      <c r="N74" s="4017" t="str">
        <f>IF(OR(N57=0,$P73="",N$67=0),"",$P73*N$67)</f>
        <v/>
      </c>
      <c r="O74" s="4017" t="str">
        <f>IF(OR(O57=0,$P73="",O$67=0),"",$P73*O$67)</f>
        <v/>
      </c>
      <c r="P74" s="4018" t="str">
        <f t="shared" ref="P74" si="362">IF(OR($P73="",P$67=0),"",$P73*P$67)</f>
        <v/>
      </c>
      <c r="S74" s="3973"/>
      <c r="T74" s="3974"/>
      <c r="U74" s="3974"/>
      <c r="V74" s="3974"/>
      <c r="W74" s="397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24"/>
      <c r="E75" s="4024"/>
      <c r="F75" s="4024"/>
      <c r="G75" s="8"/>
      <c r="H75" s="4019" t="s">
        <v>4800</v>
      </c>
      <c r="I75" s="4020"/>
      <c r="J75" s="1"/>
      <c r="K75" s="4021" t="str">
        <f t="shared" ref="K75:P75" si="363">IF(OR(K74="",K57=0),"", K57-K74)</f>
        <v/>
      </c>
      <c r="L75" s="4021" t="str">
        <f t="shared" si="363"/>
        <v/>
      </c>
      <c r="M75" s="4021" t="str">
        <f t="shared" si="363"/>
        <v/>
      </c>
      <c r="N75" s="4021" t="str">
        <f t="shared" si="363"/>
        <v/>
      </c>
      <c r="O75" s="4021" t="str">
        <f t="shared" si="363"/>
        <v/>
      </c>
      <c r="P75" s="4021" t="str">
        <f t="shared" si="363"/>
        <v/>
      </c>
      <c r="S75" s="3973"/>
      <c r="T75" s="3974"/>
      <c r="U75" s="3974"/>
      <c r="V75" s="3974"/>
      <c r="W75" s="397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24"/>
      <c r="E76" s="4024"/>
      <c r="F76" s="4024"/>
      <c r="G76" s="8"/>
      <c r="H76" s="110" t="s">
        <v>1126</v>
      </c>
      <c r="I76" s="36"/>
      <c r="J76" s="1"/>
      <c r="K76" s="4025" t="str">
        <f t="shared" ref="K76:P76" si="364">IF(OR(K58=0,K$67=0),"",K58/K$67)</f>
        <v/>
      </c>
      <c r="L76" s="4026" t="str">
        <f t="shared" si="364"/>
        <v/>
      </c>
      <c r="M76" s="4026" t="str">
        <f t="shared" si="364"/>
        <v/>
      </c>
      <c r="N76" s="4026" t="str">
        <f t="shared" si="364"/>
        <v/>
      </c>
      <c r="O76" s="4026" t="str">
        <f t="shared" si="364"/>
        <v/>
      </c>
      <c r="P76" s="4027" t="str">
        <f t="shared" si="364"/>
        <v/>
      </c>
      <c r="S76" s="3973"/>
      <c r="T76" s="3974"/>
      <c r="U76" s="3974"/>
      <c r="V76" s="3974"/>
      <c r="W76" s="397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24"/>
      <c r="E77" s="4024"/>
      <c r="F77" s="4024"/>
      <c r="G77" s="8"/>
      <c r="H77" s="110" t="s">
        <v>4799</v>
      </c>
      <c r="I77" s="36"/>
      <c r="J77" s="1"/>
      <c r="K77" s="4017" t="str">
        <f>IF(OR(K58=0,$P76="",K$67=0),"",$P76*K$67)</f>
        <v/>
      </c>
      <c r="L77" s="4017" t="str">
        <f>IF(OR(L58=0,$P76="",L$67=0),"",$P76*L$67)</f>
        <v/>
      </c>
      <c r="M77" s="4017" t="str">
        <f>IF(OR(M58=0,$P76="",M$67=0),"",$P76*M$67)</f>
        <v/>
      </c>
      <c r="N77" s="4017" t="str">
        <f>IF(OR(N58=0,$P76="",N$67=0),"",$P76*N$67)</f>
        <v/>
      </c>
      <c r="O77" s="4017" t="str">
        <f>IF(OR(O58=0,$P76="",O$67=0),"",$P76*O$67)</f>
        <v/>
      </c>
      <c r="P77" s="4018" t="str">
        <f t="shared" ref="P77" si="365">IF(OR($P76="",P$67=0),"",$P76*P$67)</f>
        <v/>
      </c>
      <c r="S77" s="4004"/>
      <c r="T77" s="4005"/>
      <c r="U77" s="4005"/>
      <c r="V77" s="4005"/>
      <c r="W77" s="400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19" t="s">
        <v>4800</v>
      </c>
      <c r="I78" s="4020"/>
      <c r="J78" s="1"/>
      <c r="K78" s="4021" t="str">
        <f t="shared" ref="K78:P78" si="366">IF(OR(K77="",K58=0),"", K58-K77)</f>
        <v/>
      </c>
      <c r="L78" s="4021" t="str">
        <f t="shared" si="366"/>
        <v/>
      </c>
      <c r="M78" s="4021" t="str">
        <f t="shared" si="366"/>
        <v/>
      </c>
      <c r="N78" s="4021" t="str">
        <f t="shared" si="366"/>
        <v/>
      </c>
      <c r="O78" s="4021" t="str">
        <f t="shared" si="366"/>
        <v/>
      </c>
      <c r="P78" s="4021" t="str">
        <f t="shared" si="366"/>
        <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28"/>
      <c r="E79" s="4028"/>
      <c r="F79" s="8"/>
      <c r="G79" s="8"/>
      <c r="H79" s="110" t="s">
        <v>115</v>
      </c>
      <c r="I79" s="36"/>
      <c r="J79" s="1"/>
      <c r="K79" s="4025" t="str">
        <f t="shared" ref="K79:P79" si="367">IF(OR(K59=0,K$67=0),"",K59/K$67)</f>
        <v/>
      </c>
      <c r="L79" s="4026">
        <f t="shared" si="367"/>
        <v>1</v>
      </c>
      <c r="M79" s="4026">
        <f t="shared" si="367"/>
        <v>1</v>
      </c>
      <c r="N79" s="4026">
        <f t="shared" si="367"/>
        <v>1</v>
      </c>
      <c r="O79" s="4026" t="str">
        <f t="shared" si="367"/>
        <v/>
      </c>
      <c r="P79" s="4027">
        <f t="shared" si="367"/>
        <v>1</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28"/>
      <c r="E80" s="4028"/>
      <c r="F80" s="8"/>
      <c r="G80" s="8"/>
      <c r="H80" s="110" t="s">
        <v>4799</v>
      </c>
      <c r="I80" s="36"/>
      <c r="J80" s="1"/>
      <c r="K80" s="4017" t="str">
        <f>IF(OR(K59=0,$P79="",K$67=0),"",$P79*K$67)</f>
        <v/>
      </c>
      <c r="L80" s="4017">
        <f>IF(OR(L59=0,$P79="",L$67=0),"",$P79*L$67)</f>
        <v>12</v>
      </c>
      <c r="M80" s="4017">
        <f>IF(OR(M59=0,$P79="",M$67=0),"",$P79*M$67)</f>
        <v>20</v>
      </c>
      <c r="N80" s="4017">
        <f>IF(OR(N59=0,$P79="",N$67=0),"",$P79*N$67)</f>
        <v>8</v>
      </c>
      <c r="O80" s="4017" t="str">
        <f>IF(OR(O59=0,$P79="",O$67=0),"",$P79*O$67)</f>
        <v/>
      </c>
      <c r="P80" s="4018">
        <f t="shared" ref="P80" si="368">IF(OR($P79="",P$67=0),"",$P79*P$67)</f>
        <v>40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28"/>
      <c r="E81" s="4028"/>
      <c r="F81" s="8"/>
      <c r="G81" s="8"/>
      <c r="H81" s="4019" t="s">
        <v>4800</v>
      </c>
      <c r="I81" s="4020"/>
      <c r="J81" s="1"/>
      <c r="K81" s="4021" t="str">
        <f t="shared" ref="K81:P81" si="369">IF(OR(K80="",K59=0),"", K59-K80)</f>
        <v/>
      </c>
      <c r="L81" s="4021">
        <f t="shared" si="369"/>
        <v>0</v>
      </c>
      <c r="M81" s="4021">
        <f t="shared" si="369"/>
        <v>0</v>
      </c>
      <c r="N81" s="4021">
        <f t="shared" si="369"/>
        <v>0</v>
      </c>
      <c r="O81" s="4021" t="str">
        <f t="shared" si="369"/>
        <v/>
      </c>
      <c r="P81" s="402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28"/>
      <c r="E82" s="4028"/>
      <c r="F82" s="8"/>
      <c r="G82" s="8"/>
      <c r="H82" s="110" t="s">
        <v>4120</v>
      </c>
      <c r="I82" s="36"/>
      <c r="J82" s="1"/>
      <c r="K82" s="4025" t="str">
        <f t="shared" ref="K82:P82" si="370">IF(OR(K60=0,K$67=0),"",K60/K$67)</f>
        <v/>
      </c>
      <c r="L82" s="4026" t="str">
        <f t="shared" si="370"/>
        <v/>
      </c>
      <c r="M82" s="4026" t="str">
        <f t="shared" si="370"/>
        <v/>
      </c>
      <c r="N82" s="4026" t="str">
        <f t="shared" si="370"/>
        <v/>
      </c>
      <c r="O82" s="4026" t="str">
        <f t="shared" si="370"/>
        <v/>
      </c>
      <c r="P82" s="402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17" t="str">
        <f>IF(OR(K60=0,$P82="",K$67=0),"",$P82*K$67)</f>
        <v/>
      </c>
      <c r="L83" s="4017" t="str">
        <f>IF(OR(L60=0,$P82="",L$67=0),"",$P82*L$67)</f>
        <v/>
      </c>
      <c r="M83" s="4017" t="str">
        <f>IF(OR(M60=0,$P82="",M$67=0),"",$P82*M$67)</f>
        <v/>
      </c>
      <c r="N83" s="4017" t="str">
        <f>IF(OR(N60=0,$P82="",N$67=0),"",$P82*N$67)</f>
        <v/>
      </c>
      <c r="O83" s="4017" t="str">
        <f>IF(OR(O60=0,$P82="",O$67=0),"",$P82*O$67)</f>
        <v/>
      </c>
      <c r="P83" s="401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19" t="s">
        <v>4800</v>
      </c>
      <c r="I84" s="4020"/>
      <c r="J84" s="1"/>
      <c r="K84" s="4021" t="str">
        <f t="shared" ref="K84:P84" si="372">IF(OR(K83="",K60=0),"", K60-K83)</f>
        <v/>
      </c>
      <c r="L84" s="4021" t="str">
        <f t="shared" si="372"/>
        <v/>
      </c>
      <c r="M84" s="4021" t="str">
        <f t="shared" si="372"/>
        <v/>
      </c>
      <c r="N84" s="4021" t="str">
        <f t="shared" si="372"/>
        <v/>
      </c>
      <c r="O84" s="4021" t="str">
        <f t="shared" si="372"/>
        <v/>
      </c>
      <c r="P84" s="402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4121</v>
      </c>
      <c r="I85" s="36"/>
      <c r="J85" s="1"/>
      <c r="K85" s="4025" t="str">
        <f t="shared" ref="K85:P85" si="373">IF(OR(K61=0,K$67=0),"",K61/K$67)</f>
        <v/>
      </c>
      <c r="L85" s="4026" t="str">
        <f t="shared" si="373"/>
        <v/>
      </c>
      <c r="M85" s="4026" t="str">
        <f t="shared" si="373"/>
        <v/>
      </c>
      <c r="N85" s="4026" t="str">
        <f t="shared" si="373"/>
        <v/>
      </c>
      <c r="O85" s="4026" t="str">
        <f t="shared" si="373"/>
        <v/>
      </c>
      <c r="P85" s="402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17" t="str">
        <f>IF(OR(K61=0,$P85="",K$67=0),"",$P85*K$67)</f>
        <v/>
      </c>
      <c r="L86" s="4017" t="str">
        <f>IF(OR(L61=0,$P85="",L$67=0),"",$P85*L$67)</f>
        <v/>
      </c>
      <c r="M86" s="4017" t="str">
        <f>IF(OR(M61=0,$P85="",M$67=0),"",$P85*M$67)</f>
        <v/>
      </c>
      <c r="N86" s="4017" t="str">
        <f>IF(OR(N61=0,$P85="",N$67=0),"",$P85*N$67)</f>
        <v/>
      </c>
      <c r="O86" s="4017" t="str">
        <f>IF(OR(O61=0,$P85="",O$67=0),"",$P85*O$67)</f>
        <v/>
      </c>
      <c r="P86" s="401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19" t="s">
        <v>4800</v>
      </c>
      <c r="I87" s="4020"/>
      <c r="J87" s="1"/>
      <c r="K87" s="4021" t="str">
        <f t="shared" ref="K87:P87" si="375">IF(OR(K86="",K61=0),"", K61-K86)</f>
        <v/>
      </c>
      <c r="L87" s="4021" t="str">
        <f t="shared" si="375"/>
        <v/>
      </c>
      <c r="M87" s="4021" t="str">
        <f t="shared" si="375"/>
        <v/>
      </c>
      <c r="N87" s="4021" t="str">
        <f t="shared" si="375"/>
        <v/>
      </c>
      <c r="O87" s="4021" t="str">
        <f t="shared" si="375"/>
        <v/>
      </c>
      <c r="P87" s="402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4122</v>
      </c>
      <c r="I88" s="52"/>
      <c r="J88" s="1"/>
      <c r="K88" s="4025" t="str">
        <f t="shared" ref="K88:P88" si="376">IF(OR(K62=0,K$67=0),"",K62/K$67)</f>
        <v/>
      </c>
      <c r="L88" s="4026" t="str">
        <f t="shared" si="376"/>
        <v/>
      </c>
      <c r="M88" s="4026" t="str">
        <f t="shared" si="376"/>
        <v/>
      </c>
      <c r="N88" s="4026" t="str">
        <f t="shared" si="376"/>
        <v/>
      </c>
      <c r="O88" s="4026" t="str">
        <f t="shared" si="376"/>
        <v/>
      </c>
      <c r="P88" s="402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29"/>
      <c r="E89" s="4029"/>
      <c r="F89" s="8"/>
      <c r="G89" s="8"/>
      <c r="H89" s="110" t="s">
        <v>4799</v>
      </c>
      <c r="I89" s="36"/>
      <c r="J89" s="1"/>
      <c r="K89" s="4017" t="str">
        <f>IF(OR(K62=0,$P88="",K$67=0),"",$P88*K$67)</f>
        <v/>
      </c>
      <c r="L89" s="4017" t="str">
        <f>IF(OR(L62=0,$P88="",L$67=0),"",$P88*L$67)</f>
        <v/>
      </c>
      <c r="M89" s="4017" t="str">
        <f>IF(OR(M62=0,$P88="",M$67=0),"",$P88*M$67)</f>
        <v/>
      </c>
      <c r="N89" s="4017" t="str">
        <f>IF(OR(N62=0,$P88="",N$67=0),"",$P88*N$67)</f>
        <v/>
      </c>
      <c r="O89" s="4017" t="str">
        <f>IF(OR(O62=0,$P88="",O$67=0),"",$P88*O$67)</f>
        <v/>
      </c>
      <c r="P89" s="401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28"/>
      <c r="E90" s="4028"/>
      <c r="F90" s="8"/>
      <c r="G90" s="8"/>
      <c r="H90" s="4019" t="s">
        <v>4800</v>
      </c>
      <c r="I90" s="4020"/>
      <c r="J90" s="1"/>
      <c r="K90" s="4030" t="str">
        <f t="shared" ref="K90:P90" si="378">IF(OR(K89="",K62=0),"", K62-K89)</f>
        <v/>
      </c>
      <c r="L90" s="4030" t="str">
        <f t="shared" si="378"/>
        <v/>
      </c>
      <c r="M90" s="4030" t="str">
        <f t="shared" si="378"/>
        <v/>
      </c>
      <c r="N90" s="4030" t="str">
        <f t="shared" si="378"/>
        <v/>
      </c>
      <c r="O90" s="4030" t="str">
        <f t="shared" si="378"/>
        <v/>
      </c>
      <c r="P90" s="403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911</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11"/>
      <c r="T93" s="4012"/>
      <c r="U93" s="4012"/>
      <c r="V93" s="4012"/>
      <c r="W93" s="401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2444</v>
      </c>
      <c r="D94" s="1"/>
      <c r="E94" s="110"/>
      <c r="F94" s="1"/>
      <c r="G94" s="82"/>
      <c r="H94" s="110" t="s">
        <v>4119</v>
      </c>
      <c r="I94" s="36"/>
      <c r="J94" s="82"/>
      <c r="K94" s="1365">
        <f>CK48</f>
        <v>0</v>
      </c>
      <c r="L94" s="1366">
        <f>CL48</f>
        <v>0</v>
      </c>
      <c r="M94" s="1366">
        <f>CM48</f>
        <v>0</v>
      </c>
      <c r="N94" s="1366">
        <f>CN48</f>
        <v>0</v>
      </c>
      <c r="O94" s="1367">
        <f>CO48</f>
        <v>0</v>
      </c>
      <c r="P94" s="1325">
        <f t="shared" si="379"/>
        <v>0</v>
      </c>
      <c r="S94" s="3973"/>
      <c r="T94" s="3974"/>
      <c r="U94" s="3974"/>
      <c r="V94" s="3974"/>
      <c r="W94" s="397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1126</v>
      </c>
      <c r="I95" s="36"/>
      <c r="J95" s="82"/>
      <c r="K95" s="1365">
        <f>CF48</f>
        <v>0</v>
      </c>
      <c r="L95" s="1366">
        <f>CG48</f>
        <v>0</v>
      </c>
      <c r="M95" s="1366">
        <f>CH48</f>
        <v>0</v>
      </c>
      <c r="N95" s="1366">
        <f>CI48</f>
        <v>0</v>
      </c>
      <c r="O95" s="1367">
        <f>CJ48</f>
        <v>0</v>
      </c>
      <c r="P95" s="1325">
        <f t="shared" si="379"/>
        <v>0</v>
      </c>
      <c r="S95" s="3973"/>
      <c r="T95" s="3974"/>
      <c r="U95" s="3974"/>
      <c r="V95" s="3974"/>
      <c r="W95" s="397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73"/>
      <c r="T96" s="3974"/>
      <c r="U96" s="3974"/>
      <c r="V96" s="3974"/>
      <c r="W96" s="397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73"/>
      <c r="T97" s="3974"/>
      <c r="U97" s="3974"/>
      <c r="V97" s="3974"/>
      <c r="W97" s="397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73"/>
      <c r="T98" s="3974"/>
      <c r="U98" s="3974"/>
      <c r="V98" s="3974"/>
      <c r="W98" s="397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73"/>
      <c r="T99" s="3974"/>
      <c r="U99" s="3974"/>
      <c r="V99" s="3974"/>
      <c r="W99" s="397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523</v>
      </c>
      <c r="I100" s="86"/>
      <c r="J100" s="82"/>
      <c r="K100" s="1326">
        <f>SUM(K93:K99)</f>
        <v>0</v>
      </c>
      <c r="L100" s="1326">
        <f>SUM(L93:L99)</f>
        <v>0</v>
      </c>
      <c r="M100" s="1326">
        <f>SUM(M93:M99)</f>
        <v>0</v>
      </c>
      <c r="N100" s="1326">
        <f>SUM(N93:N99)</f>
        <v>0</v>
      </c>
      <c r="O100" s="1326">
        <f>SUM(O93:O99)</f>
        <v>0</v>
      </c>
      <c r="P100" s="1326">
        <f t="shared" si="379"/>
        <v>0</v>
      </c>
      <c r="S100" s="4004"/>
      <c r="T100" s="4005"/>
      <c r="U100" s="4005"/>
      <c r="V100" s="4005"/>
      <c r="W100" s="400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721</v>
      </c>
      <c r="B102" s="13" t="s">
        <v>4422</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868</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11"/>
      <c r="T104" s="4012"/>
      <c r="U104" s="4012"/>
      <c r="V104" s="4012"/>
      <c r="W104" s="401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2444</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73"/>
      <c r="T105" s="3974"/>
      <c r="U105" s="3974"/>
      <c r="V105" s="3974"/>
      <c r="W105" s="397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1126</v>
      </c>
      <c r="I106" s="36"/>
      <c r="J106" s="82"/>
      <c r="K106" s="1365">
        <f>DO48</f>
        <v>0</v>
      </c>
      <c r="L106" s="1366">
        <f>DP48</f>
        <v>0</v>
      </c>
      <c r="M106" s="1366">
        <f>DQ48</f>
        <v>0</v>
      </c>
      <c r="N106" s="1366">
        <f>DR48</f>
        <v>0</v>
      </c>
      <c r="O106" s="1367">
        <f>DS48</f>
        <v>0</v>
      </c>
      <c r="P106" s="914">
        <f t="shared" si="380"/>
        <v>0</v>
      </c>
      <c r="S106" s="3973"/>
      <c r="T106" s="3974"/>
      <c r="U106" s="3974"/>
      <c r="V106" s="3974"/>
      <c r="W106" s="397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73"/>
      <c r="T107" s="3974"/>
      <c r="U107" s="3974"/>
      <c r="V107" s="3974"/>
      <c r="W107" s="397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73"/>
      <c r="T108" s="3974"/>
      <c r="U108" s="3974"/>
      <c r="V108" s="3974"/>
      <c r="W108" s="397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73"/>
      <c r="T109" s="3974"/>
      <c r="U109" s="3974"/>
      <c r="V109" s="3974"/>
      <c r="W109" s="397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73"/>
      <c r="T110" s="3974"/>
      <c r="U110" s="3974"/>
      <c r="V110" s="3974"/>
      <c r="W110" s="397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523</v>
      </c>
      <c r="I111" s="86"/>
      <c r="J111" s="82"/>
      <c r="K111" s="1326">
        <f>SUM(K104:K110)</f>
        <v>0</v>
      </c>
      <c r="L111" s="1326">
        <f>SUM(L104:L110)</f>
        <v>0</v>
      </c>
      <c r="M111" s="1326">
        <f>SUM(M104:M110)</f>
        <v>0</v>
      </c>
      <c r="N111" s="1326">
        <f>SUM(N104:N110)</f>
        <v>0</v>
      </c>
      <c r="O111" s="1326">
        <f>SUM(O104:O110)</f>
        <v>0</v>
      </c>
      <c r="P111" s="1326">
        <f t="shared" si="380"/>
        <v>0</v>
      </c>
      <c r="S111" s="4004"/>
      <c r="T111" s="4005"/>
      <c r="U111" s="4005"/>
      <c r="V111" s="4005"/>
      <c r="W111" s="400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2235</v>
      </c>
      <c r="F113" s="1"/>
      <c r="G113" s="82"/>
      <c r="H113" s="110" t="s">
        <v>1403</v>
      </c>
      <c r="I113" s="36"/>
      <c r="J113" s="82"/>
      <c r="K113" s="1353">
        <f>GG48</f>
        <v>0</v>
      </c>
      <c r="L113" s="1354">
        <f>GH48</f>
        <v>0</v>
      </c>
      <c r="M113" s="1354">
        <f>GI48</f>
        <v>0</v>
      </c>
      <c r="N113" s="1354">
        <f>GJ48</f>
        <v>0</v>
      </c>
      <c r="O113" s="1355">
        <f>GK48</f>
        <v>0</v>
      </c>
      <c r="P113" s="919">
        <f t="shared" ref="P113:P123" si="381">SUM(K113:O113)</f>
        <v>0</v>
      </c>
      <c r="S113" s="4011"/>
      <c r="T113" s="4012"/>
      <c r="U113" s="4012"/>
      <c r="V113" s="4012"/>
      <c r="W113" s="401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73"/>
      <c r="T114" s="3974"/>
      <c r="U114" s="3974"/>
      <c r="V114" s="3974"/>
      <c r="W114" s="397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0</v>
      </c>
      <c r="M115" s="1328">
        <f>SUM(M113:M114)+GS48</f>
        <v>0</v>
      </c>
      <c r="N115" s="1328">
        <f>SUM(N113:N114)+GT48</f>
        <v>0</v>
      </c>
      <c r="O115" s="1328">
        <f>SUM(O113:O114)+GU48</f>
        <v>0</v>
      </c>
      <c r="P115" s="1328">
        <f t="shared" si="381"/>
        <v>0</v>
      </c>
      <c r="S115" s="3973"/>
      <c r="T115" s="3974"/>
      <c r="U115" s="3974"/>
      <c r="V115" s="3974"/>
      <c r="W115" s="397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2085</v>
      </c>
      <c r="F116" s="1"/>
      <c r="G116" s="82"/>
      <c r="H116" s="110" t="s">
        <v>1403</v>
      </c>
      <c r="I116" s="36"/>
      <c r="J116" s="82"/>
      <c r="K116" s="1353">
        <f>GV48</f>
        <v>0</v>
      </c>
      <c r="L116" s="1354">
        <f>GW48</f>
        <v>12</v>
      </c>
      <c r="M116" s="1354">
        <f>GX48</f>
        <v>20</v>
      </c>
      <c r="N116" s="1354">
        <f>GY48</f>
        <v>8</v>
      </c>
      <c r="O116" s="1355">
        <f>GZ48</f>
        <v>0</v>
      </c>
      <c r="P116" s="919">
        <f t="shared" si="381"/>
        <v>40</v>
      </c>
      <c r="S116" s="3973"/>
      <c r="T116" s="3974"/>
      <c r="U116" s="3974"/>
      <c r="V116" s="3974"/>
      <c r="W116" s="397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73"/>
      <c r="T117" s="3974"/>
      <c r="U117" s="3974"/>
      <c r="V117" s="3974"/>
      <c r="W117" s="397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12</v>
      </c>
      <c r="M118" s="1328">
        <f>SUM(M116:M117)+HH48</f>
        <v>20</v>
      </c>
      <c r="N118" s="1328">
        <f>SUM(N116:N117)+HI48</f>
        <v>8</v>
      </c>
      <c r="O118" s="1328">
        <f>SUM(O116:O117)+HJ48</f>
        <v>0</v>
      </c>
      <c r="P118" s="1328">
        <f t="shared" si="381"/>
        <v>40</v>
      </c>
      <c r="S118" s="3973"/>
      <c r="T118" s="3974"/>
      <c r="U118" s="3974"/>
      <c r="V118" s="3974"/>
      <c r="W118" s="397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1390</v>
      </c>
      <c r="F119" s="2669"/>
      <c r="G119" s="82"/>
      <c r="H119" s="110" t="s">
        <v>1403</v>
      </c>
      <c r="I119" s="36"/>
      <c r="J119" s="82"/>
      <c r="K119" s="1353">
        <f>HK48</f>
        <v>0</v>
      </c>
      <c r="L119" s="1354">
        <f>HL48</f>
        <v>0</v>
      </c>
      <c r="M119" s="1354">
        <f>HM48</f>
        <v>0</v>
      </c>
      <c r="N119" s="1354">
        <f>HN48</f>
        <v>0</v>
      </c>
      <c r="O119" s="1355">
        <f>HO48</f>
        <v>0</v>
      </c>
      <c r="P119" s="919">
        <f t="shared" si="381"/>
        <v>0</v>
      </c>
      <c r="S119" s="3973"/>
      <c r="T119" s="3974"/>
      <c r="U119" s="3974"/>
      <c r="V119" s="3974"/>
      <c r="W119" s="397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73"/>
      <c r="T120" s="3974"/>
      <c r="U120" s="3974"/>
      <c r="V120" s="3974"/>
      <c r="W120" s="397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73"/>
      <c r="T121" s="3974"/>
      <c r="U121" s="3974"/>
      <c r="V121" s="3974"/>
      <c r="W121" s="397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31"/>
      <c r="L122" s="4031"/>
      <c r="M122" s="4031"/>
      <c r="N122" s="4031"/>
      <c r="O122" s="4031"/>
      <c r="P122" s="569">
        <f t="shared" si="381"/>
        <v>0</v>
      </c>
      <c r="S122" s="3973"/>
      <c r="T122" s="3974"/>
      <c r="U122" s="3974"/>
      <c r="V122" s="3974"/>
      <c r="W122" s="397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3280</v>
      </c>
      <c r="F123" s="1"/>
      <c r="G123" s="172"/>
      <c r="H123" s="111"/>
      <c r="I123" s="82"/>
      <c r="J123" s="82"/>
      <c r="K123" s="4032"/>
      <c r="L123" s="4032"/>
      <c r="M123" s="4032"/>
      <c r="N123" s="4032"/>
      <c r="O123" s="4032"/>
      <c r="P123" s="570">
        <f t="shared" si="381"/>
        <v>0</v>
      </c>
      <c r="S123" s="3973"/>
      <c r="T123" s="3974"/>
      <c r="U123" s="3974"/>
      <c r="V123" s="3974"/>
      <c r="W123" s="397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73"/>
      <c r="T124" s="3974"/>
      <c r="U124" s="3974"/>
      <c r="V124" s="3974"/>
      <c r="W124" s="397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04"/>
      <c r="T125" s="4005"/>
      <c r="U125" s="4005"/>
      <c r="V125" s="4005"/>
      <c r="W125" s="400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3770</v>
      </c>
      <c r="D127" s="2670"/>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11"/>
      <c r="T127" s="4012"/>
      <c r="U127" s="4012"/>
      <c r="V127" s="4012"/>
      <c r="W127" s="401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2535</v>
      </c>
      <c r="I128" s="856"/>
      <c r="J128" s="1094"/>
      <c r="K128" s="1356">
        <f>JS48</f>
        <v>0</v>
      </c>
      <c r="L128" s="1357">
        <f>JT48</f>
        <v>0</v>
      </c>
      <c r="M128" s="1357">
        <f>JU48</f>
        <v>0</v>
      </c>
      <c r="N128" s="1357">
        <f>JV48</f>
        <v>0</v>
      </c>
      <c r="O128" s="1358">
        <f>JW48</f>
        <v>0</v>
      </c>
      <c r="P128" s="914">
        <f t="shared" ref="P128:P145" si="383">SUM(K128:O128)</f>
        <v>0</v>
      </c>
      <c r="S128" s="3973"/>
      <c r="T128" s="3974"/>
      <c r="U128" s="3974"/>
      <c r="V128" s="3974"/>
      <c r="W128" s="397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3248</v>
      </c>
      <c r="I129" s="95"/>
      <c r="J129" s="1094"/>
      <c r="K129" s="1377">
        <f>JX48</f>
        <v>0</v>
      </c>
      <c r="L129" s="1378">
        <f>JY48</f>
        <v>0</v>
      </c>
      <c r="M129" s="1378">
        <f>JZ48</f>
        <v>0</v>
      </c>
      <c r="N129" s="1378">
        <f>KA48</f>
        <v>0</v>
      </c>
      <c r="O129" s="1379">
        <f>KB48</f>
        <v>0</v>
      </c>
      <c r="P129" s="572">
        <f t="shared" si="383"/>
        <v>0</v>
      </c>
      <c r="S129" s="3973"/>
      <c r="T129" s="3974"/>
      <c r="U129" s="3974"/>
      <c r="V129" s="3974"/>
      <c r="W129" s="397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2536</v>
      </c>
      <c r="I130" s="856"/>
      <c r="J130" s="1094"/>
      <c r="K130" s="1356">
        <f>KC48</f>
        <v>0</v>
      </c>
      <c r="L130" s="1357">
        <f>KD48</f>
        <v>0</v>
      </c>
      <c r="M130" s="1357">
        <f>KE48</f>
        <v>0</v>
      </c>
      <c r="N130" s="1357">
        <f>KF48</f>
        <v>0</v>
      </c>
      <c r="O130" s="1358">
        <f>KG48</f>
        <v>0</v>
      </c>
      <c r="P130" s="573">
        <f t="shared" si="383"/>
        <v>0</v>
      </c>
      <c r="S130" s="3973"/>
      <c r="T130" s="3974"/>
      <c r="U130" s="3974"/>
      <c r="V130" s="3974"/>
      <c r="W130" s="397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3248</v>
      </c>
      <c r="I131" s="95"/>
      <c r="J131" s="1094"/>
      <c r="K131" s="1377">
        <f>KH48</f>
        <v>0</v>
      </c>
      <c r="L131" s="1378">
        <f>KI48</f>
        <v>0</v>
      </c>
      <c r="M131" s="1378">
        <f>KJ48</f>
        <v>0</v>
      </c>
      <c r="N131" s="1378">
        <f>KK48</f>
        <v>0</v>
      </c>
      <c r="O131" s="1379">
        <f>KL48</f>
        <v>0</v>
      </c>
      <c r="P131" s="572">
        <f t="shared" si="383"/>
        <v>0</v>
      </c>
      <c r="S131" s="3973"/>
      <c r="T131" s="3974"/>
      <c r="U131" s="3974"/>
      <c r="V131" s="3974"/>
      <c r="W131" s="397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2538</v>
      </c>
      <c r="I132" s="856"/>
      <c r="J132" s="1094"/>
      <c r="K132" s="1356">
        <f>KM48</f>
        <v>0</v>
      </c>
      <c r="L132" s="1357">
        <f>KN48</f>
        <v>0</v>
      </c>
      <c r="M132" s="1357">
        <f>KO48</f>
        <v>0</v>
      </c>
      <c r="N132" s="1357">
        <f>KP48</f>
        <v>0</v>
      </c>
      <c r="O132" s="1358">
        <f>KQ48</f>
        <v>0</v>
      </c>
      <c r="P132" s="573">
        <f t="shared" si="383"/>
        <v>0</v>
      </c>
      <c r="S132" s="3973"/>
      <c r="T132" s="3974"/>
      <c r="U132" s="3974"/>
      <c r="V132" s="3974"/>
      <c r="W132" s="397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3248</v>
      </c>
      <c r="I133" s="95"/>
      <c r="J133" s="1094"/>
      <c r="K133" s="1377">
        <f>KR48</f>
        <v>0</v>
      </c>
      <c r="L133" s="1378">
        <f>KS48</f>
        <v>0</v>
      </c>
      <c r="M133" s="1378">
        <f>KT48</f>
        <v>0</v>
      </c>
      <c r="N133" s="1378">
        <f>KU48</f>
        <v>0</v>
      </c>
      <c r="O133" s="1379">
        <f>KV48</f>
        <v>0</v>
      </c>
      <c r="P133" s="572">
        <f t="shared" si="383"/>
        <v>0</v>
      </c>
      <c r="S133" s="3973"/>
      <c r="T133" s="3974"/>
      <c r="U133" s="3974"/>
      <c r="V133" s="3974"/>
      <c r="W133" s="397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2537</v>
      </c>
      <c r="I134" s="40"/>
      <c r="J134" s="82"/>
      <c r="K134" s="1356">
        <f>KW48</f>
        <v>0</v>
      </c>
      <c r="L134" s="1357">
        <f>KX48</f>
        <v>0</v>
      </c>
      <c r="M134" s="1357">
        <f>KY48</f>
        <v>0</v>
      </c>
      <c r="N134" s="1357">
        <f>KZ48</f>
        <v>0</v>
      </c>
      <c r="O134" s="1358">
        <f>LA48</f>
        <v>0</v>
      </c>
      <c r="P134" s="573">
        <f t="shared" si="383"/>
        <v>0</v>
      </c>
      <c r="S134" s="3973"/>
      <c r="T134" s="3974"/>
      <c r="U134" s="3974"/>
      <c r="V134" s="3974"/>
      <c r="W134" s="397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3248</v>
      </c>
      <c r="I135" s="852"/>
      <c r="J135" s="82"/>
      <c r="K135" s="1377">
        <f>LB48</f>
        <v>0</v>
      </c>
      <c r="L135" s="1378">
        <f>LC48</f>
        <v>0</v>
      </c>
      <c r="M135" s="1378">
        <f>LD48</f>
        <v>0</v>
      </c>
      <c r="N135" s="1378">
        <f>LE48</f>
        <v>0</v>
      </c>
      <c r="O135" s="1379">
        <f>LF48</f>
        <v>0</v>
      </c>
      <c r="P135" s="914">
        <f t="shared" si="383"/>
        <v>0</v>
      </c>
      <c r="S135" s="3973"/>
      <c r="T135" s="3974"/>
      <c r="U135" s="3974"/>
      <c r="V135" s="3974"/>
      <c r="W135" s="397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1"/>
      <c r="D136" s="2371"/>
      <c r="E136" s="103"/>
      <c r="F136" s="1"/>
      <c r="G136" s="82"/>
      <c r="H136" s="1740" t="s">
        <v>4794</v>
      </c>
      <c r="I136" s="40"/>
      <c r="J136" s="82"/>
      <c r="K136" s="1380">
        <f>LG48</f>
        <v>0</v>
      </c>
      <c r="L136" s="1381">
        <f>LH48</f>
        <v>0</v>
      </c>
      <c r="M136" s="1381">
        <f>LI48</f>
        <v>0</v>
      </c>
      <c r="N136" s="1381">
        <f>LJ48</f>
        <v>0</v>
      </c>
      <c r="O136" s="1382">
        <f>LK48</f>
        <v>0</v>
      </c>
      <c r="P136" s="573">
        <f t="shared" ref="P136:P137" si="384">SUM(K136:O136)</f>
        <v>0</v>
      </c>
      <c r="S136" s="3973"/>
      <c r="T136" s="3974"/>
      <c r="U136" s="3974"/>
      <c r="V136" s="3974"/>
      <c r="W136" s="397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1"/>
      <c r="D137" s="2371"/>
      <c r="E137" s="103"/>
      <c r="F137" s="1"/>
      <c r="G137" s="82"/>
      <c r="H137" s="1757" t="s">
        <v>3248</v>
      </c>
      <c r="I137" s="852"/>
      <c r="J137" s="82"/>
      <c r="K137" s="1356">
        <f>LL48</f>
        <v>0</v>
      </c>
      <c r="L137" s="1357">
        <f>LM48</f>
        <v>0</v>
      </c>
      <c r="M137" s="1357">
        <f>LN48</f>
        <v>0</v>
      </c>
      <c r="N137" s="1357">
        <f>LO48</f>
        <v>0</v>
      </c>
      <c r="O137" s="1358">
        <f>LP48</f>
        <v>0</v>
      </c>
      <c r="P137" s="914">
        <f t="shared" si="384"/>
        <v>0</v>
      </c>
      <c r="S137" s="3973"/>
      <c r="T137" s="3974"/>
      <c r="U137" s="3974"/>
      <c r="V137" s="3974"/>
      <c r="W137" s="397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73"/>
      <c r="T138" s="3974"/>
      <c r="U138" s="3974"/>
      <c r="V138" s="3974"/>
      <c r="W138" s="397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3248</v>
      </c>
      <c r="I139" s="852"/>
      <c r="J139" s="82"/>
      <c r="K139" s="1377">
        <f>IJ48</f>
        <v>0</v>
      </c>
      <c r="L139" s="1378">
        <f>IK48</f>
        <v>0</v>
      </c>
      <c r="M139" s="1378">
        <f>IL48</f>
        <v>0</v>
      </c>
      <c r="N139" s="1378">
        <f>IM48</f>
        <v>0</v>
      </c>
      <c r="O139" s="1379">
        <f>IN48</f>
        <v>0</v>
      </c>
      <c r="P139" s="572">
        <f t="shared" si="383"/>
        <v>0</v>
      </c>
      <c r="S139" s="3973"/>
      <c r="T139" s="3974"/>
      <c r="U139" s="3974"/>
      <c r="V139" s="3974"/>
      <c r="W139" s="397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12</v>
      </c>
      <c r="M140" s="1381">
        <f>JK48</f>
        <v>20</v>
      </c>
      <c r="N140" s="1381">
        <f>JL48</f>
        <v>8</v>
      </c>
      <c r="O140" s="1382">
        <f>JM48</f>
        <v>0</v>
      </c>
      <c r="P140" s="573">
        <f t="shared" si="383"/>
        <v>40</v>
      </c>
      <c r="S140" s="3973"/>
      <c r="T140" s="3974"/>
      <c r="U140" s="3974"/>
      <c r="V140" s="3974"/>
      <c r="W140" s="397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3248</v>
      </c>
      <c r="I141" s="852"/>
      <c r="J141" s="82"/>
      <c r="K141" s="1377">
        <f>JN48</f>
        <v>0</v>
      </c>
      <c r="L141" s="1378">
        <f>JO48</f>
        <v>0</v>
      </c>
      <c r="M141" s="1378">
        <f>JP48</f>
        <v>0</v>
      </c>
      <c r="N141" s="1378">
        <f>JQ48</f>
        <v>0</v>
      </c>
      <c r="O141" s="1379">
        <f>JR48</f>
        <v>0</v>
      </c>
      <c r="P141" s="572">
        <f t="shared" si="383"/>
        <v>0</v>
      </c>
      <c r="S141" s="3973"/>
      <c r="T141" s="3974"/>
      <c r="U141" s="3974"/>
      <c r="V141" s="3974"/>
      <c r="W141" s="397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547</v>
      </c>
      <c r="F142" s="1"/>
      <c r="G142" s="82"/>
      <c r="H142" s="1740"/>
      <c r="I142" s="40"/>
      <c r="J142" s="82"/>
      <c r="K142" s="1380">
        <f>IY48</f>
        <v>0</v>
      </c>
      <c r="L142" s="1381">
        <f>IZ48</f>
        <v>0</v>
      </c>
      <c r="M142" s="1381">
        <f>JA48</f>
        <v>0</v>
      </c>
      <c r="N142" s="1381">
        <f>JB48</f>
        <v>0</v>
      </c>
      <c r="O142" s="1382">
        <f>JC48</f>
        <v>0</v>
      </c>
      <c r="P142" s="573">
        <f t="shared" si="383"/>
        <v>0</v>
      </c>
      <c r="S142" s="3973"/>
      <c r="T142" s="3974"/>
      <c r="U142" s="3974"/>
      <c r="V142" s="3974"/>
      <c r="W142" s="397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3248</v>
      </c>
      <c r="I143" s="852"/>
      <c r="J143" s="82"/>
      <c r="K143" s="1356">
        <f>JD48</f>
        <v>0</v>
      </c>
      <c r="L143" s="1357">
        <f>JE48</f>
        <v>0</v>
      </c>
      <c r="M143" s="1357">
        <f>JF48</f>
        <v>0</v>
      </c>
      <c r="N143" s="1357">
        <f>JG48</f>
        <v>0</v>
      </c>
      <c r="O143" s="1358">
        <f>JH48</f>
        <v>0</v>
      </c>
      <c r="P143" s="572">
        <f t="shared" si="383"/>
        <v>0</v>
      </c>
      <c r="S143" s="3973"/>
      <c r="T143" s="3974"/>
      <c r="U143" s="3974"/>
      <c r="V143" s="3974"/>
      <c r="W143" s="397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548</v>
      </c>
      <c r="F144" s="1"/>
      <c r="G144" s="82"/>
      <c r="H144" s="1740"/>
      <c r="I144" s="40"/>
      <c r="J144" s="82"/>
      <c r="K144" s="1380">
        <f>IO48</f>
        <v>0</v>
      </c>
      <c r="L144" s="1381">
        <f>IP48</f>
        <v>0</v>
      </c>
      <c r="M144" s="1381">
        <f>IQ48</f>
        <v>0</v>
      </c>
      <c r="N144" s="1381">
        <f>IR48</f>
        <v>0</v>
      </c>
      <c r="O144" s="1382">
        <f>IS48</f>
        <v>0</v>
      </c>
      <c r="P144" s="573">
        <f t="shared" si="383"/>
        <v>0</v>
      </c>
      <c r="S144" s="3973"/>
      <c r="T144" s="3974"/>
      <c r="U144" s="3974"/>
      <c r="V144" s="3974"/>
      <c r="W144" s="397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3248</v>
      </c>
      <c r="I145" s="852"/>
      <c r="J145" s="82"/>
      <c r="K145" s="1359">
        <f>IT48</f>
        <v>0</v>
      </c>
      <c r="L145" s="1360">
        <f>IU48</f>
        <v>0</v>
      </c>
      <c r="M145" s="1360">
        <f>IV48</f>
        <v>0</v>
      </c>
      <c r="N145" s="1360">
        <f>IW48</f>
        <v>0</v>
      </c>
      <c r="O145" s="1361">
        <f>IX48</f>
        <v>0</v>
      </c>
      <c r="P145" s="915">
        <f t="shared" si="383"/>
        <v>0</v>
      </c>
      <c r="S145" s="4004"/>
      <c r="T145" s="4005"/>
      <c r="U145" s="4005"/>
      <c r="V145" s="4005"/>
      <c r="W145" s="400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721</v>
      </c>
      <c r="B147" s="13" t="s">
        <v>4422</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4113</v>
      </c>
      <c r="D149" s="2670"/>
      <c r="E149" s="1090" t="s">
        <v>3243</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11"/>
      <c r="T149" s="4012"/>
      <c r="U149" s="4012"/>
      <c r="V149" s="4012"/>
      <c r="W149" s="401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3248</v>
      </c>
      <c r="I150" s="95"/>
      <c r="J150" s="1094"/>
      <c r="K150" s="1386">
        <f t="shared" si="385"/>
        <v>0</v>
      </c>
      <c r="L150" s="1387">
        <f t="shared" si="385"/>
        <v>0</v>
      </c>
      <c r="M150" s="1387">
        <f t="shared" si="385"/>
        <v>0</v>
      </c>
      <c r="N150" s="1387">
        <f t="shared" si="385"/>
        <v>0</v>
      </c>
      <c r="O150" s="1388">
        <f t="shared" si="385"/>
        <v>0</v>
      </c>
      <c r="P150" s="575">
        <f t="shared" si="386"/>
        <v>0</v>
      </c>
      <c r="S150" s="3973"/>
      <c r="T150" s="3974"/>
      <c r="U150" s="3974"/>
      <c r="V150" s="3974"/>
      <c r="W150" s="397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3244</v>
      </c>
      <c r="F151" s="483"/>
      <c r="G151" s="151"/>
      <c r="H151" s="1020"/>
      <c r="I151" s="483"/>
      <c r="J151" s="1094"/>
      <c r="K151" s="1389">
        <f t="shared" ref="K151:O152" si="387">K128+K140</f>
        <v>0</v>
      </c>
      <c r="L151" s="1390">
        <f t="shared" si="387"/>
        <v>12</v>
      </c>
      <c r="M151" s="1390">
        <f t="shared" si="387"/>
        <v>20</v>
      </c>
      <c r="N151" s="1390">
        <f t="shared" si="387"/>
        <v>8</v>
      </c>
      <c r="O151" s="1391">
        <f t="shared" si="387"/>
        <v>0</v>
      </c>
      <c r="P151" s="917">
        <f t="shared" si="386"/>
        <v>40</v>
      </c>
      <c r="S151" s="3973"/>
      <c r="T151" s="3974"/>
      <c r="U151" s="3974"/>
      <c r="V151" s="3974"/>
      <c r="W151" s="397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3248</v>
      </c>
      <c r="I152" s="95"/>
      <c r="J152" s="1094"/>
      <c r="K152" s="1386">
        <f t="shared" si="387"/>
        <v>0</v>
      </c>
      <c r="L152" s="1387">
        <f t="shared" si="387"/>
        <v>0</v>
      </c>
      <c r="M152" s="1387">
        <f t="shared" si="387"/>
        <v>0</v>
      </c>
      <c r="N152" s="1387">
        <f t="shared" si="387"/>
        <v>0</v>
      </c>
      <c r="O152" s="1388">
        <f t="shared" si="387"/>
        <v>0</v>
      </c>
      <c r="P152" s="575">
        <f t="shared" si="386"/>
        <v>0</v>
      </c>
      <c r="S152" s="3973"/>
      <c r="T152" s="3974"/>
      <c r="U152" s="3974"/>
      <c r="V152" s="3974"/>
      <c r="W152" s="397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3245</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73"/>
      <c r="T153" s="3974"/>
      <c r="U153" s="3974"/>
      <c r="V153" s="3974"/>
      <c r="W153" s="397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3248</v>
      </c>
      <c r="I154" s="95"/>
      <c r="J154" s="1094"/>
      <c r="K154" s="1386">
        <f t="shared" si="388"/>
        <v>0</v>
      </c>
      <c r="L154" s="1387">
        <f t="shared" si="388"/>
        <v>0</v>
      </c>
      <c r="M154" s="1387">
        <f t="shared" si="388"/>
        <v>0</v>
      </c>
      <c r="N154" s="1387">
        <f t="shared" si="388"/>
        <v>0</v>
      </c>
      <c r="O154" s="1388">
        <f t="shared" si="388"/>
        <v>0</v>
      </c>
      <c r="P154" s="575">
        <f t="shared" si="386"/>
        <v>0</v>
      </c>
      <c r="S154" s="3973"/>
      <c r="T154" s="3974"/>
      <c r="U154" s="3974"/>
      <c r="V154" s="3974"/>
      <c r="W154" s="397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3246</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73"/>
      <c r="T155" s="3974"/>
      <c r="U155" s="3974"/>
      <c r="V155" s="3974"/>
      <c r="W155" s="397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3248</v>
      </c>
      <c r="I156" s="852"/>
      <c r="J156" s="82"/>
      <c r="K156" s="1392">
        <f t="shared" si="389"/>
        <v>0</v>
      </c>
      <c r="L156" s="1393">
        <f t="shared" si="389"/>
        <v>0</v>
      </c>
      <c r="M156" s="1393">
        <f t="shared" si="389"/>
        <v>0</v>
      </c>
      <c r="N156" s="1393">
        <f t="shared" si="389"/>
        <v>0</v>
      </c>
      <c r="O156" s="1394">
        <f t="shared" si="389"/>
        <v>0</v>
      </c>
      <c r="P156" s="918">
        <f t="shared" si="386"/>
        <v>0</v>
      </c>
      <c r="Q156" s="2649" t="s">
        <v>4448</v>
      </c>
      <c r="S156" s="4004"/>
      <c r="T156" s="4005"/>
      <c r="U156" s="4005"/>
      <c r="V156" s="4005"/>
      <c r="W156" s="400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4118</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11"/>
      <c r="T159" s="4012"/>
      <c r="U159" s="4012"/>
      <c r="V159" s="4012"/>
      <c r="W159" s="401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0"/>
        <v>0</v>
      </c>
      <c r="Q160" s="1555" t="str">
        <f t="shared" si="391"/>
        <v/>
      </c>
      <c r="S160" s="3973"/>
      <c r="T160" s="3974"/>
      <c r="U160" s="3974"/>
      <c r="V160" s="3974"/>
      <c r="W160" s="397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1126</v>
      </c>
      <c r="I161" s="40"/>
      <c r="J161" s="82"/>
      <c r="K161" s="1395">
        <f>ES48</f>
        <v>0</v>
      </c>
      <c r="L161" s="1396">
        <f>ET48</f>
        <v>0</v>
      </c>
      <c r="M161" s="1396">
        <f>EU48</f>
        <v>0</v>
      </c>
      <c r="N161" s="1396">
        <f>EV48</f>
        <v>0</v>
      </c>
      <c r="O161" s="1397">
        <f>EW48</f>
        <v>0</v>
      </c>
      <c r="P161" s="1323">
        <f t="shared" si="390"/>
        <v>0</v>
      </c>
      <c r="Q161" s="1555" t="str">
        <f t="shared" si="391"/>
        <v/>
      </c>
      <c r="S161" s="3973"/>
      <c r="T161" s="3974"/>
      <c r="U161" s="3974"/>
      <c r="V161" s="3974"/>
      <c r="W161" s="397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7800</v>
      </c>
      <c r="M162" s="1491">
        <f>EZ48</f>
        <v>18500</v>
      </c>
      <c r="N162" s="1491">
        <f>FA48</f>
        <v>8800</v>
      </c>
      <c r="O162" s="1492">
        <f>FB48</f>
        <v>0</v>
      </c>
      <c r="P162" s="1493">
        <f t="shared" si="390"/>
        <v>35100</v>
      </c>
      <c r="Q162" s="1555">
        <f t="shared" si="391"/>
        <v>877.5</v>
      </c>
      <c r="S162" s="3973"/>
      <c r="T162" s="3974"/>
      <c r="U162" s="3974"/>
      <c r="V162" s="3974"/>
      <c r="W162" s="397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4120</v>
      </c>
      <c r="I163" s="856"/>
      <c r="J163" s="1094"/>
      <c r="K163" s="1395">
        <f>FC48</f>
        <v>0</v>
      </c>
      <c r="L163" s="1396">
        <f>FD48</f>
        <v>0</v>
      </c>
      <c r="M163" s="1396">
        <f>FE48</f>
        <v>0</v>
      </c>
      <c r="N163" s="1396">
        <f>FF48</f>
        <v>0</v>
      </c>
      <c r="O163" s="1397">
        <f>FG48</f>
        <v>0</v>
      </c>
      <c r="P163" s="1323">
        <f t="shared" si="390"/>
        <v>0</v>
      </c>
      <c r="Q163" s="1555" t="str">
        <f t="shared" si="391"/>
        <v/>
      </c>
      <c r="S163" s="3973"/>
      <c r="T163" s="3974"/>
      <c r="U163" s="3974"/>
      <c r="V163" s="3974"/>
      <c r="W163" s="397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0</v>
      </c>
      <c r="M164" s="1396">
        <f>FJ48</f>
        <v>0</v>
      </c>
      <c r="N164" s="1396">
        <f>FK48</f>
        <v>0</v>
      </c>
      <c r="O164" s="1397">
        <f>FL48</f>
        <v>0</v>
      </c>
      <c r="P164" s="1323">
        <f t="shared" si="390"/>
        <v>0</v>
      </c>
      <c r="Q164" s="1555" t="str">
        <f t="shared" si="391"/>
        <v/>
      </c>
      <c r="S164" s="3973"/>
      <c r="T164" s="3974"/>
      <c r="U164" s="3974"/>
      <c r="V164" s="3974"/>
      <c r="W164" s="397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5" t="str">
        <f t="shared" si="391"/>
        <v/>
      </c>
      <c r="S165" s="3973"/>
      <c r="T165" s="3974"/>
      <c r="U165" s="3974"/>
      <c r="V165" s="3974"/>
      <c r="W165" s="397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7800</v>
      </c>
      <c r="M166" s="1332">
        <f>SUM(M159:M165)</f>
        <v>18500</v>
      </c>
      <c r="N166" s="1332">
        <f>SUM(N159:N165)</f>
        <v>8800</v>
      </c>
      <c r="O166" s="1332">
        <f>SUM(O159:O165)</f>
        <v>0</v>
      </c>
      <c r="P166" s="1332">
        <f>SUM(K166:O166)</f>
        <v>35100</v>
      </c>
      <c r="S166" s="3973"/>
      <c r="T166" s="3974"/>
      <c r="U166" s="3974"/>
      <c r="V166" s="3974"/>
      <c r="W166" s="397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73"/>
      <c r="T167" s="3974"/>
      <c r="U167" s="3974"/>
      <c r="V167" s="3974"/>
      <c r="W167" s="397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1115</v>
      </c>
      <c r="D168" s="1"/>
      <c r="E168" s="1"/>
      <c r="F168" s="1"/>
      <c r="G168" s="1"/>
      <c r="H168" s="82"/>
      <c r="I168" s="82"/>
      <c r="J168" s="82"/>
      <c r="K168" s="1331">
        <f>SUM(K166:K167)</f>
        <v>0</v>
      </c>
      <c r="L168" s="1331">
        <f>SUM(L166:L167)</f>
        <v>7800</v>
      </c>
      <c r="M168" s="1331">
        <f>SUM(M166:M167)</f>
        <v>18500</v>
      </c>
      <c r="N168" s="1331">
        <f>SUM(N166:N167)</f>
        <v>8800</v>
      </c>
      <c r="O168" s="1331">
        <f>SUM(O166:O167)</f>
        <v>0</v>
      </c>
      <c r="P168" s="1331">
        <f>SUM(K168:O168)</f>
        <v>35100</v>
      </c>
      <c r="S168" s="3973"/>
      <c r="T168" s="3974"/>
      <c r="U168" s="3974"/>
      <c r="V168" s="3974"/>
      <c r="W168" s="397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73"/>
      <c r="T169" s="3974"/>
      <c r="U169" s="3974"/>
      <c r="V169" s="3974"/>
      <c r="W169" s="397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523</v>
      </c>
      <c r="D170" s="1"/>
      <c r="E170" s="1"/>
      <c r="F170" s="1"/>
      <c r="G170" s="1"/>
      <c r="H170" s="82"/>
      <c r="I170" s="82"/>
      <c r="J170" s="82"/>
      <c r="K170" s="1329">
        <f>SUM(K168:K169)</f>
        <v>0</v>
      </c>
      <c r="L170" s="1329">
        <f>SUM(L168:L169)</f>
        <v>7800</v>
      </c>
      <c r="M170" s="1329">
        <f>SUM(M168:M169)</f>
        <v>18500</v>
      </c>
      <c r="N170" s="1329">
        <f>SUM(N168:N169)</f>
        <v>8800</v>
      </c>
      <c r="O170" s="1329">
        <f>SUM(O168:O169)</f>
        <v>0</v>
      </c>
      <c r="P170" s="1329">
        <f>SUM(K170:O170)</f>
        <v>35100</v>
      </c>
      <c r="S170" s="4004"/>
      <c r="T170" s="4005"/>
      <c r="U170" s="4005"/>
      <c r="V170" s="4005"/>
      <c r="W170" s="400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650</v>
      </c>
      <c r="M173" s="1554">
        <f>IF(OR(M67="",M67=0),"",M170/M67)</f>
        <v>925</v>
      </c>
      <c r="N173" s="1554">
        <f>IF(OR(N67="",N67=0),"",N170/N67)</f>
        <v>1100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723</v>
      </c>
      <c r="B176" s="13" t="s">
        <v>220</v>
      </c>
      <c r="Q176" s="8"/>
      <c r="R176" s="8"/>
      <c r="S176" s="13" t="s">
        <v>1797</v>
      </c>
      <c r="U176" s="405"/>
      <c r="JW176" s="443"/>
      <c r="KB176" s="443"/>
      <c r="LR176" s="2246"/>
      <c r="LX176" s="443"/>
      <c r="LY176" s="448"/>
      <c r="MN176" s="443"/>
      <c r="MP176" s="448"/>
    </row>
    <row r="177" spans="1:503" ht="2.25" customHeight="1">
      <c r="Q177" s="405"/>
      <c r="R177" s="405"/>
    </row>
    <row r="178" spans="1:503" s="90" customFormat="1" ht="15.6" customHeight="1">
      <c r="A178" s="1"/>
      <c r="B178" s="165" t="s">
        <v>993</v>
      </c>
      <c r="C178" s="110"/>
      <c r="D178" s="110"/>
      <c r="E178" s="110"/>
      <c r="F178" s="110"/>
      <c r="G178" s="110"/>
      <c r="H178" s="4033">
        <f>'Part VII-Pro Forma'!B9*M49</f>
        <v>4522.5600000000004</v>
      </c>
      <c r="I178" s="4034"/>
      <c r="J178" s="4035"/>
      <c r="K178" s="110"/>
      <c r="L178" s="1740" t="s">
        <v>2655</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1416</v>
      </c>
      <c r="C180" s="89"/>
      <c r="D180" s="89"/>
      <c r="E180" s="89"/>
      <c r="F180" s="89"/>
      <c r="G180" s="89"/>
      <c r="H180" s="89"/>
      <c r="I180" s="89"/>
      <c r="J180" s="873"/>
      <c r="K180" s="89"/>
      <c r="L180" s="875"/>
      <c r="M180" s="89"/>
      <c r="N180" s="89"/>
      <c r="O180" s="89"/>
      <c r="P180" s="89"/>
      <c r="Q180" s="111"/>
      <c r="S180" s="2374"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994</v>
      </c>
      <c r="C182" s="110"/>
      <c r="D182" s="110"/>
      <c r="E182" s="110"/>
      <c r="F182" s="110"/>
      <c r="H182" s="4036"/>
      <c r="I182" s="4036"/>
      <c r="J182" s="4036"/>
      <c r="K182" s="4036"/>
      <c r="L182" s="4036"/>
      <c r="M182" s="4036"/>
      <c r="N182" s="4036"/>
      <c r="O182" s="4036"/>
      <c r="P182" s="4036"/>
      <c r="Q182" s="4036"/>
      <c r="R182" s="837"/>
      <c r="S182" s="4011"/>
      <c r="T182" s="4012"/>
      <c r="U182" s="4012"/>
      <c r="V182" s="4012"/>
      <c r="W182" s="4013"/>
    </row>
    <row r="183" spans="1:503" ht="15.6" customHeight="1">
      <c r="B183" s="110" t="s">
        <v>722</v>
      </c>
      <c r="C183" s="4037"/>
      <c r="D183" s="4038"/>
      <c r="E183" s="4038"/>
      <c r="F183" s="4039"/>
      <c r="H183" s="4040"/>
      <c r="I183" s="4040"/>
      <c r="J183" s="4040"/>
      <c r="K183" s="4040"/>
      <c r="L183" s="4041"/>
      <c r="M183" s="4040"/>
      <c r="N183" s="4040"/>
      <c r="O183" s="4040"/>
      <c r="P183" s="4040"/>
      <c r="Q183" s="4040"/>
      <c r="R183" s="837"/>
      <c r="S183" s="3973"/>
      <c r="T183" s="3974"/>
      <c r="U183" s="3974"/>
      <c r="V183" s="3974"/>
      <c r="W183" s="3975"/>
    </row>
    <row r="184" spans="1:503" ht="15.6" customHeight="1">
      <c r="B184" s="110"/>
      <c r="C184" s="110" t="s">
        <v>906</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04"/>
      <c r="T184" s="4005"/>
      <c r="U184" s="4005"/>
      <c r="V184" s="4005"/>
      <c r="W184" s="4006"/>
    </row>
    <row r="185" spans="1:503" ht="15.6" customHeight="1">
      <c r="B185" s="880" t="s">
        <v>3494</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517</v>
      </c>
      <c r="C186" s="110"/>
      <c r="D186" s="110"/>
      <c r="E186" s="110"/>
      <c r="F186" s="110"/>
      <c r="H186" s="4036"/>
      <c r="I186" s="4036"/>
      <c r="J186" s="4036"/>
      <c r="K186" s="4036"/>
      <c r="L186" s="4036"/>
      <c r="M186" s="4036"/>
      <c r="N186" s="4036"/>
      <c r="O186" s="4036"/>
      <c r="P186" s="4036"/>
      <c r="Q186" s="4036"/>
      <c r="R186" s="837"/>
      <c r="S186" s="4011"/>
      <c r="T186" s="4012"/>
      <c r="U186" s="4012"/>
      <c r="V186" s="4012"/>
      <c r="W186" s="4013"/>
    </row>
    <row r="187" spans="1:503" ht="15.6" customHeight="1">
      <c r="B187" s="110" t="s">
        <v>722</v>
      </c>
      <c r="C187" s="4037"/>
      <c r="D187" s="4038"/>
      <c r="E187" s="4038"/>
      <c r="F187" s="4039"/>
      <c r="H187" s="4040"/>
      <c r="I187" s="4040"/>
      <c r="J187" s="4040"/>
      <c r="K187" s="4040"/>
      <c r="L187" s="4041"/>
      <c r="M187" s="4040"/>
      <c r="N187" s="4040"/>
      <c r="O187" s="4040"/>
      <c r="P187" s="4040"/>
      <c r="Q187" s="4040"/>
      <c r="R187" s="837"/>
      <c r="S187" s="3973"/>
      <c r="T187" s="3974"/>
      <c r="U187" s="3974"/>
      <c r="V187" s="3974"/>
      <c r="W187" s="397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04"/>
      <c r="T188" s="4005"/>
      <c r="U188" s="4005"/>
      <c r="V188" s="4005"/>
      <c r="W188" s="400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994</v>
      </c>
      <c r="C191" s="110"/>
      <c r="D191" s="110"/>
      <c r="E191" s="110"/>
      <c r="F191" s="110"/>
      <c r="H191" s="4036"/>
      <c r="I191" s="4036"/>
      <c r="J191" s="4036"/>
      <c r="K191" s="4036"/>
      <c r="L191" s="4042"/>
      <c r="M191" s="4036"/>
      <c r="N191" s="4036"/>
      <c r="O191" s="4036"/>
      <c r="P191" s="4036"/>
      <c r="Q191" s="4036"/>
      <c r="R191" s="837"/>
      <c r="S191" s="4011"/>
      <c r="T191" s="4012"/>
      <c r="U191" s="4012"/>
      <c r="V191" s="4012"/>
      <c r="W191" s="401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722</v>
      </c>
      <c r="C192" s="4037"/>
      <c r="D192" s="4038"/>
      <c r="E192" s="4038"/>
      <c r="F192" s="4039"/>
      <c r="H192" s="4040"/>
      <c r="I192" s="4040"/>
      <c r="J192" s="4040"/>
      <c r="K192" s="4040"/>
      <c r="L192" s="4041"/>
      <c r="M192" s="4040"/>
      <c r="N192" s="4040"/>
      <c r="O192" s="4040"/>
      <c r="P192" s="4040"/>
      <c r="Q192" s="4040"/>
      <c r="R192" s="837"/>
      <c r="S192" s="3973"/>
      <c r="T192" s="3974"/>
      <c r="U192" s="3974"/>
      <c r="V192" s="3974"/>
      <c r="W192" s="397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906</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04"/>
      <c r="T193" s="4005"/>
      <c r="U193" s="4005"/>
      <c r="V193" s="4005"/>
      <c r="W193" s="400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3494</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517</v>
      </c>
      <c r="C195" s="110"/>
      <c r="D195" s="110"/>
      <c r="E195" s="110"/>
      <c r="F195" s="110"/>
      <c r="H195" s="4036"/>
      <c r="I195" s="4036"/>
      <c r="J195" s="4036"/>
      <c r="K195" s="4036"/>
      <c r="L195" s="4042"/>
      <c r="M195" s="4036"/>
      <c r="N195" s="4036"/>
      <c r="O195" s="4036"/>
      <c r="P195" s="4036"/>
      <c r="Q195" s="4036"/>
      <c r="R195" s="837"/>
      <c r="S195" s="4011"/>
      <c r="T195" s="4012"/>
      <c r="U195" s="4012"/>
      <c r="V195" s="4012"/>
      <c r="W195" s="401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722</v>
      </c>
      <c r="C196" s="4037"/>
      <c r="D196" s="4038"/>
      <c r="E196" s="4038"/>
      <c r="F196" s="4039"/>
      <c r="H196" s="4040"/>
      <c r="I196" s="4040"/>
      <c r="J196" s="4040"/>
      <c r="K196" s="4040"/>
      <c r="L196" s="4041"/>
      <c r="M196" s="4040"/>
      <c r="N196" s="4040"/>
      <c r="O196" s="4040"/>
      <c r="P196" s="4040"/>
      <c r="Q196" s="4040"/>
      <c r="R196" s="837"/>
      <c r="S196" s="3973"/>
      <c r="T196" s="3974"/>
      <c r="U196" s="3974"/>
      <c r="V196" s="3974"/>
      <c r="W196" s="397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04"/>
      <c r="T197" s="4005"/>
      <c r="U197" s="4005"/>
      <c r="V197" s="4005"/>
      <c r="W197" s="400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994</v>
      </c>
      <c r="C200" s="110"/>
      <c r="D200" s="110"/>
      <c r="E200" s="110"/>
      <c r="F200" s="110"/>
      <c r="H200" s="4036"/>
      <c r="I200" s="4036"/>
      <c r="J200" s="4036"/>
      <c r="K200" s="4036"/>
      <c r="L200" s="4042"/>
      <c r="M200" s="4036"/>
      <c r="N200" s="4036"/>
      <c r="O200" s="4036"/>
      <c r="P200" s="4036"/>
      <c r="Q200" s="4036"/>
      <c r="R200" s="837"/>
      <c r="S200" s="4011"/>
      <c r="T200" s="4012"/>
      <c r="U200" s="4012"/>
      <c r="V200" s="4012"/>
      <c r="W200" s="401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722</v>
      </c>
      <c r="C201" s="4037"/>
      <c r="D201" s="4038"/>
      <c r="E201" s="4038"/>
      <c r="F201" s="4039"/>
      <c r="H201" s="4040"/>
      <c r="I201" s="4040"/>
      <c r="J201" s="4040"/>
      <c r="K201" s="4040"/>
      <c r="L201" s="4041"/>
      <c r="M201" s="4040"/>
      <c r="N201" s="4040"/>
      <c r="O201" s="4040"/>
      <c r="P201" s="4040"/>
      <c r="Q201" s="4040"/>
      <c r="R201" s="837"/>
      <c r="S201" s="3973"/>
      <c r="T201" s="3974"/>
      <c r="U201" s="3974"/>
      <c r="V201" s="3974"/>
      <c r="W201" s="397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906</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04"/>
      <c r="T202" s="4005"/>
      <c r="U202" s="4005"/>
      <c r="V202" s="4005"/>
      <c r="W202" s="400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3494</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517</v>
      </c>
      <c r="C204" s="110"/>
      <c r="D204" s="110"/>
      <c r="E204" s="110"/>
      <c r="F204" s="110"/>
      <c r="H204" s="4036"/>
      <c r="I204" s="4036"/>
      <c r="J204" s="4036"/>
      <c r="K204" s="4036"/>
      <c r="L204" s="4042"/>
      <c r="M204" s="4036"/>
      <c r="N204" s="4036"/>
      <c r="O204" s="4036"/>
      <c r="P204" s="4036"/>
      <c r="Q204" s="4036"/>
      <c r="R204" s="837"/>
      <c r="S204" s="4011"/>
      <c r="T204" s="4012"/>
      <c r="U204" s="4012"/>
      <c r="V204" s="4012"/>
      <c r="W204" s="401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722</v>
      </c>
      <c r="C205" s="4037"/>
      <c r="D205" s="4038"/>
      <c r="E205" s="4038"/>
      <c r="F205" s="4039"/>
      <c r="H205" s="4040"/>
      <c r="I205" s="4040"/>
      <c r="J205" s="4040"/>
      <c r="K205" s="4040"/>
      <c r="L205" s="4041"/>
      <c r="M205" s="4040"/>
      <c r="N205" s="4040"/>
      <c r="O205" s="4040"/>
      <c r="P205" s="4040"/>
      <c r="Q205" s="4040"/>
      <c r="R205" s="837"/>
      <c r="S205" s="3973"/>
      <c r="T205" s="3974"/>
      <c r="U205" s="3974"/>
      <c r="V205" s="3974"/>
      <c r="W205" s="397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04"/>
      <c r="T206" s="4005"/>
      <c r="U206" s="4005"/>
      <c r="V206" s="4005"/>
      <c r="W206" s="400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994</v>
      </c>
      <c r="C209" s="110"/>
      <c r="D209" s="110"/>
      <c r="E209" s="110"/>
      <c r="F209" s="110"/>
      <c r="H209" s="4036"/>
      <c r="I209" s="4036"/>
      <c r="J209" s="4036"/>
      <c r="K209" s="4036"/>
      <c r="L209" s="4042"/>
      <c r="M209" s="89"/>
      <c r="N209" s="89"/>
      <c r="O209" s="89"/>
      <c r="P209" s="89"/>
      <c r="Q209" s="89"/>
      <c r="R209" s="8"/>
      <c r="S209" s="4011"/>
      <c r="T209" s="4012"/>
      <c r="U209" s="4012"/>
      <c r="V209" s="4012"/>
      <c r="W209" s="4013"/>
    </row>
    <row r="210" spans="1:503" ht="15.6" customHeight="1">
      <c r="B210" s="110" t="s">
        <v>722</v>
      </c>
      <c r="C210" s="4037"/>
      <c r="D210" s="4038"/>
      <c r="E210" s="4038"/>
      <c r="F210" s="4039"/>
      <c r="H210" s="4040"/>
      <c r="I210" s="4040"/>
      <c r="J210" s="4040"/>
      <c r="K210" s="4040"/>
      <c r="L210" s="4041"/>
      <c r="M210" s="89"/>
      <c r="N210" s="89"/>
      <c r="O210" s="89"/>
      <c r="P210" s="89"/>
      <c r="Q210" s="89"/>
      <c r="R210" s="8"/>
      <c r="S210" s="3973"/>
      <c r="T210" s="3974"/>
      <c r="U210" s="3974"/>
      <c r="V210" s="3974"/>
      <c r="W210" s="3975"/>
    </row>
    <row r="211" spans="1:503" ht="15.6" customHeight="1">
      <c r="B211" s="110"/>
      <c r="C211" s="110" t="s">
        <v>906</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04"/>
      <c r="T211" s="4005"/>
      <c r="U211" s="4005"/>
      <c r="V211" s="4005"/>
      <c r="W211" s="4006"/>
    </row>
    <row r="212" spans="1:503" ht="15.6" customHeight="1">
      <c r="B212" s="880" t="s">
        <v>3494</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517</v>
      </c>
      <c r="C213" s="110"/>
      <c r="D213" s="110"/>
      <c r="E213" s="110"/>
      <c r="F213" s="110"/>
      <c r="H213" s="4036"/>
      <c r="I213" s="4036"/>
      <c r="J213" s="4036"/>
      <c r="K213" s="4036"/>
      <c r="L213" s="4042"/>
      <c r="M213" s="89"/>
      <c r="N213" s="89"/>
      <c r="O213" s="89"/>
      <c r="P213" s="89"/>
      <c r="Q213" s="89"/>
      <c r="R213" s="8"/>
      <c r="S213" s="4011"/>
      <c r="T213" s="4012"/>
      <c r="U213" s="4012"/>
      <c r="V213" s="4012"/>
      <c r="W213" s="4013"/>
    </row>
    <row r="214" spans="1:503" ht="15.6" customHeight="1">
      <c r="B214" s="110" t="s">
        <v>722</v>
      </c>
      <c r="C214" s="4037"/>
      <c r="D214" s="4038"/>
      <c r="E214" s="4038"/>
      <c r="F214" s="4039"/>
      <c r="H214" s="4040"/>
      <c r="I214" s="4040"/>
      <c r="J214" s="4040"/>
      <c r="K214" s="4040"/>
      <c r="L214" s="4041"/>
      <c r="M214" s="89"/>
      <c r="N214" s="89"/>
      <c r="O214" s="89"/>
      <c r="P214" s="89"/>
      <c r="Q214" s="89"/>
      <c r="R214" s="8"/>
      <c r="S214" s="3973"/>
      <c r="T214" s="3974"/>
      <c r="U214" s="3974"/>
      <c r="V214" s="3974"/>
      <c r="W214" s="397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04"/>
      <c r="T215" s="4005"/>
      <c r="U215" s="4005"/>
      <c r="V215" s="4005"/>
      <c r="W215" s="4006"/>
    </row>
    <row r="216" spans="1:503" ht="2.25" customHeight="1">
      <c r="B216" s="13"/>
      <c r="F216" s="34"/>
      <c r="G216" s="34"/>
      <c r="K216" s="16"/>
      <c r="Q216" s="8"/>
      <c r="R216" s="8"/>
    </row>
    <row r="217" spans="1:503" s="90"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1263</v>
      </c>
      <c r="C219" s="1"/>
      <c r="D219" s="1"/>
      <c r="E219" s="1"/>
      <c r="F219" s="27"/>
      <c r="G219" s="27"/>
      <c r="H219" s="1"/>
      <c r="I219" s="10" t="s">
        <v>1349</v>
      </c>
      <c r="K219" s="1"/>
      <c r="L219" s="1"/>
      <c r="M219" s="1"/>
      <c r="N219" s="1"/>
      <c r="O219" s="10" t="s">
        <v>1352</v>
      </c>
      <c r="P219" s="1"/>
      <c r="Q219" s="402">
        <f>IF(OR('Part VII-Pro Forma'!$B$21 = "Choose Mgt Fee",'Part VII-Pro Forma'!$B$21 = "Choose One!"), 0,- 'Part VII-Pro Forma'!$B$21)</f>
        <v>15015</v>
      </c>
      <c r="R219" s="1"/>
      <c r="S219" s="4011"/>
      <c r="T219" s="4012"/>
      <c r="U219" s="4012"/>
      <c r="V219" s="4012"/>
      <c r="W219" s="401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43">
        <v>28500</v>
      </c>
      <c r="G220" s="4044"/>
      <c r="H220" s="1"/>
      <c r="I220" s="1" t="s">
        <v>1350</v>
      </c>
      <c r="K220" s="1"/>
      <c r="L220" s="4043"/>
      <c r="M220" s="4044"/>
      <c r="N220" s="1"/>
      <c r="O220" s="391">
        <f>+Q219/(P67*0.93)</f>
        <v>403.62903225806451</v>
      </c>
      <c r="P220" s="66" t="s">
        <v>2665</v>
      </c>
      <c r="Q220" s="1"/>
      <c r="R220" s="837"/>
      <c r="S220" s="3973"/>
      <c r="T220" s="3974"/>
      <c r="U220" s="3974"/>
      <c r="V220" s="3974"/>
      <c r="W220" s="397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1339</v>
      </c>
      <c r="C221" s="1"/>
      <c r="D221" s="1"/>
      <c r="E221" s="1"/>
      <c r="F221" s="4045">
        <v>24000</v>
      </c>
      <c r="G221" s="4046"/>
      <c r="H221" s="1"/>
      <c r="I221" s="1" t="s">
        <v>1351</v>
      </c>
      <c r="K221" s="1"/>
      <c r="L221" s="4047"/>
      <c r="M221" s="4048"/>
      <c r="N221" s="1"/>
      <c r="O221" s="391">
        <f>+Q219/(P67*0.93)/12</f>
        <v>33.63575268817204</v>
      </c>
      <c r="P221" s="66" t="s">
        <v>2666</v>
      </c>
      <c r="Q221" s="1"/>
      <c r="R221" s="837"/>
      <c r="S221" s="3973"/>
      <c r="T221" s="3974"/>
      <c r="U221" s="3974"/>
      <c r="V221" s="3974"/>
      <c r="W221" s="397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1212</v>
      </c>
      <c r="C222" s="1"/>
      <c r="D222" s="1"/>
      <c r="E222" s="1"/>
      <c r="F222" s="4045"/>
      <c r="G222" s="4046"/>
      <c r="H222" s="1"/>
      <c r="I222" s="1"/>
      <c r="K222" s="122" t="s">
        <v>187</v>
      </c>
      <c r="L222" s="2674">
        <f>SUM(L220:M221)</f>
        <v>0</v>
      </c>
      <c r="M222" s="2675"/>
      <c r="N222" s="1"/>
      <c r="O222" s="36" t="s">
        <v>3543</v>
      </c>
      <c r="P222" s="930"/>
      <c r="Q222" s="930"/>
      <c r="R222" s="837"/>
      <c r="S222" s="3973"/>
      <c r="T222" s="3974"/>
      <c r="U222" s="3974"/>
      <c r="V222" s="3974"/>
      <c r="W222" s="397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045"/>
      <c r="G223" s="4046"/>
      <c r="H223" s="1"/>
      <c r="I223" s="1"/>
      <c r="K223" s="1"/>
      <c r="L223" s="1"/>
      <c r="M223" s="1"/>
      <c r="N223" s="1"/>
      <c r="R223" s="837"/>
      <c r="S223" s="3973"/>
      <c r="T223" s="3974"/>
      <c r="U223" s="3974"/>
      <c r="V223" s="3974"/>
      <c r="W223" s="397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045">
        <v>3750</v>
      </c>
      <c r="G224" s="4046"/>
      <c r="H224" s="1"/>
      <c r="I224" s="1"/>
      <c r="K224" s="1"/>
      <c r="L224" s="1"/>
      <c r="M224" s="1"/>
      <c r="N224" s="1"/>
      <c r="R224" s="837"/>
      <c r="S224" s="3973"/>
      <c r="T224" s="3974"/>
      <c r="U224" s="3974"/>
      <c r="V224" s="3974"/>
      <c r="W224" s="397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49"/>
      <c r="C225" s="4050"/>
      <c r="D225" s="4050"/>
      <c r="E225" s="4051"/>
      <c r="F225" s="4047"/>
      <c r="G225" s="4048"/>
      <c r="H225" s="1"/>
      <c r="I225" s="10" t="s">
        <v>1265</v>
      </c>
      <c r="K225" s="1"/>
      <c r="L225" s="1"/>
      <c r="M225" s="1"/>
      <c r="N225" s="1"/>
      <c r="R225" s="837"/>
      <c r="S225" s="3973"/>
      <c r="T225" s="3974"/>
      <c r="U225" s="3974"/>
      <c r="V225" s="3974"/>
      <c r="W225" s="397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56250</v>
      </c>
      <c r="G226" s="2675"/>
      <c r="H226" s="1"/>
      <c r="I226" s="1" t="s">
        <v>1568</v>
      </c>
      <c r="K226" s="1"/>
      <c r="L226" s="4052">
        <v>5000</v>
      </c>
      <c r="M226" s="4053"/>
      <c r="N226" s="1"/>
      <c r="R226" s="1"/>
      <c r="S226" s="3973"/>
      <c r="T226" s="3974"/>
      <c r="U226" s="3974"/>
      <c r="V226" s="3974"/>
      <c r="W226" s="397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54">
        <v>4000</v>
      </c>
      <c r="M227" s="4055"/>
      <c r="N227" s="2658" t="str">
        <f>IF(Q229="","",IF(Q227&lt;Q229, "WARNING! OE below required minimum.",""))</f>
        <v/>
      </c>
      <c r="O227" s="10" t="s">
        <v>2134</v>
      </c>
      <c r="P227" s="5"/>
      <c r="Q227" s="401">
        <f>F226+F235+F246+L222+L230+L239+L246+Q219</f>
        <v>151008</v>
      </c>
      <c r="R227" s="5"/>
      <c r="S227" s="3973"/>
      <c r="T227" s="3974"/>
      <c r="U227" s="3974"/>
      <c r="V227" s="3974"/>
      <c r="W227" s="397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1264</v>
      </c>
      <c r="C228" s="1"/>
      <c r="D228" s="9"/>
      <c r="E228" s="1"/>
      <c r="F228" s="1"/>
      <c r="G228" s="1"/>
      <c r="H228" s="1"/>
      <c r="I228" s="1" t="s">
        <v>1569</v>
      </c>
      <c r="K228" s="1"/>
      <c r="L228" s="4054">
        <v>4000</v>
      </c>
      <c r="M228" s="4055"/>
      <c r="N228" s="2658"/>
      <c r="O228" s="66" t="s">
        <v>2667</v>
      </c>
      <c r="P228" s="391">
        <f>+Q227/P67</f>
        <v>3775.2</v>
      </c>
      <c r="R228" s="838"/>
      <c r="S228" s="3973"/>
      <c r="T228" s="3974"/>
      <c r="U228" s="3974"/>
      <c r="V228" s="3974"/>
      <c r="W228" s="397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1344</v>
      </c>
      <c r="C229" s="1"/>
      <c r="D229" s="9"/>
      <c r="E229" s="1"/>
      <c r="F229" s="4043">
        <v>3000</v>
      </c>
      <c r="G229" s="4044"/>
      <c r="H229" s="1"/>
      <c r="I229" s="4056" t="s">
        <v>49</v>
      </c>
      <c r="J229" s="4057"/>
      <c r="K229" s="4058"/>
      <c r="L229" s="4059"/>
      <c r="M229" s="4060"/>
      <c r="N229" s="2658"/>
      <c r="P229" s="931" t="s">
        <v>3544</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150000</v>
      </c>
      <c r="R229" s="1"/>
      <c r="S229" s="3973"/>
      <c r="T229" s="3974"/>
      <c r="U229" s="3974"/>
      <c r="V229" s="3974"/>
      <c r="W229" s="397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1345</v>
      </c>
      <c r="C230" s="1"/>
      <c r="D230" s="9"/>
      <c r="E230" s="1"/>
      <c r="F230" s="4045">
        <v>500</v>
      </c>
      <c r="G230" s="4046"/>
      <c r="H230" s="1"/>
      <c r="I230" s="10"/>
      <c r="K230" s="11" t="s">
        <v>187</v>
      </c>
      <c r="L230" s="2676">
        <f>SUM(L226:L229)</f>
        <v>13000</v>
      </c>
      <c r="M230" s="2677"/>
      <c r="N230" s="2658"/>
      <c r="R230" s="1"/>
      <c r="S230" s="3973"/>
      <c r="T230" s="3974"/>
      <c r="U230" s="3974"/>
      <c r="V230" s="3974"/>
      <c r="W230" s="397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1346</v>
      </c>
      <c r="C231" s="1"/>
      <c r="D231" s="9"/>
      <c r="E231" s="1"/>
      <c r="F231" s="4045">
        <v>2500</v>
      </c>
      <c r="G231" s="4046"/>
      <c r="H231" s="1"/>
      <c r="N231" s="1"/>
      <c r="R231" s="2392"/>
      <c r="S231" s="3973"/>
      <c r="T231" s="3974"/>
      <c r="U231" s="3974"/>
      <c r="V231" s="3974"/>
      <c r="W231" s="397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45"/>
      <c r="G232" s="4046"/>
      <c r="H232" s="1"/>
      <c r="L232" s="1"/>
      <c r="M232" s="1"/>
      <c r="N232" s="1"/>
      <c r="R232" s="2392"/>
      <c r="S232" s="3973"/>
      <c r="T232" s="3974"/>
      <c r="U232" s="3974"/>
      <c r="V232" s="3974"/>
      <c r="W232" s="397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1566</v>
      </c>
      <c r="C233" s="1"/>
      <c r="D233" s="9"/>
      <c r="E233" s="1"/>
      <c r="F233" s="4045">
        <v>4000</v>
      </c>
      <c r="G233" s="4046"/>
      <c r="H233" s="1"/>
      <c r="I233" s="10" t="s">
        <v>1347</v>
      </c>
      <c r="K233" s="2361" t="s">
        <v>4434</v>
      </c>
      <c r="O233" s="1590" t="s">
        <v>3358</v>
      </c>
      <c r="P233" s="10"/>
      <c r="Q233" s="4061">
        <v>14000</v>
      </c>
      <c r="S233" s="3973"/>
      <c r="T233" s="3974"/>
      <c r="U233" s="3974"/>
      <c r="V233" s="3974"/>
      <c r="W233" s="397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49" t="s">
        <v>49</v>
      </c>
      <c r="C234" s="4050"/>
      <c r="D234" s="4050"/>
      <c r="E234" s="4051"/>
      <c r="F234" s="4047"/>
      <c r="G234" s="4048"/>
      <c r="H234" s="1"/>
      <c r="I234" s="1" t="s">
        <v>1340</v>
      </c>
      <c r="K234" s="452">
        <f>L234/12/P67</f>
        <v>8.3333333333333321</v>
      </c>
      <c r="L234" s="4052">
        <v>4000</v>
      </c>
      <c r="M234" s="4053"/>
      <c r="N234" s="2681" t="str">
        <f>IF(Q233&lt;Q242, "WARNING! RR proposed is below the DCA required minimum.","")</f>
        <v/>
      </c>
      <c r="O234" s="953" t="s">
        <v>4433</v>
      </c>
      <c r="P234" s="948"/>
      <c r="Q234" s="954">
        <f>Q233/P242</f>
        <v>350</v>
      </c>
      <c r="R234" s="837"/>
      <c r="S234" s="3973"/>
      <c r="T234" s="3974"/>
      <c r="U234" s="3974"/>
      <c r="V234" s="3974"/>
      <c r="W234" s="397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10000</v>
      </c>
      <c r="G235" s="2675"/>
      <c r="H235" s="1"/>
      <c r="I235" s="1" t="s">
        <v>1341</v>
      </c>
      <c r="K235" s="452">
        <f>L235/12/P67</f>
        <v>0</v>
      </c>
      <c r="L235" s="4054"/>
      <c r="M235" s="4055"/>
      <c r="N235" s="2682"/>
      <c r="O235" s="2683" t="s">
        <v>3551</v>
      </c>
      <c r="P235" s="2684"/>
      <c r="Q235" s="2685"/>
      <c r="S235" s="3973"/>
      <c r="T235" s="3974"/>
      <c r="U235" s="3974"/>
      <c r="V235" s="3974"/>
      <c r="W235" s="397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22.916666666666664</v>
      </c>
      <c r="L236" s="4054">
        <v>11000</v>
      </c>
      <c r="M236" s="4055"/>
      <c r="N236" s="2682"/>
      <c r="O236" s="947" t="s">
        <v>2632</v>
      </c>
      <c r="P236" s="834" t="s">
        <v>3631</v>
      </c>
      <c r="Q236" s="949" t="s">
        <v>3321</v>
      </c>
      <c r="R236" s="5"/>
      <c r="S236" s="3973"/>
      <c r="T236" s="3974"/>
      <c r="U236" s="3974"/>
      <c r="V236" s="3974"/>
      <c r="W236" s="397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1266</v>
      </c>
      <c r="C237" s="1"/>
      <c r="D237" s="9"/>
      <c r="E237" s="1"/>
      <c r="F237" s="1"/>
      <c r="G237" s="1"/>
      <c r="H237" s="1"/>
      <c r="I237" s="1" t="s">
        <v>1343</v>
      </c>
      <c r="K237" s="1"/>
      <c r="L237" s="4054">
        <v>5000</v>
      </c>
      <c r="M237" s="4055"/>
      <c r="N237" s="2682"/>
      <c r="O237" s="598" t="s">
        <v>37</v>
      </c>
      <c r="P237" s="599"/>
      <c r="Q237" s="600"/>
      <c r="R237" s="838"/>
      <c r="S237" s="3973"/>
      <c r="T237" s="3974"/>
      <c r="U237" s="3974"/>
      <c r="V237" s="3974"/>
      <c r="W237" s="397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1570</v>
      </c>
      <c r="C238" s="1"/>
      <c r="D238" s="9"/>
      <c r="E238" s="1"/>
      <c r="F238" s="4062">
        <v>5000</v>
      </c>
      <c r="G238" s="4063"/>
      <c r="H238" s="1"/>
      <c r="I238" s="4056" t="s">
        <v>49</v>
      </c>
      <c r="J238" s="4057"/>
      <c r="K238" s="4058"/>
      <c r="L238" s="4059"/>
      <c r="M238" s="4060"/>
      <c r="N238" s="2682"/>
      <c r="O238" s="482" t="s">
        <v>3313</v>
      </c>
      <c r="P238" s="839" t="str">
        <f>CONCATENATE(SUM(MP48:MT48)," units x $",'DCA Underwriting Assumptions'!$Q$68," =")</f>
        <v>40 units x $350 =</v>
      </c>
      <c r="Q238" s="601">
        <f>SUM(MP48:MT48)*'DCA Underwriting Assumptions'!$Q$68</f>
        <v>14000</v>
      </c>
      <c r="R238" s="4064"/>
      <c r="S238" s="3973"/>
      <c r="T238" s="3974"/>
      <c r="U238" s="3974"/>
      <c r="V238" s="3974"/>
      <c r="W238" s="397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1571</v>
      </c>
      <c r="C239" s="1"/>
      <c r="D239" s="9"/>
      <c r="E239" s="1"/>
      <c r="F239" s="4065">
        <v>4000</v>
      </c>
      <c r="G239" s="4066"/>
      <c r="H239" s="1"/>
      <c r="I239" s="1"/>
      <c r="K239" s="11" t="s">
        <v>187</v>
      </c>
      <c r="L239" s="2676">
        <f>SUM(L234:L238)</f>
        <v>20000</v>
      </c>
      <c r="M239" s="2677"/>
      <c r="N239" s="2682"/>
      <c r="O239" s="482" t="s">
        <v>3312</v>
      </c>
      <c r="P239" s="839" t="str">
        <f>CONCATENATE(SUM(MU48:MY48)," units x $",'DCA Underwriting Assumptions'!$Q$69," =")</f>
        <v>0 units x $250 =</v>
      </c>
      <c r="Q239" s="601">
        <f>SUM(MU48:MY48)*'DCA Underwriting Assumptions'!$Q$69</f>
        <v>0</v>
      </c>
      <c r="S239" s="3973"/>
      <c r="T239" s="3974"/>
      <c r="U239" s="3974"/>
      <c r="V239" s="3974"/>
      <c r="W239" s="397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1572</v>
      </c>
      <c r="C240" s="1"/>
      <c r="D240" s="9"/>
      <c r="E240" s="1"/>
      <c r="F240" s="4065">
        <v>1000</v>
      </c>
      <c r="G240" s="4066"/>
      <c r="H240" s="1"/>
      <c r="K240" s="1"/>
      <c r="L240" s="1"/>
      <c r="N240" s="2682"/>
      <c r="O240" s="602" t="s">
        <v>3316</v>
      </c>
      <c r="P240" s="839" t="str">
        <f>CONCATENATE(SUM(MZ48:ND48)," units x $",'DCA Underwriting Assumptions'!$Q$70," =")</f>
        <v>0 units x $420 =</v>
      </c>
      <c r="Q240" s="601">
        <f>SUM(MZ48:ND48)*'DCA Underwriting Assumptions'!$Q$70</f>
        <v>0</v>
      </c>
      <c r="R240" s="834"/>
      <c r="S240" s="3973"/>
      <c r="T240" s="3974"/>
      <c r="U240" s="3974"/>
      <c r="V240" s="3974"/>
      <c r="W240" s="397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980</v>
      </c>
      <c r="C241" s="1"/>
      <c r="D241" s="9"/>
      <c r="E241" s="1"/>
      <c r="F241" s="4045">
        <v>2500</v>
      </c>
      <c r="G241" s="4046"/>
      <c r="H241" s="1"/>
      <c r="O241" s="602" t="s">
        <v>3311</v>
      </c>
      <c r="P241" s="839" t="str">
        <f>CONCATENATE(P125," units x $",'DCA Underwriting Assumptions'!$Q$70," =")</f>
        <v>0 units x $420 =</v>
      </c>
      <c r="Q241" s="601">
        <f>P125*'DCA Underwriting Assumptions'!$Q$70</f>
        <v>0</v>
      </c>
      <c r="R241" s="599"/>
      <c r="S241" s="3973"/>
      <c r="T241" s="3974"/>
      <c r="U241" s="3974"/>
      <c r="V241" s="3974"/>
      <c r="W241" s="397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981</v>
      </c>
      <c r="C242" s="1"/>
      <c r="D242" s="9"/>
      <c r="E242" s="1"/>
      <c r="F242" s="4045">
        <v>1500</v>
      </c>
      <c r="G242" s="4046"/>
      <c r="H242" s="1"/>
      <c r="I242" s="10" t="s">
        <v>1348</v>
      </c>
      <c r="O242" s="950" t="s">
        <v>2635</v>
      </c>
      <c r="P242" s="951">
        <f>SUM(MP48:MT48)+SUM(MU48:MY48)+SUM(MZ48:ND48)+P125</f>
        <v>40</v>
      </c>
      <c r="Q242" s="952">
        <f>SUM(Q238:Q241)</f>
        <v>14000</v>
      </c>
      <c r="R242" s="839"/>
      <c r="S242" s="3973"/>
      <c r="T242" s="3974"/>
      <c r="U242" s="3974"/>
      <c r="V242" s="3974"/>
      <c r="W242" s="397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982</v>
      </c>
      <c r="C243" s="1"/>
      <c r="D243" s="9"/>
      <c r="E243" s="1"/>
      <c r="F243" s="4045"/>
      <c r="G243" s="4046"/>
      <c r="H243" s="1"/>
      <c r="I243" s="94" t="s">
        <v>4516</v>
      </c>
      <c r="K243" s="1"/>
      <c r="L243" s="4052">
        <v>10266</v>
      </c>
      <c r="M243" s="4053"/>
      <c r="R243" s="839"/>
      <c r="S243" s="3973"/>
      <c r="T243" s="3974"/>
      <c r="U243" s="3974"/>
      <c r="V243" s="3974"/>
      <c r="W243" s="397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847</v>
      </c>
      <c r="C244" s="1"/>
      <c r="D244" s="9"/>
      <c r="E244" s="1"/>
      <c r="F244" s="4045">
        <f>250*40*(0.5)</f>
        <v>5000</v>
      </c>
      <c r="G244" s="4046"/>
      <c r="H244" s="1"/>
      <c r="I244" s="1" t="s">
        <v>143</v>
      </c>
      <c r="K244" s="1"/>
      <c r="L244" s="4054">
        <v>7477</v>
      </c>
      <c r="M244" s="4055"/>
      <c r="R244" s="839"/>
      <c r="S244" s="3973"/>
      <c r="T244" s="3974"/>
      <c r="U244" s="3974"/>
      <c r="V244" s="3974"/>
      <c r="W244" s="397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49"/>
      <c r="C245" s="4050"/>
      <c r="D245" s="4050"/>
      <c r="E245" s="4051"/>
      <c r="F245" s="4047"/>
      <c r="G245" s="4048"/>
      <c r="H245" s="1"/>
      <c r="I245" s="4056" t="s">
        <v>49</v>
      </c>
      <c r="J245" s="4057"/>
      <c r="K245" s="4058"/>
      <c r="L245" s="4067"/>
      <c r="M245" s="4068"/>
      <c r="N245" s="1"/>
      <c r="R245" s="839"/>
      <c r="S245" s="3973"/>
      <c r="T245" s="3974"/>
      <c r="U245" s="3974"/>
      <c r="V245" s="3974"/>
      <c r="W245" s="397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19000</v>
      </c>
      <c r="G246" s="2680"/>
      <c r="H246" s="1"/>
      <c r="K246" s="11" t="s">
        <v>187</v>
      </c>
      <c r="L246" s="2676">
        <f>SUM(L242:L245)</f>
        <v>17743</v>
      </c>
      <c r="M246" s="2678"/>
      <c r="N246" s="1"/>
      <c r="O246" s="10" t="s">
        <v>2135</v>
      </c>
      <c r="P246" s="1"/>
      <c r="Q246" s="401">
        <f>Q227+Q233</f>
        <v>165008</v>
      </c>
      <c r="R246" s="839"/>
      <c r="S246" s="4004"/>
      <c r="T246" s="4005"/>
      <c r="U246" s="4005"/>
      <c r="V246" s="4005"/>
      <c r="W246" s="400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1749</v>
      </c>
      <c r="B250" s="10" t="s">
        <v>4420</v>
      </c>
      <c r="C250" s="11"/>
      <c r="D250" s="1"/>
      <c r="E250" s="1"/>
      <c r="H250" s="12"/>
      <c r="I250" s="1489" t="s">
        <v>4421</v>
      </c>
      <c r="K250" s="4069"/>
      <c r="L250" s="4070"/>
      <c r="M250" s="1552" t="s">
        <v>4476</v>
      </c>
      <c r="N250" s="4071"/>
      <c r="O250" s="10" t="s">
        <v>4423</v>
      </c>
      <c r="P250" s="1"/>
      <c r="Q250" s="4072">
        <f>K250*N250</f>
        <v>0</v>
      </c>
      <c r="R250" s="837"/>
      <c r="S250" s="4073"/>
      <c r="T250" s="4074"/>
      <c r="U250" s="4074"/>
      <c r="V250" s="4074"/>
      <c r="W250" s="407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35" t="s">
        <v>1726</v>
      </c>
      <c r="K252" s="1489" t="s">
        <v>4479</v>
      </c>
      <c r="L252" s="3935" t="s">
        <v>1726</v>
      </c>
      <c r="M252" s="72" t="s">
        <v>4480</v>
      </c>
      <c r="N252" s="4071"/>
      <c r="O252" s="461" t="s">
        <v>4478</v>
      </c>
      <c r="P252" s="1"/>
      <c r="Q252" s="4076"/>
      <c r="R252" s="837"/>
      <c r="S252" s="4073"/>
      <c r="T252" s="4074"/>
      <c r="U252" s="4074"/>
      <c r="V252" s="4074"/>
      <c r="W252" s="407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554</v>
      </c>
      <c r="N254" s="13" t="s">
        <v>4419</v>
      </c>
      <c r="O254" s="13"/>
    </row>
    <row r="255" spans="1:503" ht="408.75" customHeight="1">
      <c r="A255" s="3800" t="s">
        <v>7097</v>
      </c>
      <c r="B255" s="3800"/>
      <c r="C255" s="3800"/>
      <c r="D255" s="3800"/>
      <c r="E255" s="3800"/>
      <c r="F255" s="3800"/>
      <c r="G255" s="3800"/>
      <c r="H255" s="3800"/>
      <c r="I255" s="3800"/>
      <c r="J255" s="3800"/>
      <c r="K255" s="3800"/>
      <c r="L255" s="3800"/>
      <c r="M255" s="3800"/>
      <c r="N255" s="3801"/>
      <c r="O255" s="3801"/>
      <c r="P255" s="3801"/>
      <c r="Q255" s="3801"/>
      <c r="R255" s="2686"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yyl9IO6dAUM85LsmBRK5/2z9aK0xVQ6SeNR2NqauL4RZzf/pj5EAxNGbqFrTBQCj3skEi1QmdeGoEyv96zmRQ==" saltValue="gWJPhLOfO60PD2gOD4uvI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0" stopIfTrue="1">
      <formula>AND($B10="PHA", $H10&gt;0)</formula>
    </cfRule>
  </conditionalFormatting>
  <conditionalFormatting sqref="U126 U101:U103 U112 U91:U92">
    <cfRule type="cellIs" dxfId="166" priority="31" stopIfTrue="1" operator="greaterThan">
      <formula>0</formula>
    </cfRule>
  </conditionalFormatting>
  <conditionalFormatting sqref="A10:A47">
    <cfRule type="cellIs" dxfId="165" priority="32" stopIfTrue="1" operator="equal">
      <formula>1</formula>
    </cfRule>
  </conditionalFormatting>
  <conditionalFormatting sqref="J10:J47">
    <cfRule type="expression" priority="29" stopIfTrue="1">
      <formula>AND($B10="PHA", $H10&gt;0)</formula>
    </cfRule>
  </conditionalFormatting>
  <conditionalFormatting sqref="P178">
    <cfRule type="cellIs" dxfId="164" priority="28" operator="greaterThan">
      <formula>0.02</formula>
    </cfRule>
  </conditionalFormatting>
  <conditionalFormatting sqref="Q10:Q11 Q23:Q47 Q15:Q16">
    <cfRule type="expression" dxfId="163" priority="26">
      <formula>AND($P$10="New Construction",$Q$10="Yes")</formula>
    </cfRule>
  </conditionalFormatting>
  <conditionalFormatting sqref="K56:P67 K158:P170 K138:P156 K93:P135">
    <cfRule type="cellIs" dxfId="162" priority="22" operator="equal">
      <formula>0</formula>
    </cfRule>
  </conditionalFormatting>
  <conditionalFormatting sqref="B49:C49">
    <cfRule type="cellIs" dxfId="161" priority="17" operator="greaterThan">
      <formula>60.0000001</formula>
    </cfRule>
  </conditionalFormatting>
  <conditionalFormatting sqref="L53:O53">
    <cfRule type="containsText" dxfId="160" priority="16" operator="containsText" text="&lt;&lt; Select LIHTC Election &gt;&gt;">
      <formula>NOT(ISERROR(SEARCH("&lt;&lt; Select LIHTC Election &gt;&gt;",L53)))</formula>
    </cfRule>
  </conditionalFormatting>
  <conditionalFormatting sqref="U157">
    <cfRule type="cellIs" dxfId="159" priority="14" stopIfTrue="1" operator="greaterThan">
      <formula>0</formula>
    </cfRule>
  </conditionalFormatting>
  <conditionalFormatting sqref="K157:P157">
    <cfRule type="cellIs" dxfId="158" priority="13" operator="equal">
      <formula>0</formula>
    </cfRule>
  </conditionalFormatting>
  <conditionalFormatting sqref="L102:O102">
    <cfRule type="cellIs" dxfId="157" priority="7" operator="equal">
      <formula>"&lt;&lt; Select LIHTC Election &gt;&gt;"</formula>
    </cfRule>
    <cfRule type="containsText" dxfId="156" priority="11" operator="containsText" text="&lt;&lt; Select Election or Income Averaging &gt;&gt;">
      <formula>NOT(ISERROR(SEARCH("&lt;&lt; Select Election or Income Averaging &gt;&gt;",L102)))</formula>
    </cfRule>
  </conditionalFormatting>
  <conditionalFormatting sqref="L147:O147">
    <cfRule type="cellIs" dxfId="155" priority="6" operator="equal">
      <formula>"&lt;&lt; Select LIHTC Election &gt;&gt;"</formula>
    </cfRule>
    <cfRule type="containsText" dxfId="154" priority="9" operator="containsText" text="&lt;&lt; Select Election or Income Averaging &gt;&gt;">
      <formula>NOT(ISERROR(SEARCH("&lt;&lt; Select Election or Income Averaging &gt;&gt;",L147)))</formula>
    </cfRule>
  </conditionalFormatting>
  <conditionalFormatting sqref="K136:P137">
    <cfRule type="cellIs" dxfId="153" priority="5" operator="equal">
      <formula>0</formula>
    </cfRule>
  </conditionalFormatting>
  <conditionalFormatting sqref="A5:A9">
    <cfRule type="cellIs" dxfId="152" priority="4" operator="equal">
      <formula>"Finish Row!"</formula>
    </cfRule>
  </conditionalFormatting>
  <conditionalFormatting sqref="U69">
    <cfRule type="cellIs" dxfId="151" priority="3" stopIfTrue="1" operator="greaterThan">
      <formula>0</formula>
    </cfRule>
  </conditionalFormatting>
  <conditionalFormatting sqref="Q17:Q22">
    <cfRule type="expression" dxfId="150" priority="2">
      <formula>AND($O$10="New Construction",$P$10="Yes")</formula>
    </cfRule>
  </conditionalFormatting>
  <conditionalFormatting sqref="Q12:Q14">
    <cfRule type="expression" dxfId="149"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5" zoomScale="180" zoomScaleNormal="180" workbookViewId="0">
      <selection activeCell="A25"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2020-050 Twin Oaks Commons, Ludowici, Long County</v>
      </c>
      <c r="B1" s="4077"/>
      <c r="C1" s="4077"/>
      <c r="D1" s="4077"/>
      <c r="E1" s="4077"/>
      <c r="F1" s="4077"/>
      <c r="G1" s="4077"/>
      <c r="H1" s="4077"/>
      <c r="I1" s="4077"/>
      <c r="J1" s="4077"/>
      <c r="K1" s="4078"/>
      <c r="L1" s="10"/>
      <c r="M1" s="10"/>
      <c r="N1" s="2693" t="str">
        <f>A1</f>
        <v>PART SEVEN - OPERATING PRO FORMA  -  2020-050 Twin Oaks Commons, Ludowici, Long County</v>
      </c>
      <c r="O1" s="2693"/>
      <c r="P1" s="10"/>
    </row>
    <row r="2" spans="1:19" ht="13.5" customHeight="1">
      <c r="A2" s="479"/>
      <c r="B2" s="479"/>
      <c r="C2" s="479"/>
      <c r="D2" s="479"/>
      <c r="E2" s="479"/>
      <c r="F2" s="479"/>
      <c r="G2" s="479"/>
      <c r="H2" s="479"/>
      <c r="I2" s="479"/>
      <c r="J2" s="479"/>
      <c r="K2" s="479"/>
      <c r="N2" s="2694" t="s">
        <v>1797</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4" customHeight="1">
      <c r="A4" s="16"/>
      <c r="B4" s="16"/>
      <c r="C4" s="2695"/>
      <c r="H4" s="16"/>
      <c r="I4" s="16"/>
    </row>
    <row r="5" spans="1:19" ht="13.5" customHeight="1">
      <c r="A5" s="16" t="s">
        <v>2136</v>
      </c>
      <c r="B5" s="77">
        <v>0.02</v>
      </c>
      <c r="C5" s="2695"/>
      <c r="D5" s="2671" t="s">
        <v>3828</v>
      </c>
      <c r="E5" s="2671"/>
      <c r="F5" s="2671"/>
      <c r="G5" s="4079">
        <f>2500+(75*40)</f>
        <v>5500</v>
      </c>
      <c r="H5" s="96" t="s">
        <v>1858</v>
      </c>
      <c r="K5" s="101">
        <f>IF(($B$14+$B$15+$B$16+$B$17)=0,"",B30/($B$14+$B$15+$B$16+$B$17))</f>
        <v>-2.5640425475765834E-2</v>
      </c>
      <c r="N5" s="4011"/>
      <c r="O5" s="4013"/>
    </row>
    <row r="6" spans="1:19">
      <c r="A6" s="16" t="s">
        <v>2137</v>
      </c>
      <c r="B6" s="77">
        <v>0.03</v>
      </c>
      <c r="C6" s="2695"/>
      <c r="D6" s="2671"/>
      <c r="E6" s="2671"/>
      <c r="F6" s="2671"/>
      <c r="G6" s="1141">
        <f>IF(OR('Part III-Sources of Funds'!E5="Yes",'Part III-Sources of Funds'!H5&gt;0),'DCA Underwriting Assumptions'!$Q$100,0)</f>
        <v>0</v>
      </c>
      <c r="H6" s="16"/>
      <c r="I6" s="16"/>
      <c r="J6" s="16"/>
      <c r="K6" s="16"/>
      <c r="N6" s="3973"/>
      <c r="O6" s="3975"/>
    </row>
    <row r="7" spans="1:19">
      <c r="A7" s="16" t="s">
        <v>2139</v>
      </c>
      <c r="B7" s="77">
        <v>0.03</v>
      </c>
      <c r="C7" s="2695"/>
      <c r="D7" s="79" t="s">
        <v>265</v>
      </c>
      <c r="G7" s="81"/>
      <c r="H7" s="96" t="s">
        <v>2312</v>
      </c>
      <c r="K7" s="101">
        <f>IF(($B$14+$B$15+$B$16+$B$17)=0,"",-B21/($B$14+$B$15+$B$16+$B$17))</f>
        <v>6.9998361548840732E-2</v>
      </c>
      <c r="N7" s="3973"/>
      <c r="O7" s="3975"/>
    </row>
    <row r="8" spans="1:19" ht="13.35" customHeight="1">
      <c r="A8" s="16" t="s">
        <v>2138</v>
      </c>
      <c r="B8" s="4080">
        <v>7.0000000000000007E-2</v>
      </c>
      <c r="C8" s="1480" t="str">
        <f>IF(B8&lt;0.07, "Must be &gt;= 7%!","")</f>
        <v/>
      </c>
      <c r="D8" s="78" t="s">
        <v>2441</v>
      </c>
      <c r="G8" s="4081"/>
      <c r="H8" s="163" t="s">
        <v>1415</v>
      </c>
      <c r="K8" s="4082"/>
      <c r="N8" s="3973"/>
      <c r="O8" s="3975"/>
    </row>
    <row r="9" spans="1:19">
      <c r="A9" s="16" t="s">
        <v>1389</v>
      </c>
      <c r="B9" s="77">
        <v>0.02</v>
      </c>
      <c r="D9" s="78" t="s">
        <v>1675</v>
      </c>
      <c r="G9" s="4083" t="s">
        <v>2883</v>
      </c>
      <c r="H9" s="163" t="s">
        <v>2294</v>
      </c>
      <c r="K9" s="4084">
        <v>7.0000000000000007E-2</v>
      </c>
      <c r="N9" s="4004"/>
      <c r="O9" s="4006"/>
    </row>
    <row r="10" spans="1:19" ht="9" customHeight="1"/>
    <row r="11" spans="1:19">
      <c r="A11" s="13" t="s">
        <v>89</v>
      </c>
      <c r="D11" s="1035"/>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2554</v>
      </c>
      <c r="O13" s="2484"/>
    </row>
    <row r="14" spans="1:19" ht="13.35" customHeight="1">
      <c r="A14" s="18" t="s">
        <v>2340</v>
      </c>
      <c r="B14" s="19">
        <f>'Part VI-Revenues &amp; Expenses'!$M$49</f>
        <v>226128</v>
      </c>
      <c r="C14" s="19">
        <f t="shared" ref="C14:K14" si="1">$B$14*(1+$B$5)^(C13-1)</f>
        <v>230650.56</v>
      </c>
      <c r="D14" s="19">
        <f t="shared" si="1"/>
        <v>235263.57120000001</v>
      </c>
      <c r="E14" s="19">
        <f t="shared" si="1"/>
        <v>239968.84262399998</v>
      </c>
      <c r="F14" s="19">
        <f t="shared" si="1"/>
        <v>244768.21947648001</v>
      </c>
      <c r="G14" s="19">
        <f t="shared" si="1"/>
        <v>249663.58386600961</v>
      </c>
      <c r="H14" s="19">
        <f t="shared" si="1"/>
        <v>254656.85554332982</v>
      </c>
      <c r="I14" s="19">
        <f t="shared" si="1"/>
        <v>259749.99265419634</v>
      </c>
      <c r="J14" s="19">
        <f t="shared" si="1"/>
        <v>264944.99250728032</v>
      </c>
      <c r="K14" s="20">
        <f t="shared" si="1"/>
        <v>270243.89235742588</v>
      </c>
      <c r="N14" s="4011"/>
      <c r="O14" s="4013"/>
      <c r="S14" s="2688" t="s">
        <v>3833</v>
      </c>
    </row>
    <row r="15" spans="1:19" ht="13.35" customHeight="1">
      <c r="A15" s="21" t="s">
        <v>993</v>
      </c>
      <c r="B15" s="22">
        <f>MIN(B14*B9,'Part VI-Revenues &amp; Expenses'!$H$178)</f>
        <v>4522.5600000000004</v>
      </c>
      <c r="C15" s="22">
        <f t="shared" ref="C15:K15" si="2">$B$15*(1+$B$5)^(C13-1)</f>
        <v>4613.0112000000008</v>
      </c>
      <c r="D15" s="22">
        <f t="shared" si="2"/>
        <v>4705.2714240000005</v>
      </c>
      <c r="E15" s="22">
        <f t="shared" si="2"/>
        <v>4799.3768524799998</v>
      </c>
      <c r="F15" s="22">
        <f t="shared" si="2"/>
        <v>4895.3643895296</v>
      </c>
      <c r="G15" s="22">
        <f t="shared" si="2"/>
        <v>4993.2716773201928</v>
      </c>
      <c r="H15" s="22">
        <f t="shared" si="2"/>
        <v>5093.1371108665962</v>
      </c>
      <c r="I15" s="22">
        <f t="shared" si="2"/>
        <v>5194.9998530839275</v>
      </c>
      <c r="J15" s="22">
        <f t="shared" si="2"/>
        <v>5298.8998501456063</v>
      </c>
      <c r="K15" s="23">
        <f t="shared" si="2"/>
        <v>5404.8778471485184</v>
      </c>
      <c r="N15" s="3973"/>
      <c r="O15" s="3975"/>
      <c r="S15" s="2689"/>
    </row>
    <row r="16" spans="1:19" ht="13.35" customHeight="1">
      <c r="A16" s="21" t="s">
        <v>2341</v>
      </c>
      <c r="B16" s="22">
        <f t="shared" ref="B16:K16" si="3">-(B14+B15)*$B$8</f>
        <v>-16145.539200000001</v>
      </c>
      <c r="C16" s="22">
        <f t="shared" si="3"/>
        <v>-16468.449984000003</v>
      </c>
      <c r="D16" s="22">
        <f t="shared" si="3"/>
        <v>-16797.818983680001</v>
      </c>
      <c r="E16" s="22">
        <f t="shared" si="3"/>
        <v>-17133.775363353601</v>
      </c>
      <c r="F16" s="22">
        <f t="shared" si="3"/>
        <v>-17476.450870620673</v>
      </c>
      <c r="G16" s="22">
        <f t="shared" si="3"/>
        <v>-17825.979888033085</v>
      </c>
      <c r="H16" s="22">
        <f t="shared" si="3"/>
        <v>-18182.499485793753</v>
      </c>
      <c r="I16" s="22">
        <f t="shared" si="3"/>
        <v>-18546.149475509621</v>
      </c>
      <c r="J16" s="22">
        <f t="shared" si="3"/>
        <v>-18917.072465019817</v>
      </c>
      <c r="K16" s="23">
        <f t="shared" si="3"/>
        <v>-19295.413914320208</v>
      </c>
      <c r="N16" s="3973"/>
      <c r="O16" s="3975"/>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73"/>
      <c r="O17" s="397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73"/>
      <c r="O18" s="3975"/>
    </row>
    <row r="19" spans="1:19" ht="13.35" customHeight="1">
      <c r="A19" s="417" t="s">
        <v>4375</v>
      </c>
      <c r="B19" s="22">
        <f>SUM(B14:B18)</f>
        <v>214505.0208</v>
      </c>
      <c r="C19" s="22">
        <f t="shared" ref="C19:K19" si="4">SUM(C14:C18)</f>
        <v>218795.121216</v>
      </c>
      <c r="D19" s="22">
        <f t="shared" si="4"/>
        <v>223171.02364032</v>
      </c>
      <c r="E19" s="22">
        <f t="shared" si="4"/>
        <v>227634.44411312637</v>
      </c>
      <c r="F19" s="22">
        <f t="shared" si="4"/>
        <v>232187.13299538894</v>
      </c>
      <c r="G19" s="22">
        <f t="shared" si="4"/>
        <v>236830.8756552967</v>
      </c>
      <c r="H19" s="22">
        <f t="shared" si="4"/>
        <v>241567.49316840267</v>
      </c>
      <c r="I19" s="22">
        <f t="shared" si="4"/>
        <v>246398.84303177064</v>
      </c>
      <c r="J19" s="22">
        <f t="shared" si="4"/>
        <v>251326.81989240611</v>
      </c>
      <c r="K19" s="23">
        <f t="shared" si="4"/>
        <v>256353.35629025419</v>
      </c>
      <c r="N19" s="3973"/>
      <c r="O19" s="3975"/>
    </row>
    <row r="20" spans="1:19" ht="13.35" customHeight="1">
      <c r="A20" s="21" t="s">
        <v>596</v>
      </c>
      <c r="B20" s="22">
        <f>-('Part VI-Revenues &amp; Expenses'!$Q$227-'Part VI-Revenues &amp; Expenses'!$Q$219)</f>
        <v>-135993</v>
      </c>
      <c r="C20" s="22">
        <f t="shared" ref="C20:K20" si="5">$B$20*(1+$B$6)^(C13-1)</f>
        <v>-140072.79</v>
      </c>
      <c r="D20" s="22">
        <f t="shared" si="5"/>
        <v>-144274.9737</v>
      </c>
      <c r="E20" s="22">
        <f t="shared" si="5"/>
        <v>-148603.22291099999</v>
      </c>
      <c r="F20" s="22">
        <f t="shared" si="5"/>
        <v>-153061.31959832998</v>
      </c>
      <c r="G20" s="22">
        <f t="shared" si="5"/>
        <v>-157653.15918627987</v>
      </c>
      <c r="H20" s="22">
        <f t="shared" si="5"/>
        <v>-162382.75396186829</v>
      </c>
      <c r="I20" s="22">
        <f t="shared" si="5"/>
        <v>-167254.23658072433</v>
      </c>
      <c r="J20" s="22">
        <f t="shared" si="5"/>
        <v>-172271.86367814607</v>
      </c>
      <c r="K20" s="23">
        <f t="shared" si="5"/>
        <v>-177440.01958849045</v>
      </c>
      <c r="N20" s="3973"/>
      <c r="O20" s="3975"/>
      <c r="Q20" s="62">
        <v>1</v>
      </c>
      <c r="R20" s="1043">
        <f>-B31</f>
        <v>21859.725701423235</v>
      </c>
      <c r="S20" s="1043">
        <f>B32+R20</f>
        <v>21859.725701423235</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-15015</v>
      </c>
      <c r="C21" s="22">
        <f>IF(AND('Part VII-Pro Forma'!$G$8="Yes",'Part VII-Pro Forma'!$G$9="Yes"),"Choose One!",IF('Part VII-Pro Forma'!$G$8="Yes",ROUND((-$K$8*(1+'Part VII-Pro Forma'!$B$6)^('Part VII-Pro Forma'!C13-1)),),IF('Part VII-Pro Forma'!$G$9="Yes",ROUND((-(SUM(C14:C17)*'Part VII-Pro Forma'!$K$9)),),"Choose mgt fee")))</f>
        <v>-15316</v>
      </c>
      <c r="D21" s="22">
        <f>IF(AND('Part VII-Pro Forma'!$G$8="Yes",'Part VII-Pro Forma'!$G$9="Yes"),"Choose One!",IF('Part VII-Pro Forma'!$G$8="Yes",ROUND((-$K$8*(1+'Part VII-Pro Forma'!$B$6)^('Part VII-Pro Forma'!D13-1)),),IF('Part VII-Pro Forma'!$G$9="Yes",ROUND((-(SUM(D14:D17)*'Part VII-Pro Forma'!$K$9)),),"Choose mgt fee")))</f>
        <v>-15622</v>
      </c>
      <c r="E21" s="22">
        <f>IF(AND('Part VII-Pro Forma'!$G$8="Yes",'Part VII-Pro Forma'!$G$9="Yes"),"Choose One!",IF('Part VII-Pro Forma'!$G$8="Yes",ROUND((-$K$8*(1+'Part VII-Pro Forma'!$B$6)^('Part VII-Pro Forma'!E13-1)),),IF('Part VII-Pro Forma'!$G$9="Yes",ROUND((-(SUM(E14:E17)*'Part VII-Pro Forma'!$K$9)),),"Choose mgt fee")))</f>
        <v>-15934</v>
      </c>
      <c r="F21" s="22">
        <f>IF(AND('Part VII-Pro Forma'!$G$8="Yes",'Part VII-Pro Forma'!$G$9="Yes"),"Choose One!",IF('Part VII-Pro Forma'!$G$8="Yes",ROUND((-$K$8*(1+'Part VII-Pro Forma'!$B$6)^('Part VII-Pro Forma'!F13-1)),),IF('Part VII-Pro Forma'!$G$9="Yes",ROUND((-(SUM(F14:F17)*'Part VII-Pro Forma'!$K$9)),),"Choose mgt fee")))</f>
        <v>-16253</v>
      </c>
      <c r="G21" s="22">
        <f>IF(AND('Part VII-Pro Forma'!$G$8="Yes",'Part VII-Pro Forma'!$G$9="Yes"),"Choose One!",IF('Part VII-Pro Forma'!$G$8="Yes",ROUND((-$K$8*(1+'Part VII-Pro Forma'!$B$6)^('Part VII-Pro Forma'!G13-1)),),IF('Part VII-Pro Forma'!$G$9="Yes",ROUND((-(SUM(G14:G17)*'Part VII-Pro Forma'!$K$9)),),"Choose mgt fee")))</f>
        <v>-16578</v>
      </c>
      <c r="H21" s="22">
        <f>IF(AND('Part VII-Pro Forma'!$G$8="Yes",'Part VII-Pro Forma'!$G$9="Yes"),"Choose One!",IF('Part VII-Pro Forma'!$G$8="Yes",ROUND((-$K$8*(1+'Part VII-Pro Forma'!$B$6)^('Part VII-Pro Forma'!H13-1)),),IF('Part VII-Pro Forma'!$G$9="Yes",ROUND((-(SUM(H14:H17)*'Part VII-Pro Forma'!$K$9)),),"Choose mgt fee")))</f>
        <v>-16910</v>
      </c>
      <c r="I21" s="22">
        <f>IF(AND('Part VII-Pro Forma'!$G$8="Yes",'Part VII-Pro Forma'!$G$9="Yes"),"Choose One!",IF('Part VII-Pro Forma'!$G$8="Yes",ROUND((-$K$8*(1+'Part VII-Pro Forma'!$B$6)^('Part VII-Pro Forma'!I13-1)),),IF('Part VII-Pro Forma'!$G$9="Yes",ROUND((-(SUM(I14:I17)*'Part VII-Pro Forma'!$K$9)),),"Choose mgt fee")))</f>
        <v>-17248</v>
      </c>
      <c r="J21" s="22">
        <f>IF(AND('Part VII-Pro Forma'!$G$8="Yes",'Part VII-Pro Forma'!$G$9="Yes"),"Choose One!",IF('Part VII-Pro Forma'!$G$8="Yes",ROUND((-$K$8*(1+'Part VII-Pro Forma'!$B$6)^('Part VII-Pro Forma'!J13-1)),),IF('Part VII-Pro Forma'!$G$9="Yes",ROUND((-(SUM(J14:J17)*'Part VII-Pro Forma'!$K$9)),),"Choose mgt fee")))</f>
        <v>-17593</v>
      </c>
      <c r="K21" s="23">
        <f>IF(AND('Part VII-Pro Forma'!$G$8="Yes",'Part VII-Pro Forma'!$G$9="Yes"),"Choose One!",IF('Part VII-Pro Forma'!$G$8="Yes",ROUND((-$K$8*(1+'Part VII-Pro Forma'!$B$6)^('Part VII-Pro Forma'!K13-1)),),IF('Part VII-Pro Forma'!$G$9="Yes",ROUND((-(SUM(K14:K17)*'Part VII-Pro Forma'!$K$9)),),"Choose mgt fee")))</f>
        <v>-17945</v>
      </c>
      <c r="N21" s="3973"/>
      <c r="O21" s="3975"/>
      <c r="Q21" s="62">
        <v>2</v>
      </c>
      <c r="R21" s="1043">
        <f>-SUM(B31:C31)</f>
        <v>29528.725701423235</v>
      </c>
      <c r="S21" s="1043">
        <f>SUM(B32:C32)+R21</f>
        <v>43208.761818846462</v>
      </c>
    </row>
    <row r="22" spans="1:19" ht="13.35" customHeight="1">
      <c r="A22" s="21" t="s">
        <v>1175</v>
      </c>
      <c r="B22" s="22">
        <f>-('Part VI-Revenues &amp; Expenses'!$Q$233)</f>
        <v>-14000</v>
      </c>
      <c r="C22" s="22">
        <f t="shared" ref="C22:K22" si="6">$B$22*(1+$B$7)^(C13-1)</f>
        <v>-14420</v>
      </c>
      <c r="D22" s="22">
        <f t="shared" si="6"/>
        <v>-14852.599999999999</v>
      </c>
      <c r="E22" s="22">
        <f t="shared" si="6"/>
        <v>-15298.178</v>
      </c>
      <c r="F22" s="22">
        <f t="shared" si="6"/>
        <v>-15757.123339999998</v>
      </c>
      <c r="G22" s="22">
        <f t="shared" si="6"/>
        <v>-16229.837040199998</v>
      </c>
      <c r="H22" s="22">
        <f t="shared" si="6"/>
        <v>-16716.732151405999</v>
      </c>
      <c r="I22" s="22">
        <f t="shared" si="6"/>
        <v>-17218.23411594818</v>
      </c>
      <c r="J22" s="22">
        <f t="shared" si="6"/>
        <v>-17734.781139426625</v>
      </c>
      <c r="K22" s="23">
        <f t="shared" si="6"/>
        <v>-18266.824573609421</v>
      </c>
      <c r="N22" s="3973"/>
      <c r="O22" s="3975"/>
      <c r="Q22" s="62">
        <v>3</v>
      </c>
      <c r="R22" s="1043">
        <f>-SUM(B31:D31)</f>
        <v>29528.725701423235</v>
      </c>
      <c r="S22" s="1043">
        <f>SUM(B32:D32)+R22</f>
        <v>63992.91666058969</v>
      </c>
    </row>
    <row r="23" spans="1:19" ht="13.35" customHeight="1">
      <c r="A23" s="417" t="s">
        <v>4374</v>
      </c>
      <c r="B23" s="4085">
        <f>IF(B13&lt;=+'Part VI-Revenues &amp; Expenses'!$N$250,-'Part VI-Revenues &amp; Expenses'!$K$250,0)</f>
        <v>0</v>
      </c>
      <c r="C23" s="4085">
        <f>IF(C13&lt;=+'Part VI-Revenues &amp; Expenses'!$N$250,-'Part VI-Revenues &amp; Expenses'!$K$250,0)</f>
        <v>0</v>
      </c>
      <c r="D23" s="4085">
        <f>IF(D13&lt;=+'Part VI-Revenues &amp; Expenses'!$N$250,-'Part VI-Revenues &amp; Expenses'!$K$250,0)</f>
        <v>0</v>
      </c>
      <c r="E23" s="4085">
        <f>IF(E13&lt;=+'Part VI-Revenues &amp; Expenses'!$N$250,-'Part VI-Revenues &amp; Expenses'!$K$250,0)</f>
        <v>0</v>
      </c>
      <c r="F23" s="4085">
        <f>IF(F13&lt;=+'Part VI-Revenues &amp; Expenses'!$N$250,-'Part VI-Revenues &amp; Expenses'!$K$250,0)</f>
        <v>0</v>
      </c>
      <c r="G23" s="4085">
        <f>IF(G13&lt;=+'Part VI-Revenues &amp; Expenses'!$N$250,-'Part VI-Revenues &amp; Expenses'!$K$250,0)</f>
        <v>0</v>
      </c>
      <c r="H23" s="4085">
        <f>IF(H13&lt;=+'Part VI-Revenues &amp; Expenses'!$N$250,-'Part VI-Revenues &amp; Expenses'!$K$250,0)</f>
        <v>0</v>
      </c>
      <c r="I23" s="4085">
        <f>IF(I13&lt;=+'Part VI-Revenues &amp; Expenses'!$N$250,-'Part VI-Revenues &amp; Expenses'!$K$250,0)</f>
        <v>0</v>
      </c>
      <c r="J23" s="4085">
        <f>IF(J13&lt;=+'Part VI-Revenues &amp; Expenses'!$N$250,-'Part VI-Revenues &amp; Expenses'!$K$250,0)</f>
        <v>0</v>
      </c>
      <c r="K23" s="4085">
        <f>IF(K13&lt;=+'Part VI-Revenues &amp; Expenses'!$N$250,-'Part VI-Revenues &amp; Expenses'!$K$250,0)</f>
        <v>0</v>
      </c>
      <c r="N23" s="3973"/>
      <c r="O23" s="3975"/>
      <c r="Q23" s="929">
        <v>4</v>
      </c>
      <c r="R23" s="1043">
        <f>-SUM(B31:E31)</f>
        <v>29528.725701423235</v>
      </c>
      <c r="S23" s="1043">
        <f>SUM(B32:E32)+R23</f>
        <v>84154.664764139306</v>
      </c>
    </row>
    <row r="24" spans="1:19" ht="13.35" customHeight="1">
      <c r="A24" s="21" t="s">
        <v>1176</v>
      </c>
      <c r="B24" s="22">
        <f>SUM(B19:B23)</f>
        <v>49497.020799999998</v>
      </c>
      <c r="C24" s="22">
        <f t="shared" ref="C24:J24" si="7">SUM(C19:C23)</f>
        <v>48986.331215999991</v>
      </c>
      <c r="D24" s="22">
        <f t="shared" si="7"/>
        <v>48421.449940319995</v>
      </c>
      <c r="E24" s="22">
        <f t="shared" si="7"/>
        <v>47799.043202126384</v>
      </c>
      <c r="F24" s="22">
        <f t="shared" si="7"/>
        <v>47115.690057058957</v>
      </c>
      <c r="G24" s="22">
        <f t="shared" si="7"/>
        <v>46369.879428816828</v>
      </c>
      <c r="H24" s="22">
        <f t="shared" si="7"/>
        <v>45558.007055128372</v>
      </c>
      <c r="I24" s="22">
        <f t="shared" si="7"/>
        <v>44678.372335098124</v>
      </c>
      <c r="J24" s="22">
        <f t="shared" si="7"/>
        <v>43727.175074833423</v>
      </c>
      <c r="K24" s="1482">
        <f>SUM(K19:K23)</f>
        <v>42701.512128154311</v>
      </c>
      <c r="N24" s="3973"/>
      <c r="O24" s="3975"/>
      <c r="Q24" s="929">
        <v>5</v>
      </c>
      <c r="R24" s="1043">
        <f>-SUM(B31:F31)</f>
        <v>29528.725701423235</v>
      </c>
      <c r="S24" s="1043">
        <f>SUM(B32:F32)+R24</f>
        <v>103633.0597226215</v>
      </c>
    </row>
    <row r="25" spans="1:19" ht="13.35" customHeight="1">
      <c r="A25" s="417" t="s">
        <v>1557</v>
      </c>
      <c r="B25" s="4086">
        <f>IF('Part III-Sources of Funds'!$P$38="", 0,-'Part III-Sources of Funds'!$P$38)</f>
        <v>-22137.295098576764</v>
      </c>
      <c r="C25" s="4086">
        <f>IF('Part III-Sources of Funds'!$P$38="", 0,-'Part III-Sources of Funds'!$P$38)</f>
        <v>-22137.295098576764</v>
      </c>
      <c r="D25" s="4086">
        <f>IF('Part III-Sources of Funds'!$P$38="", 0,-'Part III-Sources of Funds'!$P$38)</f>
        <v>-22137.295098576764</v>
      </c>
      <c r="E25" s="4086">
        <f>IF('Part III-Sources of Funds'!$P$38="", 0,-'Part III-Sources of Funds'!$P$38)</f>
        <v>-22137.295098576764</v>
      </c>
      <c r="F25" s="4086">
        <f>IF('Part III-Sources of Funds'!$P$38="", 0,-'Part III-Sources of Funds'!$P$38)</f>
        <v>-22137.295098576764</v>
      </c>
      <c r="G25" s="4086">
        <f>IF('Part III-Sources of Funds'!$P$38="", 0,-'Part III-Sources of Funds'!$P$38)</f>
        <v>-22137.295098576764</v>
      </c>
      <c r="H25" s="4086">
        <f>IF('Part III-Sources of Funds'!$P$38="", 0,-'Part III-Sources of Funds'!$P$38)</f>
        <v>-22137.295098576764</v>
      </c>
      <c r="I25" s="4086">
        <f>IF('Part III-Sources of Funds'!$P$38="", 0,-'Part III-Sources of Funds'!$P$38)</f>
        <v>-22137.295098576764</v>
      </c>
      <c r="J25" s="4086">
        <f>IF('Part III-Sources of Funds'!$P$38="", 0,-'Part III-Sources of Funds'!$P$38)</f>
        <v>-22137.295098576764</v>
      </c>
      <c r="K25" s="4086">
        <f>IF('Part III-Sources of Funds'!$P$38="", 0,-'Part III-Sources of Funds'!$P$38)</f>
        <v>-22137.295098576764</v>
      </c>
      <c r="N25" s="3973"/>
      <c r="O25" s="3975"/>
      <c r="Q25" s="929">
        <v>6</v>
      </c>
      <c r="R25" s="1043">
        <f>-SUM(B31:G31)</f>
        <v>29528.725701423235</v>
      </c>
      <c r="S25" s="1043">
        <f>SUM(B32:G32)+R25</f>
        <v>122365.64405286156</v>
      </c>
    </row>
    <row r="26" spans="1:19" ht="13.35" customHeight="1">
      <c r="A26" s="417" t="s">
        <v>1558</v>
      </c>
      <c r="B26" s="4087">
        <f>IF('Part III-Sources of Funds'!$P$39="", 0,-'Part III-Sources of Funds'!$P$39)</f>
        <v>0</v>
      </c>
      <c r="C26" s="4087">
        <f>IF('Part III-Sources of Funds'!$P$39="", 0,-'Part III-Sources of Funds'!$P$39)</f>
        <v>0</v>
      </c>
      <c r="D26" s="4087">
        <f>IF('Part III-Sources of Funds'!$P$39="", 0,-'Part III-Sources of Funds'!$P$39)</f>
        <v>0</v>
      </c>
      <c r="E26" s="4087">
        <f>IF('Part III-Sources of Funds'!$P$39="", 0,-'Part III-Sources of Funds'!$P$39)</f>
        <v>0</v>
      </c>
      <c r="F26" s="4087">
        <f>IF('Part III-Sources of Funds'!$P$39="", 0,-'Part III-Sources of Funds'!$P$39)</f>
        <v>0</v>
      </c>
      <c r="G26" s="4087">
        <f>IF('Part III-Sources of Funds'!$P$39="", 0,-'Part III-Sources of Funds'!$P$39)</f>
        <v>0</v>
      </c>
      <c r="H26" s="4087">
        <f>IF('Part III-Sources of Funds'!$P$39="", 0,-'Part III-Sources of Funds'!$P$39)</f>
        <v>0</v>
      </c>
      <c r="I26" s="4087">
        <f>IF('Part III-Sources of Funds'!$P$39="", 0,-'Part III-Sources of Funds'!$P$39)</f>
        <v>0</v>
      </c>
      <c r="J26" s="4087">
        <f>IF('Part III-Sources of Funds'!$P$39="", 0,-'Part III-Sources of Funds'!$P$39)</f>
        <v>0</v>
      </c>
      <c r="K26" s="4087">
        <f>IF('Part III-Sources of Funds'!$P$39="", 0,-'Part III-Sources of Funds'!$P$39)</f>
        <v>0</v>
      </c>
      <c r="N26" s="3973"/>
      <c r="O26" s="3975"/>
      <c r="Q26" s="929">
        <v>7</v>
      </c>
      <c r="R26" s="1043">
        <f>-SUM(B31:H31)</f>
        <v>29528.725701423235</v>
      </c>
      <c r="S26" s="1043">
        <f>SUM(B32:H32)+R26</f>
        <v>140286.35600941317</v>
      </c>
    </row>
    <row r="27" spans="1:19" ht="13.35" customHeight="1">
      <c r="A27" s="417" t="s">
        <v>1559</v>
      </c>
      <c r="B27" s="4087">
        <f>IF('Part III-Sources of Funds'!$P$40="", 0,-'Part III-Sources of Funds'!$P$40)</f>
        <v>0</v>
      </c>
      <c r="C27" s="4087">
        <f>IF('Part III-Sources of Funds'!$P$40="", 0,-'Part III-Sources of Funds'!$P$40)</f>
        <v>0</v>
      </c>
      <c r="D27" s="4087">
        <f>IF('Part III-Sources of Funds'!$P$40="", 0,-'Part III-Sources of Funds'!$P$40)</f>
        <v>0</v>
      </c>
      <c r="E27" s="4087">
        <f>IF('Part III-Sources of Funds'!$P$40="", 0,-'Part III-Sources of Funds'!$P$40)</f>
        <v>0</v>
      </c>
      <c r="F27" s="4087">
        <f>IF('Part III-Sources of Funds'!$P$40="", 0,-'Part III-Sources of Funds'!$P$40)</f>
        <v>0</v>
      </c>
      <c r="G27" s="4087">
        <f>IF('Part III-Sources of Funds'!$P$40="", 0,-'Part III-Sources of Funds'!$P$40)</f>
        <v>0</v>
      </c>
      <c r="H27" s="4087">
        <f>IF('Part III-Sources of Funds'!$P$40="", 0,-'Part III-Sources of Funds'!$P$40)</f>
        <v>0</v>
      </c>
      <c r="I27" s="4087">
        <f>IF('Part III-Sources of Funds'!$P$40="", 0,-'Part III-Sources of Funds'!$P$40)</f>
        <v>0</v>
      </c>
      <c r="J27" s="4087">
        <f>IF('Part III-Sources of Funds'!$P$40="", 0,-'Part III-Sources of Funds'!$P$40)</f>
        <v>0</v>
      </c>
      <c r="K27" s="4087">
        <f>IF('Part III-Sources of Funds'!$P$40="", 0,-'Part III-Sources of Funds'!$P$40)</f>
        <v>0</v>
      </c>
      <c r="N27" s="3973"/>
      <c r="O27" s="3975"/>
      <c r="Q27" s="929">
        <v>8</v>
      </c>
      <c r="R27" s="1043">
        <f>-SUM(B31:I31)</f>
        <v>29528.725701423235</v>
      </c>
      <c r="S27" s="1043">
        <f>SUM(B32:I32)+R27</f>
        <v>157327.43324593455</v>
      </c>
    </row>
    <row r="28" spans="1:19" ht="13.35" customHeight="1">
      <c r="A28" s="417" t="s">
        <v>3632</v>
      </c>
      <c r="B28" s="4087">
        <f>IF('Part III-Sources of Funds'!$P$41="", 0,-'Part III-Sources of Funds'!$P$41)</f>
        <v>0</v>
      </c>
      <c r="C28" s="4087">
        <f>IF('Part III-Sources of Funds'!$P$41="", 0,-'Part III-Sources of Funds'!$P$41)</f>
        <v>0</v>
      </c>
      <c r="D28" s="4087">
        <f>IF('Part III-Sources of Funds'!$P$41="", 0,-'Part III-Sources of Funds'!$P$41)</f>
        <v>0</v>
      </c>
      <c r="E28" s="4087">
        <f>IF('Part III-Sources of Funds'!$P$41="", 0,-'Part III-Sources of Funds'!$P$41)</f>
        <v>0</v>
      </c>
      <c r="F28" s="4087">
        <f>IF('Part III-Sources of Funds'!$P$41="", 0,-'Part III-Sources of Funds'!$P$41)</f>
        <v>0</v>
      </c>
      <c r="G28" s="4087">
        <f>IF('Part III-Sources of Funds'!$P$41="", 0,-'Part III-Sources of Funds'!$P$41)</f>
        <v>0</v>
      </c>
      <c r="H28" s="4087">
        <f>IF('Part III-Sources of Funds'!$P$41="", 0,-'Part III-Sources of Funds'!$P$41)</f>
        <v>0</v>
      </c>
      <c r="I28" s="4087">
        <f>IF('Part III-Sources of Funds'!$P$41="", 0,-'Part III-Sources of Funds'!$P$41)</f>
        <v>0</v>
      </c>
      <c r="J28" s="4087">
        <f>IF('Part III-Sources of Funds'!$P$41="", 0,-'Part III-Sources of Funds'!$P$41)</f>
        <v>0</v>
      </c>
      <c r="K28" s="4087">
        <f>IF('Part III-Sources of Funds'!$P$41="", 0,-'Part III-Sources of Funds'!$P$41)</f>
        <v>0</v>
      </c>
      <c r="N28" s="3973"/>
      <c r="O28" s="3975"/>
      <c r="Q28" s="929">
        <v>9</v>
      </c>
      <c r="R28" s="1043">
        <f>-SUM(B31:J31)</f>
        <v>29528.725701423235</v>
      </c>
      <c r="S28" s="1043">
        <f>SUM(B32:J32)+R28</f>
        <v>173417.31322219121</v>
      </c>
    </row>
    <row r="29" spans="1:19" ht="13.35" customHeight="1">
      <c r="A29" s="21" t="s">
        <v>744</v>
      </c>
      <c r="B29" s="4088"/>
      <c r="C29" s="4088"/>
      <c r="D29" s="4088"/>
      <c r="E29" s="4088"/>
      <c r="F29" s="4088"/>
      <c r="G29" s="4088"/>
      <c r="H29" s="4088"/>
      <c r="I29" s="4088"/>
      <c r="J29" s="4088"/>
      <c r="K29" s="4088"/>
      <c r="N29" s="3973"/>
      <c r="O29" s="3975"/>
      <c r="Q29" s="929">
        <v>10</v>
      </c>
      <c r="R29" s="1043">
        <f>-SUM(B31:K31)</f>
        <v>29528.725701423235</v>
      </c>
      <c r="S29" s="1043">
        <f>SUM(B32:K32)+R29</f>
        <v>188481.53025176877</v>
      </c>
    </row>
    <row r="30" spans="1:19" ht="13.35" customHeight="1">
      <c r="A30" s="417" t="s">
        <v>1140</v>
      </c>
      <c r="B30" s="4089">
        <f>-$G$5</f>
        <v>-5500</v>
      </c>
      <c r="C30" s="4089">
        <f t="shared" ref="C30:K30" si="8">+B30</f>
        <v>-5500</v>
      </c>
      <c r="D30" s="4089">
        <f t="shared" si="8"/>
        <v>-5500</v>
      </c>
      <c r="E30" s="4089">
        <f t="shared" si="8"/>
        <v>-5500</v>
      </c>
      <c r="F30" s="4089">
        <f t="shared" si="8"/>
        <v>-5500</v>
      </c>
      <c r="G30" s="4089">
        <f t="shared" si="8"/>
        <v>-5500</v>
      </c>
      <c r="H30" s="4089">
        <f t="shared" si="8"/>
        <v>-5500</v>
      </c>
      <c r="I30" s="4089">
        <f t="shared" si="8"/>
        <v>-5500</v>
      </c>
      <c r="J30" s="4089">
        <f t="shared" si="8"/>
        <v>-5500</v>
      </c>
      <c r="K30" s="4089">
        <f t="shared" si="8"/>
        <v>-5500</v>
      </c>
      <c r="N30" s="3973"/>
      <c r="O30" s="3975"/>
      <c r="Q30" s="929">
        <v>11</v>
      </c>
      <c r="R30" s="1043">
        <f>-SUM(B31:K31)-B63</f>
        <v>29528.725701423235</v>
      </c>
      <c r="S30" s="1043">
        <f>SUM(B32:K32)+B64+R30</f>
        <v>202442.60908228846</v>
      </c>
    </row>
    <row r="31" spans="1:19" ht="13.35" customHeight="1">
      <c r="A31" s="417" t="s">
        <v>3767</v>
      </c>
      <c r="B31" s="4090">
        <f>(B24+B25+B30)*-1</f>
        <v>-21859.725701423235</v>
      </c>
      <c r="C31" s="4090">
        <v>-7669</v>
      </c>
      <c r="D31" s="4090"/>
      <c r="E31" s="4090"/>
      <c r="F31" s="4090"/>
      <c r="G31" s="4090"/>
      <c r="H31" s="4090"/>
      <c r="I31" s="4090"/>
      <c r="J31" s="4090"/>
      <c r="K31" s="4090"/>
      <c r="N31" s="3973"/>
      <c r="O31" s="3975"/>
      <c r="Q31" s="929">
        <v>12</v>
      </c>
      <c r="R31" s="1043">
        <f>-SUM(B31:K31) - SUM(B63:C63)</f>
        <v>29528.725701423235</v>
      </c>
      <c r="S31" s="1043">
        <f>SUM(B32:K32) + SUM(B64:C64)+R31</f>
        <v>215219.95489652039</v>
      </c>
    </row>
    <row r="32" spans="1:19" ht="13.35" customHeight="1">
      <c r="A32" s="21" t="s">
        <v>1141</v>
      </c>
      <c r="B32" s="22">
        <f t="shared" ref="B32:K32" si="9">SUM(B24:B31)</f>
        <v>0</v>
      </c>
      <c r="C32" s="22">
        <f t="shared" si="9"/>
        <v>13680.036117423228</v>
      </c>
      <c r="D32" s="22">
        <f t="shared" si="9"/>
        <v>20784.154841743231</v>
      </c>
      <c r="E32" s="22">
        <f t="shared" si="9"/>
        <v>20161.74810354962</v>
      </c>
      <c r="F32" s="22">
        <f t="shared" si="9"/>
        <v>19478.394958482193</v>
      </c>
      <c r="G32" s="22">
        <f t="shared" si="9"/>
        <v>18732.584330240064</v>
      </c>
      <c r="H32" s="22">
        <f t="shared" si="9"/>
        <v>17920.711956551608</v>
      </c>
      <c r="I32" s="22">
        <f t="shared" si="9"/>
        <v>17041.07723652136</v>
      </c>
      <c r="J32" s="22">
        <f t="shared" si="9"/>
        <v>16089.87997625666</v>
      </c>
      <c r="K32" s="23">
        <f t="shared" si="9"/>
        <v>15064.217029577547</v>
      </c>
      <c r="N32" s="3973"/>
      <c r="O32" s="3975"/>
      <c r="Q32" s="929">
        <v>13</v>
      </c>
      <c r="R32" s="1043">
        <f>-SUM(B31:K31) - SUM(B63:D63)</f>
        <v>29528.725701423235</v>
      </c>
      <c r="S32" s="1043">
        <f>SUM(B32:K32) + SUM(B64:D64)+R32</f>
        <v>226729.73961929284</v>
      </c>
    </row>
    <row r="33" spans="1:19" ht="13.35" customHeight="1">
      <c r="A33" s="21" t="str">
        <f>IF('Part III-Sources of Funds'!$E$38 = "Neither", "", "DCR Mortgage A")</f>
        <v>DCR Mortgage A</v>
      </c>
      <c r="B33" s="24">
        <f t="shared" ref="B33:K33" si="10">IF(B25=0,"",-B24/B25)</f>
        <v>2.2359109629063139</v>
      </c>
      <c r="C33" s="24">
        <f t="shared" si="10"/>
        <v>2.2128417676082472</v>
      </c>
      <c r="D33" s="24">
        <f t="shared" si="10"/>
        <v>2.1873245906828553</v>
      </c>
      <c r="E33" s="24">
        <f t="shared" si="10"/>
        <v>2.1592088369097744</v>
      </c>
      <c r="F33" s="24">
        <f t="shared" si="10"/>
        <v>2.1283399732105521</v>
      </c>
      <c r="G33" s="24">
        <f t="shared" si="10"/>
        <v>2.0946497402836721</v>
      </c>
      <c r="H33" s="24">
        <f t="shared" si="10"/>
        <v>2.0579753240971774</v>
      </c>
      <c r="I33" s="24">
        <f t="shared" si="10"/>
        <v>2.0182399040238006</v>
      </c>
      <c r="J33" s="24">
        <f t="shared" si="10"/>
        <v>1.9752718152835529</v>
      </c>
      <c r="K33" s="25">
        <f t="shared" si="10"/>
        <v>1.9289399151073181</v>
      </c>
      <c r="N33" s="3973"/>
      <c r="O33" s="3975"/>
      <c r="Q33" s="929">
        <v>14</v>
      </c>
      <c r="R33" s="1043">
        <f>-SUM(B31:K31) - SUM(B63:E63)</f>
        <v>29528.725701423235</v>
      </c>
      <c r="S33" s="1043">
        <f>SUM(B32:K32) + SUM(B64:E64)+R33</f>
        <v>236883.78441148507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73"/>
      <c r="O34" s="3975"/>
      <c r="Q34" s="929">
        <v>15</v>
      </c>
      <c r="R34" s="1043">
        <f>-SUM(B31:K31) - SUM(B63:F63)</f>
        <v>29528.725701423235</v>
      </c>
      <c r="S34" s="1043">
        <f>SUM(B32:K32) + SUM(B64:F64)+R34</f>
        <v>245591.43822867528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73"/>
      <c r="O35" s="3975"/>
      <c r="Q35" s="62">
        <v>16</v>
      </c>
      <c r="R35" s="1043">
        <f>-SUM(B31:K31) - SUM(B63:G63)</f>
        <v>29528.725701423235</v>
      </c>
      <c r="S35" s="1043">
        <f>SUM(B32:K32) + SUM(B64:G64)+R35</f>
        <v>280393.74741675559</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73"/>
      <c r="O36" s="3975"/>
      <c r="Q36" s="62">
        <v>17</v>
      </c>
      <c r="R36" s="1043">
        <f>-SUM(B31:K31) - SUM(B63:H63)</f>
        <v>29528.725701423235</v>
      </c>
      <c r="S36" s="1043">
        <f>SUM(B32:K32) + SUM(B64:H64)+R36</f>
        <v>313555.44072141562</v>
      </c>
    </row>
    <row r="37" spans="1:19" ht="13.35" customHeight="1">
      <c r="A37" s="417" t="s">
        <v>3530</v>
      </c>
      <c r="B37" s="24">
        <f t="shared" ref="B37:K37" si="14">IF(AND(B25=0,B26=0,B27=0,B28=0),"",-B24/(B25+B26+B27+B28))</f>
        <v>2.2359109629063139</v>
      </c>
      <c r="C37" s="24">
        <f t="shared" si="14"/>
        <v>2.2128417676082472</v>
      </c>
      <c r="D37" s="24">
        <f t="shared" si="14"/>
        <v>2.1873245906828553</v>
      </c>
      <c r="E37" s="24">
        <f t="shared" si="14"/>
        <v>2.1592088369097744</v>
      </c>
      <c r="F37" s="24">
        <f t="shared" si="14"/>
        <v>2.1283399732105521</v>
      </c>
      <c r="G37" s="24">
        <f t="shared" si="14"/>
        <v>2.0946497402836721</v>
      </c>
      <c r="H37" s="24">
        <f t="shared" si="14"/>
        <v>2.0579753240971774</v>
      </c>
      <c r="I37" s="24">
        <f t="shared" si="14"/>
        <v>2.0182399040238006</v>
      </c>
      <c r="J37" s="24">
        <f t="shared" si="14"/>
        <v>1.9752718152835529</v>
      </c>
      <c r="K37" s="25">
        <f t="shared" si="14"/>
        <v>1.9289399151073181</v>
      </c>
      <c r="N37" s="3973"/>
      <c r="O37" s="3975"/>
      <c r="Q37" s="62">
        <v>18</v>
      </c>
      <c r="R37" s="1043">
        <f>-SUM(B31:K31) - SUM(B63:I63)</f>
        <v>29528.725701423235</v>
      </c>
      <c r="S37" s="1043">
        <f>SUM(B32:K32) + SUM(B64:I64)+R37</f>
        <v>344973.68056297145</v>
      </c>
    </row>
    <row r="38" spans="1:19" ht="13.35" customHeight="1">
      <c r="A38" s="21" t="s">
        <v>751</v>
      </c>
      <c r="B38" s="265">
        <f t="shared" ref="B38:K38" si="15">IF(OR(B21="Choose mgt fee",B21="Choose One!"),"",(B14+B15+B16+B17+B18) / -(B20+B21+B22))</f>
        <v>1.2999674003684669</v>
      </c>
      <c r="C38" s="265">
        <f t="shared" si="15"/>
        <v>1.2884793609094087</v>
      </c>
      <c r="D38" s="265">
        <f t="shared" si="15"/>
        <v>1.2770905182489722</v>
      </c>
      <c r="E38" s="265">
        <f t="shared" si="15"/>
        <v>1.2657932918657211</v>
      </c>
      <c r="F38" s="265">
        <f t="shared" si="15"/>
        <v>1.2545810920853899</v>
      </c>
      <c r="G38" s="265">
        <f t="shared" si="15"/>
        <v>1.2434612878622022</v>
      </c>
      <c r="H38" s="265">
        <f t="shared" si="15"/>
        <v>1.2324275623517542</v>
      </c>
      <c r="I38" s="265">
        <f t="shared" si="15"/>
        <v>1.2214865560287191</v>
      </c>
      <c r="J38" s="265">
        <f t="shared" si="15"/>
        <v>1.2106322248925738</v>
      </c>
      <c r="K38" s="266">
        <f t="shared" si="15"/>
        <v>1.1998649358521625</v>
      </c>
      <c r="N38" s="3973"/>
      <c r="O38" s="3975"/>
      <c r="Q38" s="929">
        <v>19</v>
      </c>
      <c r="R38" s="1043">
        <f>-SUM(B31:K31) - SUM(B63:J63)</f>
        <v>29528.725701423235</v>
      </c>
      <c r="S38" s="1043">
        <f>SUM(B32:K32) + SUM(B64:J64)+R38</f>
        <v>374540.62945228501</v>
      </c>
    </row>
    <row r="39" spans="1:19" ht="13.35" customHeight="1">
      <c r="A39" s="417" t="s">
        <v>2548</v>
      </c>
      <c r="B39" s="4091">
        <f>IF('Part III-Sources of Funds'!$I$38="","",-FV('Part III-Sources of Funds'!$K$38/12,12,B25/12,'Part III-Sources of Funds'!$I$38))</f>
        <v>368678.00091388536</v>
      </c>
      <c r="C39" s="4091">
        <f>IF('Part III-Sources of Funds'!$I$38="","",-FV('Part III-Sources of Funds'!$K$38/12,12,C25/12,B39))</f>
        <v>362082.02082486701</v>
      </c>
      <c r="D39" s="4091">
        <f>IF('Part III-Sources of Funds'!$I$38="","",-FV('Part III-Sources of Funds'!$K$38/12,12,D25/12,C39))</f>
        <v>355200.18602196692</v>
      </c>
      <c r="E39" s="4091">
        <f>IF('Part III-Sources of Funds'!$I$38="","",-FV('Part III-Sources of Funds'!$K$38/12,12,E25/12,D39))</f>
        <v>348020.10821468907</v>
      </c>
      <c r="F39" s="4091">
        <f>IF('Part III-Sources of Funds'!$I$38="","",-FV('Part III-Sources of Funds'!$K$38/12,12,F25/12,E39))</f>
        <v>340528.86223231844</v>
      </c>
      <c r="G39" s="4091">
        <f>IF('Part III-Sources of Funds'!$I$38="","",-FV('Part III-Sources of Funds'!$K$38/12,12,G25/12,F39))</f>
        <v>332712.96275675826</v>
      </c>
      <c r="H39" s="4091">
        <f>IF('Part III-Sources of Funds'!$I$38="","",-FV('Part III-Sources of Funds'!$K$38/12,12,H25/12,G39))</f>
        <v>324558.3400470218</v>
      </c>
      <c r="I39" s="4091">
        <f>IF('Part III-Sources of Funds'!$I$38="","",-FV('Part III-Sources of Funds'!$K$38/12,12,I25/12,H39))</f>
        <v>316050.31461167883</v>
      </c>
      <c r="J39" s="4091">
        <f>IF('Part III-Sources of Funds'!$I$38="","",-FV('Part III-Sources of Funds'!$K$38/12,12,J25/12,I39))</f>
        <v>307173.57078366395</v>
      </c>
      <c r="K39" s="4091">
        <f>IF('Part III-Sources of Funds'!$I$38="","",-FV('Part III-Sources of Funds'!$K$38/12,12,K25/12,J39))</f>
        <v>297912.12914987741</v>
      </c>
      <c r="N39" s="3973"/>
      <c r="O39" s="3975"/>
      <c r="Q39" s="929">
        <v>20</v>
      </c>
      <c r="R39" s="1043">
        <f>-SUM(B31:K31) - SUM(B63:K63)</f>
        <v>29528.725701423235</v>
      </c>
      <c r="S39" s="1043">
        <f>SUM(B32:K32) + SUM(B64:K64)+R39</f>
        <v>402145.30689783924</v>
      </c>
    </row>
    <row r="40" spans="1:19" ht="13.35" customHeight="1">
      <c r="A40" s="417" t="s">
        <v>2549</v>
      </c>
      <c r="B40" s="4087" t="str">
        <f>IF('Part III-Sources of Funds'!$I$39="","",-FV('Part III-Sources of Funds'!$K$39/12,12,B26/12,'Part III-Sources of Funds'!$I$39))</f>
        <v/>
      </c>
      <c r="C40" s="4087" t="str">
        <f>IF('Part III-Sources of Funds'!$I$39="","",-FV('Part III-Sources of Funds'!$K$39/12,12,C26/12,B40))</f>
        <v/>
      </c>
      <c r="D40" s="4087" t="str">
        <f>IF('Part III-Sources of Funds'!$I$39="","",-FV('Part III-Sources of Funds'!$K$39/12,12,D26/12,C40))</f>
        <v/>
      </c>
      <c r="E40" s="4087" t="str">
        <f>IF('Part III-Sources of Funds'!$I$39="","",-FV('Part III-Sources of Funds'!$K$39/12,12,E26/12,D40))</f>
        <v/>
      </c>
      <c r="F40" s="4087" t="str">
        <f>IF('Part III-Sources of Funds'!$I$39="","",-FV('Part III-Sources of Funds'!$K$39/12,12,F26/12,E40))</f>
        <v/>
      </c>
      <c r="G40" s="4087" t="str">
        <f>IF('Part III-Sources of Funds'!$I$39="","",-FV('Part III-Sources of Funds'!$K$39/12,12,G26/12,F40))</f>
        <v/>
      </c>
      <c r="H40" s="4087" t="str">
        <f>IF('Part III-Sources of Funds'!$I$39="","",-FV('Part III-Sources of Funds'!$K$39/12,12,H26/12,G40))</f>
        <v/>
      </c>
      <c r="I40" s="4087" t="str">
        <f>IF('Part III-Sources of Funds'!$I$39="","",-FV('Part III-Sources of Funds'!$K$39/12,12,I26/12,H40))</f>
        <v/>
      </c>
      <c r="J40" s="4087" t="str">
        <f>IF('Part III-Sources of Funds'!$I$39="","",-FV('Part III-Sources of Funds'!$K$39/12,12,J26/12,I40))</f>
        <v/>
      </c>
      <c r="K40" s="4087" t="str">
        <f>IF('Part III-Sources of Funds'!$I$39="","",-FV('Part III-Sources of Funds'!$K$39/12,12,K26/12,J40))</f>
        <v/>
      </c>
      <c r="N40" s="3973"/>
      <c r="O40" s="3975"/>
    </row>
    <row r="41" spans="1:19" ht="13.35" customHeight="1">
      <c r="A41" s="417" t="s">
        <v>2550</v>
      </c>
      <c r="B41" s="4087" t="str">
        <f>IF('Part III-Sources of Funds'!$I$40="","",-FV('Part III-Sources of Funds'!$K$40/12,12,B27/12,'Part III-Sources of Funds'!$I$40))</f>
        <v/>
      </c>
      <c r="C41" s="4087" t="str">
        <f>IF('Part III-Sources of Funds'!$I$40="","",-FV('Part III-Sources of Funds'!$K$40/12,12,C27/12,B41))</f>
        <v/>
      </c>
      <c r="D41" s="4087" t="str">
        <f>IF('Part III-Sources of Funds'!$I$40="","",-FV('Part III-Sources of Funds'!$K$40/12,12,D27/12,C41))</f>
        <v/>
      </c>
      <c r="E41" s="4087" t="str">
        <f>IF('Part III-Sources of Funds'!$I$40="","",-FV('Part III-Sources of Funds'!$K$40/12,12,E27/12,D41))</f>
        <v/>
      </c>
      <c r="F41" s="4087" t="str">
        <f>IF('Part III-Sources of Funds'!$I$40="","",-FV('Part III-Sources of Funds'!$K$40/12,12,F27/12,E41))</f>
        <v/>
      </c>
      <c r="G41" s="4087" t="str">
        <f>IF('Part III-Sources of Funds'!$I$40="","",-FV('Part III-Sources of Funds'!$K$40/12,12,G27/12,F41))</f>
        <v/>
      </c>
      <c r="H41" s="4087" t="str">
        <f>IF('Part III-Sources of Funds'!$I$40="","",-FV('Part III-Sources of Funds'!$K$40/12,12,H27/12,G41))</f>
        <v/>
      </c>
      <c r="I41" s="4087" t="str">
        <f>IF('Part III-Sources of Funds'!$I$40="","",-FV('Part III-Sources of Funds'!$K$40/12,12,I27/12,H41))</f>
        <v/>
      </c>
      <c r="J41" s="4087" t="str">
        <f>IF('Part III-Sources of Funds'!$I$40="","",-FV('Part III-Sources of Funds'!$K$40/12,12,J27/12,I41))</f>
        <v/>
      </c>
      <c r="K41" s="4087" t="str">
        <f>IF('Part III-Sources of Funds'!$I$40="","",-FV('Part III-Sources of Funds'!$K$40/12,12,K27/12,J41))</f>
        <v/>
      </c>
      <c r="N41" s="3973"/>
      <c r="O41" s="3975"/>
    </row>
    <row r="42" spans="1:19" ht="13.35" customHeight="1">
      <c r="A42" s="21" t="s">
        <v>763</v>
      </c>
      <c r="B42" s="4087" t="str">
        <f>IF('Part III-Sources of Funds'!$I$41="","",-FV('Part III-Sources of Funds'!$K$41/12,12,B28/12,'Part III-Sources of Funds'!$I$41))</f>
        <v/>
      </c>
      <c r="C42" s="4087" t="str">
        <f>IF('Part III-Sources of Funds'!$I$41="","",-FV('Part III-Sources of Funds'!$K$41/12,12,C28/12,B42))</f>
        <v/>
      </c>
      <c r="D42" s="4087" t="str">
        <f>IF('Part III-Sources of Funds'!$I$41="","",-FV('Part III-Sources of Funds'!$K$41/12,12,D28/12,C42))</f>
        <v/>
      </c>
      <c r="E42" s="4087" t="str">
        <f>IF('Part III-Sources of Funds'!$I$41="","",-FV('Part III-Sources of Funds'!$K$41/12,12,E28/12,D42))</f>
        <v/>
      </c>
      <c r="F42" s="4087" t="str">
        <f>IF('Part III-Sources of Funds'!$I$41="","",-FV('Part III-Sources of Funds'!$K$41/12,12,F28/12,E42))</f>
        <v/>
      </c>
      <c r="G42" s="4087" t="str">
        <f>IF('Part III-Sources of Funds'!$I$41="","",-FV('Part III-Sources of Funds'!$K$41/12,12,G28/12,F42))</f>
        <v/>
      </c>
      <c r="H42" s="4087" t="str">
        <f>IF('Part III-Sources of Funds'!$I$41="","",-FV('Part III-Sources of Funds'!$K$41/12,12,H28/12,G42))</f>
        <v/>
      </c>
      <c r="I42" s="4087" t="str">
        <f>IF('Part III-Sources of Funds'!$I$41="","",-FV('Part III-Sources of Funds'!$K$41/12,12,I28/12,H42))</f>
        <v/>
      </c>
      <c r="J42" s="4087" t="str">
        <f>IF('Part III-Sources of Funds'!$I$41="","",-FV('Part III-Sources of Funds'!$K$41/12,12,J28/12,I42))</f>
        <v/>
      </c>
      <c r="K42" s="4087" t="str">
        <f>IF('Part III-Sources of Funds'!$I$41="","",-FV('Part III-Sources of Funds'!$K$41/12,12,K28/12,J42))</f>
        <v/>
      </c>
      <c r="N42" s="3973"/>
      <c r="O42" s="3975"/>
    </row>
    <row r="43" spans="1:19" ht="13.35" customHeight="1">
      <c r="A43" s="417" t="s">
        <v>3768</v>
      </c>
      <c r="B43" s="4090">
        <f>IF('Part III-Sources of Funds'!$I$43="","",-FV('Part III-Sources of Funds'!$K$43/12,12,B31/12,'Part III-Sources of Funds'!$I$43))</f>
        <v>7671.2742985767654</v>
      </c>
      <c r="C43" s="4090">
        <f>IF('Part III-Sources of Funds'!$I$43="","",IF(-FV('Part III-Sources of Funds'!$K$43/12,12,C31/12,B43)&gt;0,-FV('Part III-Sources of Funds'!$K$43/12,12,C31/12,B43),0))</f>
        <v>2.2742985767654318</v>
      </c>
      <c r="D43" s="4090">
        <f>IF('Part III-Sources of Funds'!$I$43="","",IF(-FV('Part III-Sources of Funds'!$K$43/12,12,D31/12,C43)&gt;0,-FV('Part III-Sources of Funds'!$K$43/12,12,D31/12,C43),0))</f>
        <v>2.2742985767654318</v>
      </c>
      <c r="E43" s="4090">
        <f>IF('Part III-Sources of Funds'!$I$43="","",IF(-FV('Part III-Sources of Funds'!$K$43/12,12,E31/12,D43)&gt;0,-FV('Part III-Sources of Funds'!$K$43/12,12,E31/12,D43),0))</f>
        <v>2.2742985767654318</v>
      </c>
      <c r="F43" s="4090">
        <f>IF('Part III-Sources of Funds'!$I$43="","",IF(-FV('Part III-Sources of Funds'!$K$43/12,12,F31/12,E43)&gt;0,-FV('Part III-Sources of Funds'!$K$43/12,12,F31/12,E43),0))</f>
        <v>2.2742985767654318</v>
      </c>
      <c r="G43" s="4090">
        <f>IF('Part III-Sources of Funds'!$I$43="","",IF(-FV('Part III-Sources of Funds'!$K$43/12,12,G31/12,F43)&gt;0,-FV('Part III-Sources of Funds'!$K$43/12,12,G31/12,F43),0))</f>
        <v>2.2742985767654318</v>
      </c>
      <c r="H43" s="4090">
        <f>IF('Part III-Sources of Funds'!$I$43="","",IF(-FV('Part III-Sources of Funds'!$K$43/12,12,H31/12,G43)&gt;0,-FV('Part III-Sources of Funds'!$K$43/12,12,H31/12,G43),0))</f>
        <v>2.2742985767654318</v>
      </c>
      <c r="I43" s="4090">
        <f>IF('Part III-Sources of Funds'!$I$43="","",IF(-FV('Part III-Sources of Funds'!$K$43/12,12,I31/12,H43)&gt;0,-FV('Part III-Sources of Funds'!$K$43/12,12,I31/12,H43),0))</f>
        <v>2.2742985767654318</v>
      </c>
      <c r="J43" s="4090">
        <f>IF('Part III-Sources of Funds'!$I$43="","",IF(-FV('Part III-Sources of Funds'!$K$43/12,12,J31/12,I43)&gt;0,-FV('Part III-Sources of Funds'!$K$43/12,12,J31/12,I43),0))</f>
        <v>2.2742985767654318</v>
      </c>
      <c r="K43" s="4090">
        <f>IF('Part III-Sources of Funds'!$I$43="","",IF(-FV('Part III-Sources of Funds'!$K$43/12,12,K31/12,J43)&gt;0,-FV('Part III-Sources of Funds'!$K$43/12,12,K31/12,J43),0))</f>
        <v>2.2742985767654318</v>
      </c>
      <c r="N43" s="4004"/>
      <c r="O43" s="4006"/>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2552</v>
      </c>
      <c r="O45" s="2484"/>
    </row>
    <row r="46" spans="1:19" ht="13.35" customHeight="1">
      <c r="A46" s="18" t="s">
        <v>2340</v>
      </c>
      <c r="B46" s="19">
        <f t="shared" ref="B46:K46" si="17">$B$14*(1+$B$5)^(B45-1)</f>
        <v>275648.77020457445</v>
      </c>
      <c r="C46" s="19">
        <f t="shared" si="17"/>
        <v>281161.74560866586</v>
      </c>
      <c r="D46" s="19">
        <f t="shared" si="17"/>
        <v>286784.98052083922</v>
      </c>
      <c r="E46" s="19">
        <f t="shared" si="17"/>
        <v>292520.680131256</v>
      </c>
      <c r="F46" s="19">
        <f t="shared" si="17"/>
        <v>298371.09373388113</v>
      </c>
      <c r="G46" s="19">
        <f t="shared" si="17"/>
        <v>304338.51560855866</v>
      </c>
      <c r="H46" s="19">
        <f t="shared" si="17"/>
        <v>310425.28592072992</v>
      </c>
      <c r="I46" s="19">
        <f t="shared" si="17"/>
        <v>316633.79163914453</v>
      </c>
      <c r="J46" s="19">
        <f t="shared" si="17"/>
        <v>322966.4674719274</v>
      </c>
      <c r="K46" s="20">
        <f t="shared" si="17"/>
        <v>329425.79682136595</v>
      </c>
      <c r="N46" s="4011"/>
      <c r="O46" s="4013"/>
    </row>
    <row r="47" spans="1:19" ht="13.35" customHeight="1">
      <c r="A47" s="21" t="s">
        <v>993</v>
      </c>
      <c r="B47" s="22">
        <f t="shared" ref="B47:K47" si="18">$B$15*(1+$B$5)^(B45-1)</f>
        <v>5512.9754040914895</v>
      </c>
      <c r="C47" s="22">
        <f t="shared" si="18"/>
        <v>5623.2349121733178</v>
      </c>
      <c r="D47" s="22">
        <f t="shared" si="18"/>
        <v>5735.6996104167856</v>
      </c>
      <c r="E47" s="22">
        <f t="shared" si="18"/>
        <v>5850.4136026251208</v>
      </c>
      <c r="F47" s="22">
        <f t="shared" si="18"/>
        <v>5967.4218746776232</v>
      </c>
      <c r="G47" s="22">
        <f t="shared" si="18"/>
        <v>6086.7703121711747</v>
      </c>
      <c r="H47" s="22">
        <f t="shared" si="18"/>
        <v>6208.505718414599</v>
      </c>
      <c r="I47" s="22">
        <f t="shared" si="18"/>
        <v>6332.6758327828911</v>
      </c>
      <c r="J47" s="22">
        <f t="shared" si="18"/>
        <v>6459.3293494385489</v>
      </c>
      <c r="K47" s="23">
        <f t="shared" si="18"/>
        <v>6588.5159364273195</v>
      </c>
      <c r="N47" s="3973"/>
      <c r="O47" s="3975"/>
    </row>
    <row r="48" spans="1:19" ht="13.35" customHeight="1">
      <c r="A48" s="21" t="s">
        <v>2341</v>
      </c>
      <c r="B48" s="22">
        <f t="shared" ref="B48:K48" si="19">-(B46+B47)*$B$8</f>
        <v>-19681.322192606618</v>
      </c>
      <c r="C48" s="22">
        <f t="shared" si="19"/>
        <v>-20074.948636458743</v>
      </c>
      <c r="D48" s="22">
        <f t="shared" si="19"/>
        <v>-20476.447609187922</v>
      </c>
      <c r="E48" s="22">
        <f t="shared" si="19"/>
        <v>-20885.976561371681</v>
      </c>
      <c r="F48" s="22">
        <f t="shared" si="19"/>
        <v>-21303.696092599115</v>
      </c>
      <c r="G48" s="22">
        <f t="shared" si="19"/>
        <v>-21729.770014451093</v>
      </c>
      <c r="H48" s="22">
        <f t="shared" si="19"/>
        <v>-22164.365414740118</v>
      </c>
      <c r="I48" s="22">
        <f t="shared" si="19"/>
        <v>-22607.65272303492</v>
      </c>
      <c r="J48" s="22">
        <f t="shared" si="19"/>
        <v>-23059.805777495618</v>
      </c>
      <c r="K48" s="23">
        <f t="shared" si="19"/>
        <v>-23521.001893045534</v>
      </c>
      <c r="N48" s="3973"/>
      <c r="O48" s="397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73"/>
      <c r="O49" s="397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73"/>
      <c r="O50" s="3975"/>
    </row>
    <row r="51" spans="1:19" ht="13.35" customHeight="1">
      <c r="A51" s="417" t="s">
        <v>4375</v>
      </c>
      <c r="B51" s="22">
        <f t="shared" ref="B51:K51" si="20">SUM(B46:B50)</f>
        <v>261480.42341605929</v>
      </c>
      <c r="C51" s="22">
        <f t="shared" si="20"/>
        <v>266710.03188438044</v>
      </c>
      <c r="D51" s="22">
        <f t="shared" si="20"/>
        <v>272044.23252206808</v>
      </c>
      <c r="E51" s="22">
        <f t="shared" si="20"/>
        <v>277485.11717250943</v>
      </c>
      <c r="F51" s="22">
        <f t="shared" si="20"/>
        <v>283034.81951595965</v>
      </c>
      <c r="G51" s="22">
        <f t="shared" si="20"/>
        <v>288695.51590627874</v>
      </c>
      <c r="H51" s="22">
        <f t="shared" si="20"/>
        <v>294469.42622440442</v>
      </c>
      <c r="I51" s="22">
        <f t="shared" si="20"/>
        <v>300358.8147488925</v>
      </c>
      <c r="J51" s="22">
        <f t="shared" si="20"/>
        <v>306365.99104387034</v>
      </c>
      <c r="K51" s="23">
        <f t="shared" si="20"/>
        <v>312493.31086474773</v>
      </c>
      <c r="N51" s="3973"/>
      <c r="O51" s="3975"/>
    </row>
    <row r="52" spans="1:19" ht="13.35" customHeight="1">
      <c r="A52" s="21" t="s">
        <v>596</v>
      </c>
      <c r="B52" s="22">
        <f t="shared" ref="B52:K52" si="21">$B$20*(1+$B$6)^(B45-1)</f>
        <v>-182763.22017614514</v>
      </c>
      <c r="C52" s="22">
        <f t="shared" si="21"/>
        <v>-188246.1167814295</v>
      </c>
      <c r="D52" s="22">
        <f t="shared" si="21"/>
        <v>-193893.50028487237</v>
      </c>
      <c r="E52" s="22">
        <f t="shared" si="21"/>
        <v>-199710.30529341853</v>
      </c>
      <c r="F52" s="22">
        <f t="shared" si="21"/>
        <v>-205701.61445222111</v>
      </c>
      <c r="G52" s="22">
        <f t="shared" si="21"/>
        <v>-211872.66288578775</v>
      </c>
      <c r="H52" s="22">
        <f t="shared" si="21"/>
        <v>-218228.84277236136</v>
      </c>
      <c r="I52" s="22">
        <f t="shared" si="21"/>
        <v>-224775.70805553219</v>
      </c>
      <c r="J52" s="22">
        <f t="shared" si="21"/>
        <v>-231518.97929719815</v>
      </c>
      <c r="K52" s="23">
        <f t="shared" si="21"/>
        <v>-238464.54867611409</v>
      </c>
      <c r="N52" s="3973"/>
      <c r="O52" s="3975"/>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-18304</v>
      </c>
      <c r="C53" s="22">
        <f>IF(AND('Part VII-Pro Forma'!$G$8="Yes",'Part VII-Pro Forma'!$G$9="Yes"),"Choose One!",IF('Part VII-Pro Forma'!$G$8="Yes",ROUND((-$K$8*(1+'Part VII-Pro Forma'!$B$6)^('Part VII-Pro Forma'!C45-1)),),IF('Part VII-Pro Forma'!$G$9="Yes",ROUND((-(SUM(C46:C49)*'Part VII-Pro Forma'!$K$9)),),"Choose mgt fee")))</f>
        <v>-18670</v>
      </c>
      <c r="D53" s="22">
        <f>IF(AND('Part VII-Pro Forma'!$G$8="Yes",'Part VII-Pro Forma'!$G$9="Yes"),"Choose One!",IF('Part VII-Pro Forma'!$G$8="Yes",ROUND((-$K$8*(1+'Part VII-Pro Forma'!$B$6)^('Part VII-Pro Forma'!D45-1)),),IF('Part VII-Pro Forma'!$G$9="Yes",ROUND((-(SUM(D46:D49)*'Part VII-Pro Forma'!$K$9)),),"Choose mgt fee")))</f>
        <v>-19043</v>
      </c>
      <c r="E53" s="22">
        <f>IF(AND('Part VII-Pro Forma'!$G$8="Yes",'Part VII-Pro Forma'!$G$9="Yes"),"Choose One!",IF('Part VII-Pro Forma'!$G$8="Yes",ROUND((-$K$8*(1+'Part VII-Pro Forma'!$B$6)^('Part VII-Pro Forma'!E45-1)),),IF('Part VII-Pro Forma'!$G$9="Yes",ROUND((-(SUM(E46:E49)*'Part VII-Pro Forma'!$K$9)),),"Choose mgt fee")))</f>
        <v>-19424</v>
      </c>
      <c r="F53" s="22">
        <f>IF(AND('Part VII-Pro Forma'!$G$8="Yes",'Part VII-Pro Forma'!$G$9="Yes"),"Choose One!",IF('Part VII-Pro Forma'!$G$8="Yes",ROUND((-$K$8*(1+'Part VII-Pro Forma'!$B$6)^('Part VII-Pro Forma'!F45-1)),),IF('Part VII-Pro Forma'!$G$9="Yes",ROUND((-(SUM(F46:F49)*'Part VII-Pro Forma'!$K$9)),),"Choose mgt fee")))</f>
        <v>-19812</v>
      </c>
      <c r="G53" s="22">
        <f>IF(AND('Part VII-Pro Forma'!$G$8="Yes",'Part VII-Pro Forma'!$G$9="Yes"),"Choose One!",IF('Part VII-Pro Forma'!$G$8="Yes",ROUND((-$K$8*(1+'Part VII-Pro Forma'!$B$6)^('Part VII-Pro Forma'!G45-1)),),IF('Part VII-Pro Forma'!$G$9="Yes",ROUND((-(SUM(G46:G49)*'Part VII-Pro Forma'!$K$9)),),"Choose mgt fee")))</f>
        <v>-20209</v>
      </c>
      <c r="H53" s="22">
        <f>IF(AND('Part VII-Pro Forma'!$G$8="Yes",'Part VII-Pro Forma'!$G$9="Yes"),"Choose One!",IF('Part VII-Pro Forma'!$G$8="Yes",ROUND((-$K$8*(1+'Part VII-Pro Forma'!$B$6)^('Part VII-Pro Forma'!H45-1)),),IF('Part VII-Pro Forma'!$G$9="Yes",ROUND((-(SUM(H46:H49)*'Part VII-Pro Forma'!$K$9)),),"Choose mgt fee")))</f>
        <v>-20613</v>
      </c>
      <c r="I53" s="22">
        <f>IF(AND('Part VII-Pro Forma'!$G$8="Yes",'Part VII-Pro Forma'!$G$9="Yes"),"Choose One!",IF('Part VII-Pro Forma'!$G$8="Yes",ROUND((-$K$8*(1+'Part VII-Pro Forma'!$B$6)^('Part VII-Pro Forma'!I45-1)),),IF('Part VII-Pro Forma'!$G$9="Yes",ROUND((-(SUM(I46:I49)*'Part VII-Pro Forma'!$K$9)),),"Choose mgt fee")))</f>
        <v>-21025</v>
      </c>
      <c r="J53" s="22">
        <f>IF(AND('Part VII-Pro Forma'!$G$8="Yes",'Part VII-Pro Forma'!$G$9="Yes"),"Choose One!",IF('Part VII-Pro Forma'!$G$8="Yes",ROUND((-$K$8*(1+'Part VII-Pro Forma'!$B$6)^('Part VII-Pro Forma'!J45-1)),),IF('Part VII-Pro Forma'!$G$9="Yes",ROUND((-(SUM(J46:J49)*'Part VII-Pro Forma'!$K$9)),),"Choose mgt fee")))</f>
        <v>-21446</v>
      </c>
      <c r="K53" s="23">
        <f>IF(AND('Part VII-Pro Forma'!$G$8="Yes",'Part VII-Pro Forma'!$G$9="Yes"),"Choose One!",IF('Part VII-Pro Forma'!$G$8="Yes",ROUND((-$K$8*(1+'Part VII-Pro Forma'!$B$6)^('Part VII-Pro Forma'!K45-1)),),IF('Part VII-Pro Forma'!$G$9="Yes",ROUND((-(SUM(K46:K49)*'Part VII-Pro Forma'!$K$9)),),"Choose mgt fee")))</f>
        <v>-21875</v>
      </c>
      <c r="N53" s="3973"/>
      <c r="O53" s="3975"/>
    </row>
    <row r="54" spans="1:19" ht="13.35" customHeight="1">
      <c r="A54" s="21" t="s">
        <v>1175</v>
      </c>
      <c r="B54" s="22">
        <f t="shared" ref="B54:K54" si="22">$B$22*(1+$B$7)^(B45-1)</f>
        <v>-18814.829310817706</v>
      </c>
      <c r="C54" s="22">
        <f t="shared" si="22"/>
        <v>-19379.274190142238</v>
      </c>
      <c r="D54" s="22">
        <f t="shared" si="22"/>
        <v>-19960.6524158465</v>
      </c>
      <c r="E54" s="22">
        <f t="shared" si="22"/>
        <v>-20559.471988321893</v>
      </c>
      <c r="F54" s="22">
        <f t="shared" si="22"/>
        <v>-21176.256147971555</v>
      </c>
      <c r="G54" s="22">
        <f t="shared" si="22"/>
        <v>-21811.543832410702</v>
      </c>
      <c r="H54" s="22">
        <f t="shared" si="22"/>
        <v>-22465.890147383019</v>
      </c>
      <c r="I54" s="22">
        <f t="shared" si="22"/>
        <v>-23139.866851804509</v>
      </c>
      <c r="J54" s="22">
        <f t="shared" si="22"/>
        <v>-23834.062857358644</v>
      </c>
      <c r="K54" s="23">
        <f t="shared" si="22"/>
        <v>-24549.084743079406</v>
      </c>
      <c r="N54" s="3973"/>
      <c r="O54" s="3975"/>
      <c r="Q54" s="929">
        <v>10</v>
      </c>
      <c r="R54" s="1043">
        <f>-SUM(B60:K60)</f>
        <v>0</v>
      </c>
      <c r="S54" s="1043">
        <f>SUM(B61:K61)+R54</f>
        <v>0</v>
      </c>
    </row>
    <row r="55" spans="1:19" ht="13.35" customHeight="1">
      <c r="A55" s="417" t="s">
        <v>4374</v>
      </c>
      <c r="B55" s="4085">
        <f>IF(B45&lt;=+'Part VI-Revenues &amp; Expenses'!$N$250,-'Part VI-Revenues &amp; Expenses'!$K$250,0)</f>
        <v>0</v>
      </c>
      <c r="C55" s="4085">
        <f>IF(C45&lt;=+'Part VI-Revenues &amp; Expenses'!$N$250,-'Part VI-Revenues &amp; Expenses'!$K$250,0)</f>
        <v>0</v>
      </c>
      <c r="D55" s="4085">
        <f>IF(D45&lt;=+'Part VI-Revenues &amp; Expenses'!$N$250,-'Part VI-Revenues &amp; Expenses'!$K$250,0)</f>
        <v>0</v>
      </c>
      <c r="E55" s="4085">
        <f>IF(E45&lt;=+'Part VI-Revenues &amp; Expenses'!$N$250,-'Part VI-Revenues &amp; Expenses'!$K$250,0)</f>
        <v>0</v>
      </c>
      <c r="F55" s="4085">
        <f>IF(F45&lt;=+'Part VI-Revenues &amp; Expenses'!$N$250,-'Part VI-Revenues &amp; Expenses'!$K$250,0)</f>
        <v>0</v>
      </c>
      <c r="G55" s="4085">
        <f>IF(G45&lt;=+'Part VI-Revenues &amp; Expenses'!$N$250,-'Part VI-Revenues &amp; Expenses'!$K$250,0)</f>
        <v>0</v>
      </c>
      <c r="H55" s="4085">
        <f>IF(H45&lt;=+'Part VI-Revenues &amp; Expenses'!$N$250,-'Part VI-Revenues &amp; Expenses'!$K$250,0)</f>
        <v>0</v>
      </c>
      <c r="I55" s="4085">
        <f>IF(I45&lt;=+'Part VI-Revenues &amp; Expenses'!$N$250,-'Part VI-Revenues &amp; Expenses'!$K$250,0)</f>
        <v>0</v>
      </c>
      <c r="J55" s="4085">
        <f>IF(J45&lt;=+'Part VI-Revenues &amp; Expenses'!$N$250,-'Part VI-Revenues &amp; Expenses'!$K$250,0)</f>
        <v>0</v>
      </c>
      <c r="K55" s="4085">
        <f>IF(K45&lt;=+'Part VI-Revenues &amp; Expenses'!$N$250,-'Part VI-Revenues &amp; Expenses'!$K$250,0)</f>
        <v>0</v>
      </c>
      <c r="N55" s="3973"/>
      <c r="O55" s="3975"/>
    </row>
    <row r="56" spans="1:19" ht="13.35" customHeight="1">
      <c r="A56" s="21" t="s">
        <v>1176</v>
      </c>
      <c r="B56" s="22">
        <f t="shared" ref="B56:K56" si="23">SUM(B51:B55)</f>
        <v>41598.373929096444</v>
      </c>
      <c r="C56" s="22">
        <f t="shared" si="23"/>
        <v>40414.640912808696</v>
      </c>
      <c r="D56" s="22">
        <f t="shared" si="23"/>
        <v>39147.079821349209</v>
      </c>
      <c r="E56" s="22">
        <f t="shared" si="23"/>
        <v>37791.339890769013</v>
      </c>
      <c r="F56" s="22">
        <f t="shared" si="23"/>
        <v>36344.948915766989</v>
      </c>
      <c r="G56" s="22">
        <f t="shared" si="23"/>
        <v>34802.309188080289</v>
      </c>
      <c r="H56" s="22">
        <f t="shared" si="23"/>
        <v>33161.693304660046</v>
      </c>
      <c r="I56" s="22">
        <f t="shared" si="23"/>
        <v>31418.239841555805</v>
      </c>
      <c r="J56" s="22">
        <f t="shared" si="23"/>
        <v>29566.948889313542</v>
      </c>
      <c r="K56" s="1482">
        <f t="shared" si="23"/>
        <v>27604.677445554236</v>
      </c>
      <c r="N56" s="3973"/>
      <c r="O56" s="3975"/>
    </row>
    <row r="57" spans="1:19" ht="13.35" customHeight="1">
      <c r="A57" s="21" t="str">
        <f>$A25</f>
        <v>Mortgage A</v>
      </c>
      <c r="B57" s="4086">
        <f>IF('Part III-Sources of Funds'!$P$38="", 0,-'Part III-Sources of Funds'!$P$38)</f>
        <v>-22137.295098576764</v>
      </c>
      <c r="C57" s="4086">
        <f>IF('Part III-Sources of Funds'!$P$38="", 0,-'Part III-Sources of Funds'!$P$38)</f>
        <v>-22137.295098576764</v>
      </c>
      <c r="D57" s="4086">
        <f>IF('Part III-Sources of Funds'!$P$38="", 0,-'Part III-Sources of Funds'!$P$38)</f>
        <v>-22137.295098576764</v>
      </c>
      <c r="E57" s="4086">
        <f>IF('Part III-Sources of Funds'!$P$38="", 0,-'Part III-Sources of Funds'!$P$38)</f>
        <v>-22137.295098576764</v>
      </c>
      <c r="F57" s="4086">
        <f>IF('Part III-Sources of Funds'!$P$38="", 0,-'Part III-Sources of Funds'!$P$38)</f>
        <v>-22137.295098576764</v>
      </c>
      <c r="G57" s="4086"/>
      <c r="H57" s="4086"/>
      <c r="I57" s="4086"/>
      <c r="J57" s="4086"/>
      <c r="K57" s="4086"/>
      <c r="N57" s="3973"/>
      <c r="O57" s="3975"/>
    </row>
    <row r="58" spans="1:19" ht="13.35" customHeight="1">
      <c r="A58" s="21" t="str">
        <f>$A26</f>
        <v>Mortgage B</v>
      </c>
      <c r="B58" s="4087">
        <f>IF('Part III-Sources of Funds'!$P$39="", 0,-'Part III-Sources of Funds'!$P$39)</f>
        <v>0</v>
      </c>
      <c r="C58" s="4087">
        <f>IF('Part III-Sources of Funds'!$P$39="", 0,-'Part III-Sources of Funds'!$P$39)</f>
        <v>0</v>
      </c>
      <c r="D58" s="4087">
        <f>IF('Part III-Sources of Funds'!$P$39="", 0,-'Part III-Sources of Funds'!$P$39)</f>
        <v>0</v>
      </c>
      <c r="E58" s="4087">
        <f>IF('Part III-Sources of Funds'!$P$39="", 0,-'Part III-Sources of Funds'!$P$39)</f>
        <v>0</v>
      </c>
      <c r="F58" s="4087">
        <f>IF('Part III-Sources of Funds'!$P$39="", 0,-'Part III-Sources of Funds'!$P$39)</f>
        <v>0</v>
      </c>
      <c r="G58" s="4087">
        <f>IF('Part III-Sources of Funds'!$P$39="", 0,-'Part III-Sources of Funds'!$P$39)</f>
        <v>0</v>
      </c>
      <c r="H58" s="4087">
        <f>IF('Part III-Sources of Funds'!$P$39="", 0,-'Part III-Sources of Funds'!$P$39)</f>
        <v>0</v>
      </c>
      <c r="I58" s="4087">
        <f>IF('Part III-Sources of Funds'!$P$39="", 0,-'Part III-Sources of Funds'!$P$39)</f>
        <v>0</v>
      </c>
      <c r="J58" s="4087">
        <f>IF('Part III-Sources of Funds'!$P$39="", 0,-'Part III-Sources of Funds'!$P$39)</f>
        <v>0</v>
      </c>
      <c r="K58" s="4087">
        <f>IF('Part III-Sources of Funds'!$P$39="", 0,-'Part III-Sources of Funds'!$P$39)</f>
        <v>0</v>
      </c>
      <c r="N58" s="3973"/>
      <c r="O58" s="3975"/>
    </row>
    <row r="59" spans="1:19" ht="13.35" customHeight="1">
      <c r="A59" s="21" t="str">
        <f>$A27</f>
        <v>Mortgage C</v>
      </c>
      <c r="B59" s="4087">
        <f>IF('Part III-Sources of Funds'!$P$40="", 0,-'Part III-Sources of Funds'!$P$40)</f>
        <v>0</v>
      </c>
      <c r="C59" s="4087">
        <f>IF('Part III-Sources of Funds'!$P$40="", 0,-'Part III-Sources of Funds'!$P$40)</f>
        <v>0</v>
      </c>
      <c r="D59" s="4087">
        <f>IF('Part III-Sources of Funds'!$P$40="", 0,-'Part III-Sources of Funds'!$P$40)</f>
        <v>0</v>
      </c>
      <c r="E59" s="4087">
        <f>IF('Part III-Sources of Funds'!$P$40="", 0,-'Part III-Sources of Funds'!$P$40)</f>
        <v>0</v>
      </c>
      <c r="F59" s="4087">
        <f>IF('Part III-Sources of Funds'!$P$40="", 0,-'Part III-Sources of Funds'!$P$40)</f>
        <v>0</v>
      </c>
      <c r="G59" s="4087">
        <f>IF('Part III-Sources of Funds'!$P$40="", 0,-'Part III-Sources of Funds'!$P$40)</f>
        <v>0</v>
      </c>
      <c r="H59" s="4087">
        <f>IF('Part III-Sources of Funds'!$P$40="", 0,-'Part III-Sources of Funds'!$P$40)</f>
        <v>0</v>
      </c>
      <c r="I59" s="4087">
        <f>IF('Part III-Sources of Funds'!$P$40="", 0,-'Part III-Sources of Funds'!$P$40)</f>
        <v>0</v>
      </c>
      <c r="J59" s="4087">
        <f>IF('Part III-Sources of Funds'!$P$40="", 0,-'Part III-Sources of Funds'!$P$40)</f>
        <v>0</v>
      </c>
      <c r="K59" s="4087">
        <f>IF('Part III-Sources of Funds'!$P$40="", 0,-'Part III-Sources of Funds'!$P$40)</f>
        <v>0</v>
      </c>
      <c r="N59" s="3973"/>
      <c r="O59" s="3975"/>
    </row>
    <row r="60" spans="1:19" ht="13.35" customHeight="1">
      <c r="A60" s="21" t="str">
        <f>$A28</f>
        <v>D/S Other Source,not DDF</v>
      </c>
      <c r="B60" s="4087">
        <f>IF('Part III-Sources of Funds'!$P$41="", 0,-'Part III-Sources of Funds'!$P$41)</f>
        <v>0</v>
      </c>
      <c r="C60" s="4087">
        <f>IF('Part III-Sources of Funds'!$P$41="", 0,-'Part III-Sources of Funds'!$P$41)</f>
        <v>0</v>
      </c>
      <c r="D60" s="4087">
        <f>IF('Part III-Sources of Funds'!$P$41="", 0,-'Part III-Sources of Funds'!$P$41)</f>
        <v>0</v>
      </c>
      <c r="E60" s="4087">
        <f>IF('Part III-Sources of Funds'!$P$41="", 0,-'Part III-Sources of Funds'!$P$41)</f>
        <v>0</v>
      </c>
      <c r="F60" s="4087">
        <f>IF('Part III-Sources of Funds'!$P$41="", 0,-'Part III-Sources of Funds'!$P$41)</f>
        <v>0</v>
      </c>
      <c r="G60" s="4087">
        <f>IF('Part III-Sources of Funds'!$P$41="", 0,-'Part III-Sources of Funds'!$P$41)</f>
        <v>0</v>
      </c>
      <c r="H60" s="4087">
        <f>IF('Part III-Sources of Funds'!$P$41="", 0,-'Part III-Sources of Funds'!$P$41)</f>
        <v>0</v>
      </c>
      <c r="I60" s="4087">
        <f>IF('Part III-Sources of Funds'!$P$41="", 0,-'Part III-Sources of Funds'!$P$41)</f>
        <v>0</v>
      </c>
      <c r="J60" s="4087">
        <f>IF('Part III-Sources of Funds'!$P$41="", 0,-'Part III-Sources of Funds'!$P$41)</f>
        <v>0</v>
      </c>
      <c r="K60" s="4087">
        <f>IF('Part III-Sources of Funds'!$P$41="", 0,-'Part III-Sources of Funds'!$P$41)</f>
        <v>0</v>
      </c>
      <c r="N60" s="3973"/>
      <c r="O60" s="3975"/>
    </row>
    <row r="61" spans="1:19" ht="13.35" customHeight="1">
      <c r="A61" s="21" t="s">
        <v>744</v>
      </c>
      <c r="B61" s="4088"/>
      <c r="C61" s="4088"/>
      <c r="D61" s="4088"/>
      <c r="E61" s="4088"/>
      <c r="F61" s="4088"/>
      <c r="G61" s="4088"/>
      <c r="H61" s="4088"/>
      <c r="I61" s="4088"/>
      <c r="J61" s="4088"/>
      <c r="K61" s="4088"/>
      <c r="N61" s="3973"/>
      <c r="O61" s="3975"/>
      <c r="Q61" s="929"/>
      <c r="R61" s="1043"/>
    </row>
    <row r="62" spans="1:19" ht="13.35" customHeight="1">
      <c r="A62" s="417" t="s">
        <v>1140</v>
      </c>
      <c r="B62" s="4087">
        <f>+K30</f>
        <v>-5500</v>
      </c>
      <c r="C62" s="4087">
        <f t="shared" ref="C62:F62" si="24">+B62</f>
        <v>-5500</v>
      </c>
      <c r="D62" s="4087">
        <f t="shared" si="24"/>
        <v>-5500</v>
      </c>
      <c r="E62" s="4087">
        <f t="shared" si="24"/>
        <v>-5500</v>
      </c>
      <c r="F62" s="4087">
        <f t="shared" si="24"/>
        <v>-5500</v>
      </c>
      <c r="G62" s="4087"/>
      <c r="H62" s="4087"/>
      <c r="I62" s="4087"/>
      <c r="J62" s="4087"/>
      <c r="K62" s="4087"/>
      <c r="N62" s="3973"/>
      <c r="O62" s="3975"/>
    </row>
    <row r="63" spans="1:19" ht="13.35" customHeight="1">
      <c r="A63" s="417" t="s">
        <v>3767</v>
      </c>
      <c r="B63" s="4090"/>
      <c r="C63" s="4090"/>
      <c r="D63" s="4090"/>
      <c r="E63" s="4090"/>
      <c r="F63" s="4090">
        <f>IF('Part III-Sources of Funds'!$P$43="", 0,-'Part III-Sources of Funds'!$P$43)</f>
        <v>0</v>
      </c>
      <c r="G63" s="4090"/>
      <c r="H63" s="4090"/>
      <c r="I63" s="4090"/>
      <c r="J63" s="4090"/>
      <c r="K63" s="4090"/>
      <c r="N63" s="3973"/>
      <c r="O63" s="3975"/>
    </row>
    <row r="64" spans="1:19" ht="13.35" customHeight="1">
      <c r="A64" s="21" t="s">
        <v>1141</v>
      </c>
      <c r="B64" s="22">
        <f t="shared" ref="B64:K64" si="25">SUM(B56:B63)</f>
        <v>13961.07883051968</v>
      </c>
      <c r="C64" s="22">
        <f t="shared" si="25"/>
        <v>12777.345814231932</v>
      </c>
      <c r="D64" s="22">
        <f t="shared" si="25"/>
        <v>11509.784722772445</v>
      </c>
      <c r="E64" s="22">
        <f t="shared" si="25"/>
        <v>10154.04479219225</v>
      </c>
      <c r="F64" s="22">
        <f t="shared" si="25"/>
        <v>8707.6538171902248</v>
      </c>
      <c r="G64" s="22">
        <f t="shared" si="25"/>
        <v>34802.309188080289</v>
      </c>
      <c r="H64" s="22">
        <f t="shared" si="25"/>
        <v>33161.693304660046</v>
      </c>
      <c r="I64" s="22">
        <f t="shared" si="25"/>
        <v>31418.239841555805</v>
      </c>
      <c r="J64" s="22">
        <f t="shared" si="25"/>
        <v>29566.948889313542</v>
      </c>
      <c r="K64" s="596">
        <f t="shared" si="25"/>
        <v>27604.677445554236</v>
      </c>
      <c r="N64" s="3973"/>
      <c r="O64" s="3975"/>
    </row>
    <row r="65" spans="1:15" ht="13.35" customHeight="1">
      <c r="A65" s="21" t="str">
        <f>$A33</f>
        <v>DCR Mortgage A</v>
      </c>
      <c r="B65" s="24">
        <f t="shared" ref="B65:K65" si="26">IF(B57=0,"",-B56/B57)</f>
        <v>1.8791082534636701</v>
      </c>
      <c r="C65" s="24">
        <f t="shared" si="26"/>
        <v>1.8256359113813778</v>
      </c>
      <c r="D65" s="24">
        <f t="shared" si="26"/>
        <v>1.768376834072471</v>
      </c>
      <c r="E65" s="24">
        <f t="shared" si="26"/>
        <v>1.7071344860555555</v>
      </c>
      <c r="F65" s="24">
        <f t="shared" si="26"/>
        <v>1.6417971912974885</v>
      </c>
      <c r="G65" s="24" t="str">
        <f t="shared" si="26"/>
        <v/>
      </c>
      <c r="H65" s="24" t="str">
        <f t="shared" si="26"/>
        <v/>
      </c>
      <c r="I65" s="24" t="str">
        <f t="shared" si="26"/>
        <v/>
      </c>
      <c r="J65" s="24" t="str">
        <f t="shared" si="26"/>
        <v/>
      </c>
      <c r="K65" s="25" t="str">
        <f t="shared" si="26"/>
        <v/>
      </c>
      <c r="N65" s="3973"/>
      <c r="O65" s="397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73"/>
      <c r="O66" s="397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73"/>
      <c r="O67" s="397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73"/>
      <c r="O68" s="3975"/>
    </row>
    <row r="69" spans="1:15" ht="13.35" customHeight="1">
      <c r="A69" s="417" t="s">
        <v>3530</v>
      </c>
      <c r="B69" s="24">
        <f t="shared" ref="B69:K69" si="30">IF(AND(B57=0,B58=0,B59=0,B60=0),"",-B56/(B57+B58+B59+B60))</f>
        <v>1.8791082534636701</v>
      </c>
      <c r="C69" s="24">
        <f t="shared" si="30"/>
        <v>1.8256359113813778</v>
      </c>
      <c r="D69" s="24">
        <f t="shared" si="30"/>
        <v>1.768376834072471</v>
      </c>
      <c r="E69" s="24">
        <f t="shared" si="30"/>
        <v>1.7071344860555555</v>
      </c>
      <c r="F69" s="24">
        <f t="shared" si="30"/>
        <v>1.6417971912974885</v>
      </c>
      <c r="G69" s="24" t="str">
        <f t="shared" si="30"/>
        <v/>
      </c>
      <c r="H69" s="24" t="str">
        <f t="shared" si="30"/>
        <v/>
      </c>
      <c r="I69" s="24" t="str">
        <f t="shared" si="30"/>
        <v/>
      </c>
      <c r="J69" s="24" t="str">
        <f t="shared" si="30"/>
        <v/>
      </c>
      <c r="K69" s="25" t="str">
        <f t="shared" si="30"/>
        <v/>
      </c>
      <c r="N69" s="3973"/>
      <c r="O69" s="3975"/>
    </row>
    <row r="70" spans="1:15" ht="13.35" customHeight="1">
      <c r="A70" s="21" t="s">
        <v>751</v>
      </c>
      <c r="B70" s="265">
        <f t="shared" ref="B70:K70" si="31">IF(OR(B53="Choose mgt fee",B53="Choose One!"),"",(B46+B47+B48+B49+B50) / -(B52+B53+B54))</f>
        <v>1.189184947230369</v>
      </c>
      <c r="C70" s="265">
        <f t="shared" si="31"/>
        <v>1.1785924173678191</v>
      </c>
      <c r="D70" s="265">
        <f t="shared" si="31"/>
        <v>1.168087412694369</v>
      </c>
      <c r="E70" s="265">
        <f t="shared" si="31"/>
        <v>1.1576650855076158</v>
      </c>
      <c r="F70" s="265">
        <f t="shared" si="31"/>
        <v>1.147330528113458</v>
      </c>
      <c r="G70" s="265">
        <f t="shared" si="31"/>
        <v>1.1370745977725514</v>
      </c>
      <c r="H70" s="265">
        <f t="shared" si="31"/>
        <v>1.1269066664584511</v>
      </c>
      <c r="I70" s="265">
        <f t="shared" si="31"/>
        <v>1.1168222379697856</v>
      </c>
      <c r="J70" s="265">
        <f t="shared" si="31"/>
        <v>1.1068173815168196</v>
      </c>
      <c r="K70" s="266">
        <f t="shared" si="31"/>
        <v>1.0968963805759702</v>
      </c>
      <c r="N70" s="3973"/>
      <c r="O70" s="3975"/>
    </row>
    <row r="71" spans="1:15" ht="13.35" customHeight="1">
      <c r="A71" s="417" t="s">
        <v>2548</v>
      </c>
      <c r="B71" s="4091">
        <f>IF('Part III-Sources of Funds'!$I$38="","",-FV('Part III-Sources of Funds'!$K$38/12,12,B57/12,K39))</f>
        <v>288249.31778594776</v>
      </c>
      <c r="C71" s="4091">
        <f>IF('Part III-Sources of Funds'!$I$38="","",-FV('Part III-Sources of Funds'!$K$38/12,12,C57/12,B71))</f>
        <v>278167.74224437476</v>
      </c>
      <c r="D71" s="4091">
        <f>IF('Part III-Sources of Funds'!$I$38="","",-FV('Part III-Sources of Funds'!$K$38/12,12,D57/12,C71))</f>
        <v>267649.25424202712</v>
      </c>
      <c r="E71" s="4091">
        <f>IF('Part III-Sources of Funds'!$I$38="","",-FV('Part III-Sources of Funds'!$K$38/12,12,E57/12,D71))</f>
        <v>256674.91899062763</v>
      </c>
      <c r="F71" s="4091">
        <f>IF('Part III-Sources of Funds'!$I$38="","",-FV('Part III-Sources of Funds'!$K$38/12,12,F57/12,E71))</f>
        <v>245224.98111141636</v>
      </c>
      <c r="G71" s="4091"/>
      <c r="H71" s="4091"/>
      <c r="I71" s="4091"/>
      <c r="J71" s="4091"/>
      <c r="K71" s="4091"/>
      <c r="N71" s="3973"/>
      <c r="O71" s="3975"/>
    </row>
    <row r="72" spans="1:15" ht="13.35" customHeight="1">
      <c r="A72" s="417" t="s">
        <v>2549</v>
      </c>
      <c r="B72" s="4087" t="str">
        <f>IF('Part III-Sources of Funds'!$I$39="","",-FV('Part III-Sources of Funds'!$K$39/12,12,B58/12,K40))</f>
        <v/>
      </c>
      <c r="C72" s="4087" t="str">
        <f>IF('Part III-Sources of Funds'!$I$39="","",-FV('Part III-Sources of Funds'!$K$39/12,12,C58/12,B72))</f>
        <v/>
      </c>
      <c r="D72" s="4087" t="str">
        <f>IF('Part III-Sources of Funds'!$I$39="","",-FV('Part III-Sources of Funds'!$K$39/12,12,D58/12,C72))</f>
        <v/>
      </c>
      <c r="E72" s="4087" t="str">
        <f>IF('Part III-Sources of Funds'!$I$39="","",-FV('Part III-Sources of Funds'!$K$39/12,12,E58/12,D72))</f>
        <v/>
      </c>
      <c r="F72" s="4087" t="str">
        <f>IF('Part III-Sources of Funds'!$I$39="","",-FV('Part III-Sources of Funds'!$K$39/12,12,F58/12,E72))</f>
        <v/>
      </c>
      <c r="G72" s="4087" t="str">
        <f>IF('Part III-Sources of Funds'!$I$39="","",-FV('Part III-Sources of Funds'!$K$39/12,12,G58/12,F72))</f>
        <v/>
      </c>
      <c r="H72" s="4087" t="str">
        <f>IF('Part III-Sources of Funds'!$I$39="","",-FV('Part III-Sources of Funds'!$K$39/12,12,H58/12,G72))</f>
        <v/>
      </c>
      <c r="I72" s="4087" t="str">
        <f>IF('Part III-Sources of Funds'!$I$39="","",-FV('Part III-Sources of Funds'!$K$39/12,12,I58/12,H72))</f>
        <v/>
      </c>
      <c r="J72" s="4087" t="str">
        <f>IF('Part III-Sources of Funds'!$I$39="","",-FV('Part III-Sources of Funds'!$K$39/12,12,J58/12,I72))</f>
        <v/>
      </c>
      <c r="K72" s="4087" t="str">
        <f>IF('Part III-Sources of Funds'!$I$39="","",-FV('Part III-Sources of Funds'!$K$39/12,12,K58/12,J72))</f>
        <v/>
      </c>
      <c r="N72" s="3973"/>
      <c r="O72" s="3975"/>
    </row>
    <row r="73" spans="1:15" ht="13.35" customHeight="1">
      <c r="A73" s="417" t="s">
        <v>2550</v>
      </c>
      <c r="B73" s="4087" t="str">
        <f>IF('Part III-Sources of Funds'!$I$40="","",-FV('Part III-Sources of Funds'!$K$40/12,12,B59/12,K41))</f>
        <v/>
      </c>
      <c r="C73" s="4087" t="str">
        <f>IF('Part III-Sources of Funds'!$I$40="","",-FV('Part III-Sources of Funds'!$K$40/12,12,C59/12,B73))</f>
        <v/>
      </c>
      <c r="D73" s="4087" t="str">
        <f>IF('Part III-Sources of Funds'!$I$40="","",-FV('Part III-Sources of Funds'!$K$40/12,12,D59/12,C73))</f>
        <v/>
      </c>
      <c r="E73" s="4087" t="str">
        <f>IF('Part III-Sources of Funds'!$I$40="","",-FV('Part III-Sources of Funds'!$K$40/12,12,E59/12,D73))</f>
        <v/>
      </c>
      <c r="F73" s="4087" t="str">
        <f>IF('Part III-Sources of Funds'!$I$40="","",-FV('Part III-Sources of Funds'!$K$40/12,12,F59/12,E73))</f>
        <v/>
      </c>
      <c r="G73" s="4087" t="str">
        <f>IF('Part III-Sources of Funds'!$I$40="","",-FV('Part III-Sources of Funds'!$K$40/12,12,G59/12,F73))</f>
        <v/>
      </c>
      <c r="H73" s="4087" t="str">
        <f>IF('Part III-Sources of Funds'!$I$40="","",-FV('Part III-Sources of Funds'!$K$40/12,12,H59/12,G73))</f>
        <v/>
      </c>
      <c r="I73" s="4087" t="str">
        <f>IF('Part III-Sources of Funds'!$I$40="","",-FV('Part III-Sources of Funds'!$K$40/12,12,I59/12,H73))</f>
        <v/>
      </c>
      <c r="J73" s="4087" t="str">
        <f>IF('Part III-Sources of Funds'!$I$40="","",-FV('Part III-Sources of Funds'!$K$40/12,12,J59/12,I73))</f>
        <v/>
      </c>
      <c r="K73" s="4087" t="str">
        <f>IF('Part III-Sources of Funds'!$I$40="","",-FV('Part III-Sources of Funds'!$K$40/12,12,K59/12,J73))</f>
        <v/>
      </c>
      <c r="N73" s="3973"/>
      <c r="O73" s="3975"/>
    </row>
    <row r="74" spans="1:15" ht="13.35" customHeight="1">
      <c r="A74" s="21" t="s">
        <v>763</v>
      </c>
      <c r="B74" s="4087" t="str">
        <f>IF('Part III-Sources of Funds'!$I$41="","",-FV('Part III-Sources of Funds'!$K$41/12,12,B60/12,K42))</f>
        <v/>
      </c>
      <c r="C74" s="4087" t="str">
        <f>IF('Part III-Sources of Funds'!$I$41="","",-FV('Part III-Sources of Funds'!$K$41/12,12,C60/12,B74))</f>
        <v/>
      </c>
      <c r="D74" s="4087" t="str">
        <f>IF('Part III-Sources of Funds'!$I$41="","",-FV('Part III-Sources of Funds'!$K$41/12,12,D60/12,C74))</f>
        <v/>
      </c>
      <c r="E74" s="4087" t="str">
        <f>IF('Part III-Sources of Funds'!$I$41="","",-FV('Part III-Sources of Funds'!$K$41/12,12,E60/12,D74))</f>
        <v/>
      </c>
      <c r="F74" s="4087" t="str">
        <f>IF('Part III-Sources of Funds'!$I$41="","",-FV('Part III-Sources of Funds'!$K$41/12,12,F60/12,E74))</f>
        <v/>
      </c>
      <c r="G74" s="4087" t="str">
        <f>IF('Part III-Sources of Funds'!$I$41="","",-FV('Part III-Sources of Funds'!$K$41/12,12,G60/12,F74))</f>
        <v/>
      </c>
      <c r="H74" s="4087" t="str">
        <f>IF('Part III-Sources of Funds'!$I$41="","",-FV('Part III-Sources of Funds'!$K$41/12,12,H60/12,G74))</f>
        <v/>
      </c>
      <c r="I74" s="4087" t="str">
        <f>IF('Part III-Sources of Funds'!$I$41="","",-FV('Part III-Sources of Funds'!$K$41/12,12,I60/12,H74))</f>
        <v/>
      </c>
      <c r="J74" s="4087" t="str">
        <f>IF('Part III-Sources of Funds'!$I$41="","",-FV('Part III-Sources of Funds'!$K$41/12,12,J60/12,I74))</f>
        <v/>
      </c>
      <c r="K74" s="4087" t="str">
        <f>IF('Part III-Sources of Funds'!$I$41="","",-FV('Part III-Sources of Funds'!$K$41/12,12,K60/12,J74))</f>
        <v/>
      </c>
      <c r="N74" s="3973"/>
      <c r="O74" s="3975"/>
    </row>
    <row r="75" spans="1:15" ht="13.35" customHeight="1">
      <c r="A75" s="417" t="s">
        <v>3768</v>
      </c>
      <c r="B75" s="4090">
        <f>IF('Part III-Sources of Funds'!$I$43="","",IF(-FV('Part III-Sources of Funds'!$K$43/12,12,B63/12,K43)&gt;0,-FV('Part III-Sources of Funds'!$K$43/12,12,B63/12,K43),0))</f>
        <v>2.2742985767654318</v>
      </c>
      <c r="C75" s="4090">
        <f>IF('Part III-Sources of Funds'!$I$43="","",IF(-FV('Part III-Sources of Funds'!$K$43/12,12,C63/12,B75)&gt;0,-FV('Part III-Sources of Funds'!$K$43/12,12,C63/12,B75),0))</f>
        <v>2.2742985767654318</v>
      </c>
      <c r="D75" s="4090">
        <f>IF('Part III-Sources of Funds'!$I$43="","",IF(-FV('Part III-Sources of Funds'!$K$43/12,12,D63/12,C75)&gt;0,-FV('Part III-Sources of Funds'!$K$43/12,12,D63/12,C75),0))</f>
        <v>2.2742985767654318</v>
      </c>
      <c r="E75" s="4090">
        <f>IF('Part III-Sources of Funds'!$I$43="","",IF(-FV('Part III-Sources of Funds'!$K$43/12,12,E63/12,D75)&gt;0,-FV('Part III-Sources of Funds'!$K$43/12,12,E63/12,D75),0))</f>
        <v>2.2742985767654318</v>
      </c>
      <c r="F75" s="4090">
        <f>IF('Part III-Sources of Funds'!$I$43="","",IF(-FV('Part III-Sources of Funds'!$K$43/12,12,F63/12,E75)&gt;0,-FV('Part III-Sources of Funds'!$K$43/12,12,F63/12,E75),0))</f>
        <v>2.2742985767654318</v>
      </c>
      <c r="G75" s="4090">
        <f>IF('Part III-Sources of Funds'!$I$43="","",IF(-FV('Part III-Sources of Funds'!$K$43/12,12,G63/12,F75)&gt;0,-FV('Part III-Sources of Funds'!$K$43/12,12,G63/12,F75),0))</f>
        <v>2.2742985767654318</v>
      </c>
      <c r="H75" s="4090" t="str">
        <f>IF('Part III-Sources of Funds'!$I$41="","",-FV('Part III-Sources of Funds'!$K$41/12,12,H61/12,G75))</f>
        <v/>
      </c>
      <c r="I75" s="4090" t="str">
        <f>IF('Part III-Sources of Funds'!$I$41="","",-FV('Part III-Sources of Funds'!$K$41/12,12,I61/12,H75))</f>
        <v/>
      </c>
      <c r="J75" s="4090" t="str">
        <f>IF('Part III-Sources of Funds'!$I$41="","",-FV('Part III-Sources of Funds'!$K$41/12,12,J61/12,I75))</f>
        <v/>
      </c>
      <c r="K75" s="4090" t="str">
        <f>IF('Part III-Sources of Funds'!$I$41="","",-FV('Part III-Sources of Funds'!$K$41/12,12,K61/12,J75))</f>
        <v/>
      </c>
      <c r="N75" s="4004"/>
      <c r="O75" s="4006"/>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2553</v>
      </c>
      <c r="O77" s="2484"/>
    </row>
    <row r="78" spans="1:15" ht="13.35" customHeight="1">
      <c r="A78" s="18" t="s">
        <v>2340</v>
      </c>
      <c r="B78" s="19">
        <f t="shared" ref="B78:K78" si="33">$B$14*(1+$B$5)^(B77-1)</f>
        <v>336014.31275779329</v>
      </c>
      <c r="C78" s="19">
        <f t="shared" si="33"/>
        <v>342734.59901294915</v>
      </c>
      <c r="D78" s="19">
        <f t="shared" si="33"/>
        <v>349589.29099320812</v>
      </c>
      <c r="E78" s="19">
        <f t="shared" si="33"/>
        <v>356581.0768130722</v>
      </c>
      <c r="F78" s="19">
        <f t="shared" si="33"/>
        <v>363712.69834933366</v>
      </c>
      <c r="G78" s="19">
        <f t="shared" si="33"/>
        <v>370986.95231632038</v>
      </c>
      <c r="H78" s="19">
        <f t="shared" si="33"/>
        <v>378406.69136264682</v>
      </c>
      <c r="I78" s="19">
        <f t="shared" si="33"/>
        <v>385974.82518989965</v>
      </c>
      <c r="J78" s="19">
        <f t="shared" si="33"/>
        <v>393694.32169369777</v>
      </c>
      <c r="K78" s="20">
        <f t="shared" si="33"/>
        <v>401568.20812757162</v>
      </c>
      <c r="N78" s="4011"/>
      <c r="O78" s="4013"/>
    </row>
    <row r="79" spans="1:15" ht="13.35" customHeight="1">
      <c r="A79" s="21" t="s">
        <v>993</v>
      </c>
      <c r="B79" s="22">
        <f t="shared" ref="B79:K79" si="34">$B$15*(1+$B$5)^(B77-1)</f>
        <v>6720.2862551558665</v>
      </c>
      <c r="C79" s="22">
        <f t="shared" si="34"/>
        <v>6854.6919802589828</v>
      </c>
      <c r="D79" s="22">
        <f t="shared" si="34"/>
        <v>6991.7858198641634</v>
      </c>
      <c r="E79" s="22">
        <f t="shared" si="34"/>
        <v>7131.6215362614448</v>
      </c>
      <c r="F79" s="22">
        <f t="shared" si="34"/>
        <v>7274.2539669866746</v>
      </c>
      <c r="G79" s="22">
        <f t="shared" si="34"/>
        <v>7419.7390463264082</v>
      </c>
      <c r="H79" s="22">
        <f t="shared" si="34"/>
        <v>7568.1338272529365</v>
      </c>
      <c r="I79" s="22">
        <f t="shared" si="34"/>
        <v>7719.4965037979946</v>
      </c>
      <c r="J79" s="22">
        <f t="shared" si="34"/>
        <v>7873.8864338739559</v>
      </c>
      <c r="K79" s="23">
        <f t="shared" si="34"/>
        <v>8031.3641625514338</v>
      </c>
      <c r="N79" s="3973"/>
      <c r="O79" s="3975"/>
    </row>
    <row r="80" spans="1:15" ht="13.35" customHeight="1">
      <c r="A80" s="21" t="s">
        <v>2341</v>
      </c>
      <c r="B80" s="22">
        <f t="shared" ref="B80:K80" si="35">-(B78+B79)*$B$8</f>
        <v>-23991.421930906443</v>
      </c>
      <c r="C80" s="22">
        <f t="shared" si="35"/>
        <v>-24471.250369524572</v>
      </c>
      <c r="D80" s="22">
        <f t="shared" si="35"/>
        <v>-24960.675376915064</v>
      </c>
      <c r="E80" s="22">
        <f t="shared" si="35"/>
        <v>-25459.888884453358</v>
      </c>
      <c r="F80" s="22">
        <f t="shared" si="35"/>
        <v>-25969.086662142425</v>
      </c>
      <c r="G80" s="22">
        <f t="shared" si="35"/>
        <v>-26488.46839538528</v>
      </c>
      <c r="H80" s="22">
        <f t="shared" si="35"/>
        <v>-27018.237763292986</v>
      </c>
      <c r="I80" s="22">
        <f t="shared" si="35"/>
        <v>-27558.602518558837</v>
      </c>
      <c r="J80" s="22">
        <f t="shared" si="35"/>
        <v>-28109.774568930025</v>
      </c>
      <c r="K80" s="23">
        <f t="shared" si="35"/>
        <v>-28671.970060308617</v>
      </c>
      <c r="N80" s="3973"/>
      <c r="O80" s="397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73"/>
      <c r="O81" s="397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73"/>
      <c r="O82" s="3975"/>
    </row>
    <row r="83" spans="1:19" ht="13.35" customHeight="1">
      <c r="A83" s="417" t="s">
        <v>4375</v>
      </c>
      <c r="B83" s="22">
        <f t="shared" ref="B83:K83" si="36">SUM(B78:B82)</f>
        <v>318743.17708204273</v>
      </c>
      <c r="C83" s="22">
        <f t="shared" si="36"/>
        <v>325118.04062368354</v>
      </c>
      <c r="D83" s="22">
        <f t="shared" si="36"/>
        <v>331620.40143615723</v>
      </c>
      <c r="E83" s="22">
        <f t="shared" si="36"/>
        <v>338252.80946488032</v>
      </c>
      <c r="F83" s="22">
        <f t="shared" si="36"/>
        <v>345017.86565417791</v>
      </c>
      <c r="G83" s="22">
        <f t="shared" si="36"/>
        <v>351918.22296726156</v>
      </c>
      <c r="H83" s="22">
        <f t="shared" si="36"/>
        <v>358956.5874266068</v>
      </c>
      <c r="I83" s="22">
        <f t="shared" si="36"/>
        <v>366135.7191751388</v>
      </c>
      <c r="J83" s="22">
        <f t="shared" si="36"/>
        <v>373458.4335586417</v>
      </c>
      <c r="K83" s="23">
        <f t="shared" si="36"/>
        <v>380927.60222981439</v>
      </c>
      <c r="N83" s="3973"/>
      <c r="O83" s="3975"/>
    </row>
    <row r="84" spans="1:19" ht="13.35" customHeight="1">
      <c r="A84" s="21" t="s">
        <v>596</v>
      </c>
      <c r="B84" s="22">
        <f t="shared" ref="B84:K84" si="37">$B$20*(1+$B$6)^(B77-1)</f>
        <v>-245618.4851363975</v>
      </c>
      <c r="C84" s="22">
        <f t="shared" si="37"/>
        <v>-252987.03969048942</v>
      </c>
      <c r="D84" s="22">
        <f t="shared" si="37"/>
        <v>-260576.65088120411</v>
      </c>
      <c r="E84" s="22">
        <f t="shared" si="37"/>
        <v>-268393.95040764025</v>
      </c>
      <c r="F84" s="22">
        <f t="shared" si="37"/>
        <v>-276445.76891986944</v>
      </c>
      <c r="G84" s="22">
        <f t="shared" si="37"/>
        <v>-284739.1419874655</v>
      </c>
      <c r="H84" s="22">
        <f t="shared" si="37"/>
        <v>-293281.31624708953</v>
      </c>
      <c r="I84" s="22">
        <f t="shared" si="37"/>
        <v>-302079.75573450216</v>
      </c>
      <c r="J84" s="22">
        <f t="shared" si="37"/>
        <v>-311142.14840653725</v>
      </c>
      <c r="K84" s="23">
        <f t="shared" si="37"/>
        <v>-320476.41285873333</v>
      </c>
      <c r="N84" s="3973"/>
      <c r="O84" s="3975"/>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-22312</v>
      </c>
      <c r="C85" s="22">
        <f>IF(AND('Part VII-Pro Forma'!$G$8="Yes",'Part VII-Pro Forma'!$G$9="Yes"),"Choose One!",IF('Part VII-Pro Forma'!$G$8="Yes",ROUND((-$K$8*(1+'Part VII-Pro Forma'!$B$6)^('Part VII-Pro Forma'!C77-1)),),IF('Part VII-Pro Forma'!$G$9="Yes",ROUND((-(SUM(C78:C81)*'Part VII-Pro Forma'!$K$9)),),"Choose mgt fee")))</f>
        <v>-22758</v>
      </c>
      <c r="D85" s="22">
        <f>IF(AND('Part VII-Pro Forma'!$G$8="Yes",'Part VII-Pro Forma'!$G$9="Yes"),"Choose One!",IF('Part VII-Pro Forma'!$G$8="Yes",ROUND((-$K$8*(1+'Part VII-Pro Forma'!$B$6)^('Part VII-Pro Forma'!D77-1)),),IF('Part VII-Pro Forma'!$G$9="Yes",ROUND((-(SUM(D78:D81)*'Part VII-Pro Forma'!$K$9)),),"Choose mgt fee")))</f>
        <v>-23213</v>
      </c>
      <c r="E85" s="22">
        <f>IF(AND('Part VII-Pro Forma'!$G$8="Yes",'Part VII-Pro Forma'!$G$9="Yes"),"Choose One!",IF('Part VII-Pro Forma'!$G$8="Yes",ROUND((-$K$8*(1+'Part VII-Pro Forma'!$B$6)^('Part VII-Pro Forma'!E77-1)),),IF('Part VII-Pro Forma'!$G$9="Yes",ROUND((-(SUM(E78:E81)*'Part VII-Pro Forma'!$K$9)),),"Choose mgt fee")))</f>
        <v>-23678</v>
      </c>
      <c r="F85" s="22">
        <f>IF(AND('Part VII-Pro Forma'!$G$8="Yes",'Part VII-Pro Forma'!$G$9="Yes"),"Choose One!",IF('Part VII-Pro Forma'!$G$8="Yes",ROUND((-$K$8*(1+'Part VII-Pro Forma'!$B$6)^('Part VII-Pro Forma'!F77-1)),),IF('Part VII-Pro Forma'!$G$9="Yes",ROUND((-(SUM(F78:F81)*'Part VII-Pro Forma'!$K$9)),),"Choose mgt fee")))</f>
        <v>-24151</v>
      </c>
      <c r="G85" s="22">
        <f>IF(AND('Part VII-Pro Forma'!$G$8="Yes",'Part VII-Pro Forma'!$G$9="Yes"),"Choose One!",IF('Part VII-Pro Forma'!$G$8="Yes",ROUND((-$K$8*(1+'Part VII-Pro Forma'!$B$6)^('Part VII-Pro Forma'!G77-1)),),IF('Part VII-Pro Forma'!$G$9="Yes",ROUND((-(SUM(G78:G81)*'Part VII-Pro Forma'!$K$9)),),"Choose mgt fee")))</f>
        <v>-24634</v>
      </c>
      <c r="H85" s="22">
        <f>IF(AND('Part VII-Pro Forma'!$G$8="Yes",'Part VII-Pro Forma'!$G$9="Yes"),"Choose One!",IF('Part VII-Pro Forma'!$G$8="Yes",ROUND((-$K$8*(1+'Part VII-Pro Forma'!$B$6)^('Part VII-Pro Forma'!H77-1)),),IF('Part VII-Pro Forma'!$G$9="Yes",ROUND((-(SUM(H78:H81)*'Part VII-Pro Forma'!$K$9)),),"Choose mgt fee")))</f>
        <v>-25127</v>
      </c>
      <c r="I85" s="22">
        <f>IF(AND('Part VII-Pro Forma'!$G$8="Yes",'Part VII-Pro Forma'!$G$9="Yes"),"Choose One!",IF('Part VII-Pro Forma'!$G$8="Yes",ROUND((-$K$8*(1+'Part VII-Pro Forma'!$B$6)^('Part VII-Pro Forma'!I77-1)),),IF('Part VII-Pro Forma'!$G$9="Yes",ROUND((-(SUM(I78:I81)*'Part VII-Pro Forma'!$K$9)),),"Choose mgt fee")))</f>
        <v>-25630</v>
      </c>
      <c r="J85" s="22">
        <f>IF(AND('Part VII-Pro Forma'!$G$8="Yes",'Part VII-Pro Forma'!$G$9="Yes"),"Choose One!",IF('Part VII-Pro Forma'!$G$8="Yes",ROUND((-$K$8*(1+'Part VII-Pro Forma'!$B$6)^('Part VII-Pro Forma'!J77-1)),),IF('Part VII-Pro Forma'!$G$9="Yes",ROUND((-(SUM(J78:J81)*'Part VII-Pro Forma'!$K$9)),),"Choose mgt fee")))</f>
        <v>-26142</v>
      </c>
      <c r="K85" s="23">
        <f>IF(AND('Part VII-Pro Forma'!$G$8="Yes",'Part VII-Pro Forma'!$G$9="Yes"),"Choose One!",IF('Part VII-Pro Forma'!$G$8="Yes",ROUND((-$K$8*(1+'Part VII-Pro Forma'!$B$6)^('Part VII-Pro Forma'!K77-1)),),IF('Part VII-Pro Forma'!$G$9="Yes",ROUND((-(SUM(K78:K81)*'Part VII-Pro Forma'!$K$9)),),"Choose mgt fee")))</f>
        <v>-26665</v>
      </c>
      <c r="N85" s="3973"/>
      <c r="O85" s="3975"/>
    </row>
    <row r="86" spans="1:19" ht="13.35" customHeight="1">
      <c r="A86" s="21" t="s">
        <v>1175</v>
      </c>
      <c r="B86" s="22">
        <f t="shared" ref="B86:K86" si="38">$B$22*(1+$B$7)^(B77-1)</f>
        <v>-25285.557285371786</v>
      </c>
      <c r="C86" s="22">
        <f t="shared" si="38"/>
        <v>-26044.124003932935</v>
      </c>
      <c r="D86" s="22">
        <f t="shared" si="38"/>
        <v>-26825.447724050926</v>
      </c>
      <c r="E86" s="22">
        <f t="shared" si="38"/>
        <v>-27630.211155772457</v>
      </c>
      <c r="F86" s="22">
        <f t="shared" si="38"/>
        <v>-28459.117490445624</v>
      </c>
      <c r="G86" s="22">
        <f t="shared" si="38"/>
        <v>-29312.891015158995</v>
      </c>
      <c r="H86" s="22">
        <f t="shared" si="38"/>
        <v>-30192.277745613766</v>
      </c>
      <c r="I86" s="22">
        <f t="shared" si="38"/>
        <v>-31098.046077982177</v>
      </c>
      <c r="J86" s="22">
        <f t="shared" si="38"/>
        <v>-32030.987460321641</v>
      </c>
      <c r="K86" s="23">
        <f t="shared" si="38"/>
        <v>-32991.917084131288</v>
      </c>
      <c r="N86" s="3973"/>
      <c r="O86" s="3975"/>
      <c r="Q86" s="929">
        <v>10</v>
      </c>
      <c r="R86" s="1043">
        <f>-SUM(B92:K92)</f>
        <v>0</v>
      </c>
      <c r="S86" s="1043">
        <f>SUM(B93:K93)+R86</f>
        <v>0</v>
      </c>
    </row>
    <row r="87" spans="1:19" ht="13.35" customHeight="1">
      <c r="A87" s="417" t="s">
        <v>4374</v>
      </c>
      <c r="B87" s="4085">
        <f>IF(B77&lt;=+'Part VI-Revenues &amp; Expenses'!$N$250,-'Part VI-Revenues &amp; Expenses'!$K$250,0)</f>
        <v>0</v>
      </c>
      <c r="C87" s="4085">
        <f>IF(C77&lt;=+'Part VI-Revenues &amp; Expenses'!$N$250,-'Part VI-Revenues &amp; Expenses'!$K$250,0)</f>
        <v>0</v>
      </c>
      <c r="D87" s="4085">
        <f>IF(D77&lt;=+'Part VI-Revenues &amp; Expenses'!$N$250,-'Part VI-Revenues &amp; Expenses'!$K$250,0)</f>
        <v>0</v>
      </c>
      <c r="E87" s="4085">
        <f>IF(E77&lt;=+'Part VI-Revenues &amp; Expenses'!$N$250,-'Part VI-Revenues &amp; Expenses'!$K$250,0)</f>
        <v>0</v>
      </c>
      <c r="F87" s="4085">
        <f>IF(F77&lt;=+'Part VI-Revenues &amp; Expenses'!$N$250,-'Part VI-Revenues &amp; Expenses'!$K$250,0)</f>
        <v>0</v>
      </c>
      <c r="G87" s="4085">
        <f>IF(G77&lt;=+'Part VI-Revenues &amp; Expenses'!$N$250,-'Part VI-Revenues &amp; Expenses'!$K$250,0)</f>
        <v>0</v>
      </c>
      <c r="H87" s="4085">
        <f>IF(H77&lt;=+'Part VI-Revenues &amp; Expenses'!$N$250,-'Part VI-Revenues &amp; Expenses'!$K$250,0)</f>
        <v>0</v>
      </c>
      <c r="I87" s="4085">
        <f>IF(I77&lt;=+'Part VI-Revenues &amp; Expenses'!$N$250,-'Part VI-Revenues &amp; Expenses'!$K$250,0)</f>
        <v>0</v>
      </c>
      <c r="J87" s="4085">
        <f>IF(J77&lt;=+'Part VI-Revenues &amp; Expenses'!$N$250,-'Part VI-Revenues &amp; Expenses'!$K$250,0)</f>
        <v>0</v>
      </c>
      <c r="K87" s="4085">
        <f>IF(K77&lt;=+'Part VI-Revenues &amp; Expenses'!$N$250,-'Part VI-Revenues &amp; Expenses'!$K$250,0)</f>
        <v>0</v>
      </c>
      <c r="N87" s="3973"/>
      <c r="O87" s="3975"/>
    </row>
    <row r="88" spans="1:19" ht="13.35" customHeight="1">
      <c r="A88" s="21" t="s">
        <v>1176</v>
      </c>
      <c r="B88" s="22">
        <f t="shared" ref="B88:K88" si="39">SUM(B83:B87)</f>
        <v>25527.134660273445</v>
      </c>
      <c r="C88" s="22">
        <f t="shared" si="39"/>
        <v>23328.876929261191</v>
      </c>
      <c r="D88" s="22">
        <f t="shared" si="39"/>
        <v>21005.302830902194</v>
      </c>
      <c r="E88" s="22">
        <f t="shared" si="39"/>
        <v>18550.647901467615</v>
      </c>
      <c r="F88" s="22">
        <f t="shared" si="39"/>
        <v>15961.979243862839</v>
      </c>
      <c r="G88" s="22">
        <f t="shared" si="39"/>
        <v>13232.189964637073</v>
      </c>
      <c r="H88" s="22">
        <f t="shared" si="39"/>
        <v>10355.993433903499</v>
      </c>
      <c r="I88" s="22">
        <f t="shared" si="39"/>
        <v>7327.9173626544616</v>
      </c>
      <c r="J88" s="22">
        <f t="shared" si="39"/>
        <v>4143.2976917828091</v>
      </c>
      <c r="K88" s="1482">
        <f t="shared" si="39"/>
        <v>794.27228694978112</v>
      </c>
      <c r="N88" s="3973"/>
      <c r="O88" s="3975"/>
    </row>
    <row r="89" spans="1:19" ht="13.35" customHeight="1">
      <c r="A89" s="21" t="str">
        <f>$A57</f>
        <v>Mortgage A</v>
      </c>
      <c r="B89" s="4086"/>
      <c r="C89" s="4086"/>
      <c r="D89" s="4086"/>
      <c r="E89" s="4086"/>
      <c r="F89" s="4086"/>
      <c r="G89" s="4086"/>
      <c r="H89" s="4086"/>
      <c r="I89" s="4086"/>
      <c r="J89" s="4086"/>
      <c r="K89" s="4086"/>
      <c r="N89" s="3973"/>
      <c r="O89" s="3975"/>
    </row>
    <row r="90" spans="1:19" ht="13.35" customHeight="1">
      <c r="A90" s="21" t="str">
        <f>$A58</f>
        <v>Mortgage B</v>
      </c>
      <c r="B90" s="4087">
        <f>IF('Part III-Sources of Funds'!$P$39="", 0,-'Part III-Sources of Funds'!$P$39)</f>
        <v>0</v>
      </c>
      <c r="C90" s="4087">
        <f>IF('Part III-Sources of Funds'!$P$39="", 0,-'Part III-Sources of Funds'!$P$39)</f>
        <v>0</v>
      </c>
      <c r="D90" s="4087">
        <f>IF('Part III-Sources of Funds'!$P$39="", 0,-'Part III-Sources of Funds'!$P$39)</f>
        <v>0</v>
      </c>
      <c r="E90" s="4087">
        <f>IF('Part III-Sources of Funds'!$P$39="", 0,-'Part III-Sources of Funds'!$P$39)</f>
        <v>0</v>
      </c>
      <c r="F90" s="4087">
        <f>IF('Part III-Sources of Funds'!$P$39="", 0,-'Part III-Sources of Funds'!$P$39)</f>
        <v>0</v>
      </c>
      <c r="G90" s="4087">
        <f>IF('Part III-Sources of Funds'!$P$39="", 0,-'Part III-Sources of Funds'!$P$39)</f>
        <v>0</v>
      </c>
      <c r="H90" s="4087">
        <f>IF('Part III-Sources of Funds'!$P$39="", 0,-'Part III-Sources of Funds'!$P$39)</f>
        <v>0</v>
      </c>
      <c r="I90" s="4087">
        <f>IF('Part III-Sources of Funds'!$P$39="", 0,-'Part III-Sources of Funds'!$P$39)</f>
        <v>0</v>
      </c>
      <c r="J90" s="4087">
        <f>IF('Part III-Sources of Funds'!$P$39="", 0,-'Part III-Sources of Funds'!$P$39)</f>
        <v>0</v>
      </c>
      <c r="K90" s="4087">
        <f>IF('Part III-Sources of Funds'!$P$39="", 0,-'Part III-Sources of Funds'!$P$39)</f>
        <v>0</v>
      </c>
      <c r="N90" s="3973"/>
      <c r="O90" s="3975"/>
    </row>
    <row r="91" spans="1:19" ht="13.35" customHeight="1">
      <c r="A91" s="21" t="str">
        <f>$A59</f>
        <v>Mortgage C</v>
      </c>
      <c r="B91" s="4087">
        <f>IF('Part III-Sources of Funds'!$P$40="", 0,-'Part III-Sources of Funds'!$P$40)</f>
        <v>0</v>
      </c>
      <c r="C91" s="4087">
        <f>IF('Part III-Sources of Funds'!$P$40="", 0,-'Part III-Sources of Funds'!$P$40)</f>
        <v>0</v>
      </c>
      <c r="D91" s="4087">
        <f>IF('Part III-Sources of Funds'!$P$40="", 0,-'Part III-Sources of Funds'!$P$40)</f>
        <v>0</v>
      </c>
      <c r="E91" s="4087">
        <f>IF('Part III-Sources of Funds'!$P$40="", 0,-'Part III-Sources of Funds'!$P$40)</f>
        <v>0</v>
      </c>
      <c r="F91" s="4087">
        <f>IF('Part III-Sources of Funds'!$P$40="", 0,-'Part III-Sources of Funds'!$P$40)</f>
        <v>0</v>
      </c>
      <c r="G91" s="4087">
        <f>IF('Part III-Sources of Funds'!$P$40="", 0,-'Part III-Sources of Funds'!$P$40)</f>
        <v>0</v>
      </c>
      <c r="H91" s="4087">
        <f>IF('Part III-Sources of Funds'!$P$40="", 0,-'Part III-Sources of Funds'!$P$40)</f>
        <v>0</v>
      </c>
      <c r="I91" s="4087">
        <f>IF('Part III-Sources of Funds'!$P$40="", 0,-'Part III-Sources of Funds'!$P$40)</f>
        <v>0</v>
      </c>
      <c r="J91" s="4087">
        <f>IF('Part III-Sources of Funds'!$P$40="", 0,-'Part III-Sources of Funds'!$P$40)</f>
        <v>0</v>
      </c>
      <c r="K91" s="4087">
        <f>IF('Part III-Sources of Funds'!$P$40="", 0,-'Part III-Sources of Funds'!$P$40)</f>
        <v>0</v>
      </c>
      <c r="N91" s="3973"/>
      <c r="O91" s="3975"/>
    </row>
    <row r="92" spans="1:19" ht="13.35" customHeight="1">
      <c r="A92" s="21" t="str">
        <f>$A60</f>
        <v>D/S Other Source,not DDF</v>
      </c>
      <c r="B92" s="4087">
        <f>IF('Part III-Sources of Funds'!$P$41="", 0,-'Part III-Sources of Funds'!$P$41)</f>
        <v>0</v>
      </c>
      <c r="C92" s="4087">
        <f>IF('Part III-Sources of Funds'!$P$41="", 0,-'Part III-Sources of Funds'!$P$41)</f>
        <v>0</v>
      </c>
      <c r="D92" s="4087">
        <f>IF('Part III-Sources of Funds'!$P$41="", 0,-'Part III-Sources of Funds'!$P$41)</f>
        <v>0</v>
      </c>
      <c r="E92" s="4087">
        <f>IF('Part III-Sources of Funds'!$P$41="", 0,-'Part III-Sources of Funds'!$P$41)</f>
        <v>0</v>
      </c>
      <c r="F92" s="4087">
        <f>IF('Part III-Sources of Funds'!$P$41="", 0,-'Part III-Sources of Funds'!$P$41)</f>
        <v>0</v>
      </c>
      <c r="G92" s="4087">
        <f>IF('Part III-Sources of Funds'!$P$41="", 0,-'Part III-Sources of Funds'!$P$41)</f>
        <v>0</v>
      </c>
      <c r="H92" s="4087">
        <f>IF('Part III-Sources of Funds'!$P$41="", 0,-'Part III-Sources of Funds'!$P$41)</f>
        <v>0</v>
      </c>
      <c r="I92" s="4087">
        <f>IF('Part III-Sources of Funds'!$P$41="", 0,-'Part III-Sources of Funds'!$P$41)</f>
        <v>0</v>
      </c>
      <c r="J92" s="4087">
        <f>IF('Part III-Sources of Funds'!$P$41="", 0,-'Part III-Sources of Funds'!$P$41)</f>
        <v>0</v>
      </c>
      <c r="K92" s="4087">
        <f>IF('Part III-Sources of Funds'!$P$41="", 0,-'Part III-Sources of Funds'!$P$41)</f>
        <v>0</v>
      </c>
      <c r="N92" s="3973"/>
      <c r="O92" s="3975"/>
    </row>
    <row r="93" spans="1:19" ht="13.35" customHeight="1">
      <c r="A93" s="21" t="s">
        <v>744</v>
      </c>
      <c r="B93" s="4088"/>
      <c r="C93" s="4088"/>
      <c r="D93" s="4088"/>
      <c r="E93" s="4088"/>
      <c r="F93" s="4088"/>
      <c r="G93" s="4088"/>
      <c r="H93" s="4088"/>
      <c r="I93" s="4088"/>
      <c r="J93" s="4088"/>
      <c r="K93" s="4088"/>
      <c r="N93" s="3973"/>
      <c r="O93" s="3975"/>
    </row>
    <row r="94" spans="1:19" ht="13.35" customHeight="1">
      <c r="A94" s="417" t="s">
        <v>1140</v>
      </c>
      <c r="B94" s="4090">
        <f>+K62</f>
        <v>0</v>
      </c>
      <c r="C94" s="4090">
        <f t="shared" ref="C94:K94" si="40">+B94</f>
        <v>0</v>
      </c>
      <c r="D94" s="4090">
        <f t="shared" si="40"/>
        <v>0</v>
      </c>
      <c r="E94" s="4090">
        <f t="shared" si="40"/>
        <v>0</v>
      </c>
      <c r="F94" s="4090">
        <f t="shared" si="40"/>
        <v>0</v>
      </c>
      <c r="G94" s="4090">
        <f t="shared" si="40"/>
        <v>0</v>
      </c>
      <c r="H94" s="4090">
        <f t="shared" si="40"/>
        <v>0</v>
      </c>
      <c r="I94" s="4090">
        <f t="shared" si="40"/>
        <v>0</v>
      </c>
      <c r="J94" s="4090">
        <f t="shared" si="40"/>
        <v>0</v>
      </c>
      <c r="K94" s="4090">
        <f t="shared" si="40"/>
        <v>0</v>
      </c>
      <c r="N94" s="3973"/>
      <c r="O94" s="3975"/>
    </row>
    <row r="95" spans="1:19" ht="13.35" customHeight="1">
      <c r="A95" s="21" t="s">
        <v>1141</v>
      </c>
      <c r="B95" s="22">
        <f t="shared" ref="B95:K95" si="41">SUM(B88:B94)</f>
        <v>25527.134660273445</v>
      </c>
      <c r="C95" s="22">
        <f t="shared" si="41"/>
        <v>23328.876929261191</v>
      </c>
      <c r="D95" s="22">
        <f t="shared" si="41"/>
        <v>21005.302830902194</v>
      </c>
      <c r="E95" s="22">
        <f t="shared" si="41"/>
        <v>18550.647901467615</v>
      </c>
      <c r="F95" s="22">
        <f t="shared" si="41"/>
        <v>15961.979243862839</v>
      </c>
      <c r="G95" s="22">
        <f t="shared" si="41"/>
        <v>13232.189964637073</v>
      </c>
      <c r="H95" s="22">
        <f t="shared" si="41"/>
        <v>10355.993433903499</v>
      </c>
      <c r="I95" s="22">
        <f t="shared" si="41"/>
        <v>7327.9173626544616</v>
      </c>
      <c r="J95" s="22">
        <f t="shared" si="41"/>
        <v>4143.2976917828091</v>
      </c>
      <c r="K95" s="23">
        <f t="shared" si="41"/>
        <v>794.27228694978112</v>
      </c>
      <c r="N95" s="3973"/>
      <c r="O95" s="397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73"/>
      <c r="O96" s="397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73"/>
      <c r="O97" s="397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73"/>
      <c r="O98" s="397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73"/>
      <c r="O99" s="3975"/>
    </row>
    <row r="100" spans="1:15" ht="13.35" customHeight="1">
      <c r="A100" s="417" t="s">
        <v>3530</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73"/>
      <c r="O100" s="3975"/>
    </row>
    <row r="101" spans="1:15" ht="13.35" customHeight="1">
      <c r="A101" s="21" t="s">
        <v>751</v>
      </c>
      <c r="B101" s="265">
        <f>IF(OR(B85="Choose mgt fee",B85="Choose One!"),"",(B78+B79+B80+B81+B82) / -(B84+B85+B86))</f>
        <v>1.087059133768522</v>
      </c>
      <c r="C101" s="265">
        <f t="shared" ref="C101:K101" si="47">IF(OR(C85="Choose mgt fee",C85="Choose One!"),"",(C78+C79+C80+C81+C82) / -(C84+C85+C86))</f>
        <v>1.0773019038976592</v>
      </c>
      <c r="D101" s="265">
        <f t="shared" si="47"/>
        <v>1.0676248608815915</v>
      </c>
      <c r="E101" s="265">
        <f t="shared" si="47"/>
        <v>1.0580247809734877</v>
      </c>
      <c r="F101" s="265">
        <f t="shared" si="47"/>
        <v>1.0485084142331953</v>
      </c>
      <c r="G101" s="265">
        <f t="shared" si="47"/>
        <v>1.0390691929257516</v>
      </c>
      <c r="H101" s="265">
        <f t="shared" si="47"/>
        <v>1.0297073315776399</v>
      </c>
      <c r="I101" s="265">
        <f t="shared" si="47"/>
        <v>1.0204229599402193</v>
      </c>
      <c r="J101" s="265">
        <f t="shared" si="47"/>
        <v>1.0112188678161202</v>
      </c>
      <c r="K101" s="266">
        <f t="shared" si="47"/>
        <v>1.0020894571046142</v>
      </c>
      <c r="N101" s="3973"/>
      <c r="O101" s="3975"/>
    </row>
    <row r="102" spans="1:15" ht="13.35" customHeight="1">
      <c r="A102" s="417" t="s">
        <v>2548</v>
      </c>
      <c r="B102" s="4091">
        <f>IF('Part III-Sources of Funds'!$I$38="","",-FV('Part III-Sources of Funds'!$K$38/12,12,B89/12,K71))</f>
        <v>0</v>
      </c>
      <c r="C102" s="4091">
        <f>IF('Part III-Sources of Funds'!$I$38="","",-FV('Part III-Sources of Funds'!$K$38/12,12,C89/12,B102))</f>
        <v>0</v>
      </c>
      <c r="D102" s="4091">
        <f>IF('Part III-Sources of Funds'!$I$38="","",-FV('Part III-Sources of Funds'!$K$38/12,12,D89/12,C102))</f>
        <v>0</v>
      </c>
      <c r="E102" s="4091">
        <f>IF('Part III-Sources of Funds'!$I$38="","",-FV('Part III-Sources of Funds'!$K$38/12,12,E89/12,D102))</f>
        <v>0</v>
      </c>
      <c r="F102" s="4091">
        <f>IF('Part III-Sources of Funds'!$I$38="","",-FV('Part III-Sources of Funds'!$K$38/12,12,F89/12,E102))</f>
        <v>0</v>
      </c>
      <c r="G102" s="4091">
        <f>IF('Part III-Sources of Funds'!$I$38="","",-FV('Part III-Sources of Funds'!$K$38/12,12,G89/12,F102))</f>
        <v>0</v>
      </c>
      <c r="H102" s="4091">
        <f>IF('Part III-Sources of Funds'!$I$38="","",-FV('Part III-Sources of Funds'!$K$38/12,12,H89/12,G102))</f>
        <v>0</v>
      </c>
      <c r="I102" s="4091">
        <f>IF('Part III-Sources of Funds'!$I$38="","",-FV('Part III-Sources of Funds'!$K$38/12,12,I89/12,H102))</f>
        <v>0</v>
      </c>
      <c r="J102" s="4091">
        <f>IF('Part III-Sources of Funds'!$I$38="","",-FV('Part III-Sources of Funds'!$K$38/12,12,J89/12,I102))</f>
        <v>0</v>
      </c>
      <c r="K102" s="4091">
        <f>IF('Part III-Sources of Funds'!$I$38="","",-FV('Part III-Sources of Funds'!$K$38/12,12,K89/12,J102))</f>
        <v>0</v>
      </c>
      <c r="N102" s="3973"/>
      <c r="O102" s="3975"/>
    </row>
    <row r="103" spans="1:15" ht="13.35" customHeight="1">
      <c r="A103" s="417" t="s">
        <v>2549</v>
      </c>
      <c r="B103" s="4087" t="str">
        <f>IF('Part III-Sources of Funds'!$I$39="","",-FV('Part III-Sources of Funds'!$K$39/12,12,B90/12,K72))</f>
        <v/>
      </c>
      <c r="C103" s="4087" t="str">
        <f>IF('Part III-Sources of Funds'!$I$39="","",-FV('Part III-Sources of Funds'!$K$39/12,12,C90/12,B103))</f>
        <v/>
      </c>
      <c r="D103" s="4087" t="str">
        <f>IF('Part III-Sources of Funds'!$I$39="","",-FV('Part III-Sources of Funds'!$K$39/12,12,D90/12,C103))</f>
        <v/>
      </c>
      <c r="E103" s="4087" t="str">
        <f>IF('Part III-Sources of Funds'!$I$39="","",-FV('Part III-Sources of Funds'!$K$39/12,12,E90/12,D103))</f>
        <v/>
      </c>
      <c r="F103" s="4087" t="str">
        <f>IF('Part III-Sources of Funds'!$I$39="","",-FV('Part III-Sources of Funds'!$K$39/12,12,F90/12,E103))</f>
        <v/>
      </c>
      <c r="G103" s="4087" t="str">
        <f>IF('Part III-Sources of Funds'!$I$39="","",-FV('Part III-Sources of Funds'!$K$39/12,12,G90/12,F103))</f>
        <v/>
      </c>
      <c r="H103" s="4087" t="str">
        <f>IF('Part III-Sources of Funds'!$I$39="","",-FV('Part III-Sources of Funds'!$K$39/12,12,H90/12,G103))</f>
        <v/>
      </c>
      <c r="I103" s="4087" t="str">
        <f>IF('Part III-Sources of Funds'!$I$39="","",-FV('Part III-Sources of Funds'!$K$39/12,12,I90/12,H103))</f>
        <v/>
      </c>
      <c r="J103" s="4087" t="str">
        <f>IF('Part III-Sources of Funds'!$I$39="","",-FV('Part III-Sources of Funds'!$K$39/12,12,J90/12,I103))</f>
        <v/>
      </c>
      <c r="K103" s="4087" t="str">
        <f>IF('Part III-Sources of Funds'!$I$39="","",-FV('Part III-Sources of Funds'!$K$39/12,12,K90/12,J103))</f>
        <v/>
      </c>
      <c r="N103" s="3973"/>
      <c r="O103" s="3975"/>
    </row>
    <row r="104" spans="1:15" ht="13.35" customHeight="1">
      <c r="A104" s="417" t="s">
        <v>2550</v>
      </c>
      <c r="B104" s="4087" t="str">
        <f>IF('Part III-Sources of Funds'!$I$40="","",-FV('Part III-Sources of Funds'!$K$40/12,12,B91/12,K73))</f>
        <v/>
      </c>
      <c r="C104" s="4087" t="str">
        <f>IF('Part III-Sources of Funds'!$I$40="","",-FV('Part III-Sources of Funds'!$K$40/12,12,C91/12,B104))</f>
        <v/>
      </c>
      <c r="D104" s="4087" t="str">
        <f>IF('Part III-Sources of Funds'!$I$40="","",-FV('Part III-Sources of Funds'!$K$40/12,12,D91/12,C104))</f>
        <v/>
      </c>
      <c r="E104" s="4087" t="str">
        <f>IF('Part III-Sources of Funds'!$I$40="","",-FV('Part III-Sources of Funds'!$K$40/12,12,E91/12,D104))</f>
        <v/>
      </c>
      <c r="F104" s="4087" t="str">
        <f>IF('Part III-Sources of Funds'!$I$40="","",-FV('Part III-Sources of Funds'!$K$40/12,12,F91/12,E104))</f>
        <v/>
      </c>
      <c r="G104" s="4087" t="str">
        <f>IF('Part III-Sources of Funds'!$I$40="","",-FV('Part III-Sources of Funds'!$K$40/12,12,G91/12,F104))</f>
        <v/>
      </c>
      <c r="H104" s="4087" t="str">
        <f>IF('Part III-Sources of Funds'!$I$40="","",-FV('Part III-Sources of Funds'!$K$40/12,12,H91/12,G104))</f>
        <v/>
      </c>
      <c r="I104" s="4087" t="str">
        <f>IF('Part III-Sources of Funds'!$I$40="","",-FV('Part III-Sources of Funds'!$K$40/12,12,I91/12,H104))</f>
        <v/>
      </c>
      <c r="J104" s="4087" t="str">
        <f>IF('Part III-Sources of Funds'!$I$40="","",-FV('Part III-Sources of Funds'!$K$40/12,12,J91/12,I104))</f>
        <v/>
      </c>
      <c r="K104" s="4087" t="str">
        <f>IF('Part III-Sources of Funds'!$I$40="","",-FV('Part III-Sources of Funds'!$K$40/12,12,K91/12,J104))</f>
        <v/>
      </c>
      <c r="N104" s="3973"/>
      <c r="O104" s="3975"/>
    </row>
    <row r="105" spans="1:15" ht="13.35" customHeight="1">
      <c r="A105" s="21" t="s">
        <v>763</v>
      </c>
      <c r="B105" s="4090" t="str">
        <f>IF('Part III-Sources of Funds'!$I$41="","",-FV('Part III-Sources of Funds'!$K$41/12,12,B92/12,K74))</f>
        <v/>
      </c>
      <c r="C105" s="4090" t="str">
        <f>IF('Part III-Sources of Funds'!$I$41="","",-FV('Part III-Sources of Funds'!$K$41/12,12,C92/12,B105))</f>
        <v/>
      </c>
      <c r="D105" s="4090" t="str">
        <f>IF('Part III-Sources of Funds'!$I$41="","",-FV('Part III-Sources of Funds'!$K$41/12,12,D92/12,C105))</f>
        <v/>
      </c>
      <c r="E105" s="4090" t="str">
        <f>IF('Part III-Sources of Funds'!$I$41="","",-FV('Part III-Sources of Funds'!$K$41/12,12,E92/12,D105))</f>
        <v/>
      </c>
      <c r="F105" s="4090" t="str">
        <f>IF('Part III-Sources of Funds'!$I$41="","",-FV('Part III-Sources of Funds'!$K$41/12,12,F92/12,E105))</f>
        <v/>
      </c>
      <c r="G105" s="4090" t="str">
        <f>IF('Part III-Sources of Funds'!$I$41="","",-FV('Part III-Sources of Funds'!$K$41/12,12,G92/12,F105))</f>
        <v/>
      </c>
      <c r="H105" s="4090" t="str">
        <f>IF('Part III-Sources of Funds'!$I$41="","",-FV('Part III-Sources of Funds'!$K$41/12,12,H92/12,G105))</f>
        <v/>
      </c>
      <c r="I105" s="4090" t="str">
        <f>IF('Part III-Sources of Funds'!$I$41="","",-FV('Part III-Sources of Funds'!$K$41/12,12,I92/12,H105))</f>
        <v/>
      </c>
      <c r="J105" s="4090" t="str">
        <f>IF('Part III-Sources of Funds'!$I$41="","",-FV('Part III-Sources of Funds'!$K$41/12,12,J92/12,I105))</f>
        <v/>
      </c>
      <c r="K105" s="4090" t="str">
        <f>IF('Part III-Sources of Funds'!$I$41="","",-FV('Part III-Sources of Funds'!$K$41/12,12,K92/12,J105))</f>
        <v/>
      </c>
      <c r="N105" s="4004"/>
      <c r="O105" s="4006"/>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2484" t="s">
        <v>3521</v>
      </c>
      <c r="O107" s="2484"/>
    </row>
    <row r="108" spans="1:15" ht="13.35" customHeight="1">
      <c r="A108" s="18" t="s">
        <v>2340</v>
      </c>
      <c r="B108" s="19">
        <f>$B$14*(1+$B$5)^(B107-1)</f>
        <v>409599.57229012309</v>
      </c>
      <c r="C108" s="19">
        <f>$B$14*(1+$B$5)^(C107-1)</f>
        <v>417791.56373592548</v>
      </c>
      <c r="D108" s="19">
        <f>$B$14*(1+$B$5)^(D107-1)</f>
        <v>426147.3950106441</v>
      </c>
      <c r="E108" s="19">
        <f>$B$14*(1+$B$5)^(E107-1)</f>
        <v>434670.342910857</v>
      </c>
      <c r="F108" s="596">
        <f>$B$14*(1+$B$5)^(F107-1)</f>
        <v>443363.74976907409</v>
      </c>
      <c r="G108" s="17"/>
      <c r="H108" s="17"/>
      <c r="I108" s="17"/>
      <c r="J108" s="17"/>
      <c r="K108" s="17"/>
      <c r="N108" s="4011"/>
      <c r="O108" s="4013"/>
    </row>
    <row r="109" spans="1:15" ht="13.35" customHeight="1">
      <c r="A109" s="21" t="s">
        <v>993</v>
      </c>
      <c r="B109" s="22">
        <f>$B$15*(1+$B$5)^(B107-1)</f>
        <v>8191.9914458024632</v>
      </c>
      <c r="C109" s="22">
        <f>$B$15*(1+$B$5)^(C107-1)</f>
        <v>8355.83127471851</v>
      </c>
      <c r="D109" s="22">
        <f>$B$15*(1+$B$5)^(D107-1)</f>
        <v>8522.9479002128828</v>
      </c>
      <c r="E109" s="22">
        <f>$B$15*(1+$B$5)^(E107-1)</f>
        <v>8693.4068582171403</v>
      </c>
      <c r="F109" s="23">
        <f>$B$15*(1+$B$5)^(F107-1)</f>
        <v>8867.2749953814819</v>
      </c>
      <c r="G109" s="17"/>
      <c r="H109" s="17"/>
      <c r="I109" s="17"/>
      <c r="J109" s="17"/>
      <c r="K109" s="17"/>
      <c r="N109" s="3973"/>
      <c r="O109" s="3975"/>
    </row>
    <row r="110" spans="1:15" ht="13.35" customHeight="1">
      <c r="A110" s="21" t="s">
        <v>2341</v>
      </c>
      <c r="B110" s="22">
        <f>-(B108+B109)*$B$8</f>
        <v>-29245.409461514791</v>
      </c>
      <c r="C110" s="22">
        <f>-(C108+C109)*$B$8</f>
        <v>-29830.317650745081</v>
      </c>
      <c r="D110" s="22">
        <f>-(D108+D109)*$B$8</f>
        <v>-30426.924003759992</v>
      </c>
      <c r="E110" s="22">
        <f>-(E108+E109)*$B$8</f>
        <v>-31035.462483835192</v>
      </c>
      <c r="F110" s="23">
        <f>-(F108+F109)*$B$8</f>
        <v>-31656.171733511892</v>
      </c>
      <c r="G110" s="17"/>
      <c r="H110" s="17"/>
      <c r="I110" s="17"/>
      <c r="J110" s="17"/>
      <c r="K110" s="17"/>
      <c r="N110" s="3973"/>
      <c r="O110" s="397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73"/>
      <c r="O111" s="397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73"/>
      <c r="O112" s="3975"/>
    </row>
    <row r="113" spans="1:19" ht="13.35" customHeight="1">
      <c r="A113" s="417" t="s">
        <v>4375</v>
      </c>
      <c r="B113" s="22">
        <f>SUM(B108:B112)</f>
        <v>388546.15427441074</v>
      </c>
      <c r="C113" s="22">
        <f>SUM(C108:C112)</f>
        <v>396317.07735989889</v>
      </c>
      <c r="D113" s="22">
        <f>SUM(D108:D112)</f>
        <v>404243.41890709702</v>
      </c>
      <c r="E113" s="22">
        <f>SUM(E108:E112)</f>
        <v>412328.28728523897</v>
      </c>
      <c r="F113" s="23">
        <f>SUM(F108:F112)</f>
        <v>420574.85303094366</v>
      </c>
      <c r="G113" s="17"/>
      <c r="H113" s="17"/>
      <c r="I113" s="17"/>
      <c r="J113" s="17"/>
      <c r="K113" s="17"/>
      <c r="N113" s="3973"/>
      <c r="O113" s="3975"/>
    </row>
    <row r="114" spans="1:19" ht="13.35" customHeight="1">
      <c r="A114" s="21" t="s">
        <v>596</v>
      </c>
      <c r="B114" s="22">
        <f>$B$20*(1+$B$6)^(B107-1)</f>
        <v>-330090.7052444953</v>
      </c>
      <c r="C114" s="22">
        <f>$B$20*(1+$B$6)^(C107-1)</f>
        <v>-339993.42640183022</v>
      </c>
      <c r="D114" s="22">
        <f>$B$20*(1+$B$6)^(D107-1)</f>
        <v>-350193.22919388505</v>
      </c>
      <c r="E114" s="22">
        <f>$B$20*(1+$B$6)^(E107-1)</f>
        <v>-360699.02606970165</v>
      </c>
      <c r="F114" s="23">
        <f>$B$20*(1+$B$6)^(F107-1)</f>
        <v>-371519.99685179262</v>
      </c>
      <c r="G114" s="17"/>
      <c r="H114" s="17"/>
      <c r="I114" s="17"/>
      <c r="J114" s="17"/>
      <c r="K114" s="17"/>
      <c r="N114" s="3973"/>
      <c r="O114" s="3975"/>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-27198</v>
      </c>
      <c r="C115" s="22">
        <f>IF(AND('Part VII-Pro Forma'!$G$8="Yes",'Part VII-Pro Forma'!$G$9="Yes"),"Choose One!",IF('Part VII-Pro Forma'!$G$8="Yes",ROUND((-$K$8*(1+'Part VII-Pro Forma'!$B$6)^('Part VII-Pro Forma'!C107-1)),),IF('Part VII-Pro Forma'!$G$9="Yes",ROUND((-(SUM(C108:C111)*'Part VII-Pro Forma'!$K$9)),),"Choose mgt fee")))</f>
        <v>-27742</v>
      </c>
      <c r="D115" s="22">
        <f>IF(AND('Part VII-Pro Forma'!$G$8="Yes",'Part VII-Pro Forma'!$G$9="Yes"),"Choose One!",IF('Part VII-Pro Forma'!$G$8="Yes",ROUND((-$K$8*(1+'Part VII-Pro Forma'!$B$6)^('Part VII-Pro Forma'!D107-1)),),IF('Part VII-Pro Forma'!$G$9="Yes",ROUND((-(SUM(D108:D111)*'Part VII-Pro Forma'!$K$9)),),"Choose mgt fee")))</f>
        <v>-28297</v>
      </c>
      <c r="E115" s="22">
        <f>IF(AND('Part VII-Pro Forma'!$G$8="Yes",'Part VII-Pro Forma'!$G$9="Yes"),"Choose One!",IF('Part VII-Pro Forma'!$G$8="Yes",ROUND((-$K$8*(1+'Part VII-Pro Forma'!$B$6)^('Part VII-Pro Forma'!E107-1)),),IF('Part VII-Pro Forma'!$G$9="Yes",ROUND((-(SUM(E108:E111)*'Part VII-Pro Forma'!$K$9)),),"Choose mgt fee")))</f>
        <v>-28863</v>
      </c>
      <c r="F115" s="23">
        <f>IF(AND('Part VII-Pro Forma'!$G$8="Yes",'Part VII-Pro Forma'!$G$9="Yes"),"Choose One!",IF('Part VII-Pro Forma'!$G$8="Yes",ROUND((-$K$8*(1+'Part VII-Pro Forma'!$B$6)^('Part VII-Pro Forma'!F107-1)),),IF('Part VII-Pro Forma'!$G$9="Yes",ROUND((-(SUM(F108:F111)*'Part VII-Pro Forma'!$K$9)),),"Choose mgt fee")))</f>
        <v>-29440</v>
      </c>
      <c r="G115" s="17"/>
      <c r="H115" s="17"/>
      <c r="I115" s="17"/>
      <c r="J115" s="17"/>
      <c r="K115" s="17"/>
      <c r="N115" s="3973"/>
      <c r="O115" s="3975"/>
    </row>
    <row r="116" spans="1:19" ht="13.35" customHeight="1">
      <c r="A116" s="21" t="s">
        <v>1175</v>
      </c>
      <c r="B116" s="22">
        <f>$B$22*(1+$B$7)^(B107-1)</f>
        <v>-33981.674596655226</v>
      </c>
      <c r="C116" s="22">
        <f>$B$22*(1+$B$7)^(C107-1)</f>
        <v>-35001.124834554888</v>
      </c>
      <c r="D116" s="22">
        <f>$B$22*(1+$B$7)^(D107-1)</f>
        <v>-36051.158579591531</v>
      </c>
      <c r="E116" s="22">
        <f>$B$22*(1+$B$7)^(E107-1)</f>
        <v>-37132.693336979275</v>
      </c>
      <c r="F116" s="23">
        <f>$B$22*(1+$B$7)^(F107-1)</f>
        <v>-38246.674137088652</v>
      </c>
      <c r="G116" s="17"/>
      <c r="H116" s="17"/>
      <c r="I116" s="17"/>
      <c r="J116" s="17"/>
      <c r="K116" s="17"/>
      <c r="N116" s="3973"/>
      <c r="O116" s="3975"/>
      <c r="Q116" s="929">
        <v>10</v>
      </c>
      <c r="R116" s="1043">
        <f>-SUM(B122:K122)</f>
        <v>0</v>
      </c>
      <c r="S116" s="1043">
        <f>SUM(B123:K123)+R116</f>
        <v>0</v>
      </c>
    </row>
    <row r="117" spans="1:19" ht="13.35" customHeight="1">
      <c r="A117" s="417" t="s">
        <v>4374</v>
      </c>
      <c r="B117" s="4085">
        <f>IF(B107&lt;=+'Part VI-Revenues &amp; Expenses'!$N$250,-'Part VI-Revenues &amp; Expenses'!$K$250,0)</f>
        <v>0</v>
      </c>
      <c r="C117" s="4085">
        <f>IF(C107&lt;=+'Part VI-Revenues &amp; Expenses'!$N$250,-'Part VI-Revenues &amp; Expenses'!$K$250,0)</f>
        <v>0</v>
      </c>
      <c r="D117" s="4085">
        <f>IF(D107&lt;=+'Part VI-Revenues &amp; Expenses'!$N$250,-'Part VI-Revenues &amp; Expenses'!$K$250,0)</f>
        <v>0</v>
      </c>
      <c r="E117" s="4085">
        <f>IF(E107&lt;=+'Part VI-Revenues &amp; Expenses'!$N$250,-'Part VI-Revenues &amp; Expenses'!$K$250,0)</f>
        <v>0</v>
      </c>
      <c r="F117" s="4085">
        <f>IF(F107&lt;=+'Part VI-Revenues &amp; Expenses'!$N$250,-'Part VI-Revenues &amp; Expenses'!$K$250,0)</f>
        <v>0</v>
      </c>
      <c r="G117" s="17"/>
      <c r="H117" s="17"/>
      <c r="I117" s="17"/>
      <c r="J117" s="17"/>
      <c r="K117" s="17"/>
      <c r="N117" s="3973"/>
      <c r="O117" s="3975"/>
    </row>
    <row r="118" spans="1:19" ht="13.35" customHeight="1">
      <c r="A118" s="21" t="s">
        <v>1176</v>
      </c>
      <c r="B118" s="22">
        <f>SUM(B113:B117)</f>
        <v>-2724.225566739784</v>
      </c>
      <c r="C118" s="22">
        <f>SUM(C113:C117)</f>
        <v>-6419.4738764862195</v>
      </c>
      <c r="D118" s="22">
        <f>SUM(D113:D117)</f>
        <v>-10297.968866379568</v>
      </c>
      <c r="E118" s="22">
        <f>SUM(E113:E117)</f>
        <v>-14366.432121441954</v>
      </c>
      <c r="F118" s="1482">
        <f>SUM(F113:F117)</f>
        <v>-18631.817957937608</v>
      </c>
      <c r="G118" s="17"/>
      <c r="H118" s="17"/>
      <c r="I118" s="17"/>
      <c r="J118" s="17"/>
      <c r="K118" s="17"/>
      <c r="N118" s="3973"/>
      <c r="O118" s="3975"/>
    </row>
    <row r="119" spans="1:19" ht="13.35" customHeight="1">
      <c r="A119" s="21" t="str">
        <f>$A89</f>
        <v>Mortgage A</v>
      </c>
      <c r="B119" s="4086"/>
      <c r="C119" s="4086"/>
      <c r="D119" s="4086"/>
      <c r="E119" s="4086"/>
      <c r="F119" s="4086"/>
      <c r="G119" s="17"/>
      <c r="H119" s="17"/>
      <c r="I119" s="17"/>
      <c r="J119" s="17"/>
      <c r="K119" s="17"/>
      <c r="N119" s="3973"/>
      <c r="O119" s="3975"/>
    </row>
    <row r="120" spans="1:19" ht="13.35" customHeight="1">
      <c r="A120" s="21" t="str">
        <f>$A90</f>
        <v>Mortgage B</v>
      </c>
      <c r="B120" s="4087">
        <f>IF('Part III-Sources of Funds'!$P$39="", 0,-'Part III-Sources of Funds'!$P$39)</f>
        <v>0</v>
      </c>
      <c r="C120" s="4087">
        <f>IF('Part III-Sources of Funds'!$P$39="", 0,-'Part III-Sources of Funds'!$P$39)</f>
        <v>0</v>
      </c>
      <c r="D120" s="4087">
        <f>IF('Part III-Sources of Funds'!$P$39="", 0,-'Part III-Sources of Funds'!$P$39)</f>
        <v>0</v>
      </c>
      <c r="E120" s="4087">
        <f>IF('Part III-Sources of Funds'!$P$39="", 0,-'Part III-Sources of Funds'!$P$39)</f>
        <v>0</v>
      </c>
      <c r="F120" s="4087">
        <f>IF('Part III-Sources of Funds'!$P$39="", 0,-'Part III-Sources of Funds'!$P$39)</f>
        <v>0</v>
      </c>
      <c r="G120" s="17"/>
      <c r="H120" s="17"/>
      <c r="I120" s="17"/>
      <c r="J120" s="17"/>
      <c r="K120" s="17"/>
      <c r="N120" s="3973"/>
      <c r="O120" s="3975"/>
    </row>
    <row r="121" spans="1:19" ht="13.35" customHeight="1">
      <c r="A121" s="21" t="str">
        <f>$A91</f>
        <v>Mortgage C</v>
      </c>
      <c r="B121" s="4087">
        <f>IF('Part III-Sources of Funds'!$P$40="", 0,-'Part III-Sources of Funds'!$P$40)</f>
        <v>0</v>
      </c>
      <c r="C121" s="4087">
        <f>IF('Part III-Sources of Funds'!$P$40="", 0,-'Part III-Sources of Funds'!$P$40)</f>
        <v>0</v>
      </c>
      <c r="D121" s="4087">
        <f>IF('Part III-Sources of Funds'!$P$40="", 0,-'Part III-Sources of Funds'!$P$40)</f>
        <v>0</v>
      </c>
      <c r="E121" s="4087">
        <f>IF('Part III-Sources of Funds'!$P$40="", 0,-'Part III-Sources of Funds'!$P$40)</f>
        <v>0</v>
      </c>
      <c r="F121" s="4087">
        <f>IF('Part III-Sources of Funds'!$P$40="", 0,-'Part III-Sources of Funds'!$P$40)</f>
        <v>0</v>
      </c>
      <c r="G121" s="17"/>
      <c r="H121" s="17"/>
      <c r="I121" s="17"/>
      <c r="J121" s="17"/>
      <c r="K121" s="17"/>
      <c r="N121" s="3973"/>
      <c r="O121" s="3975"/>
    </row>
    <row r="122" spans="1:19" ht="13.35" customHeight="1">
      <c r="A122" s="21" t="str">
        <f>$A92</f>
        <v>D/S Other Source,not DDF</v>
      </c>
      <c r="B122" s="4087">
        <f>IF('Part III-Sources of Funds'!$P$41="", 0,-'Part III-Sources of Funds'!$P$41)</f>
        <v>0</v>
      </c>
      <c r="C122" s="4087">
        <f>IF('Part III-Sources of Funds'!$P$41="", 0,-'Part III-Sources of Funds'!$P$41)</f>
        <v>0</v>
      </c>
      <c r="D122" s="4087">
        <f>IF('Part III-Sources of Funds'!$P$41="", 0,-'Part III-Sources of Funds'!$P$41)</f>
        <v>0</v>
      </c>
      <c r="E122" s="4087">
        <f>IF('Part III-Sources of Funds'!$P$41="", 0,-'Part III-Sources of Funds'!$P$41)</f>
        <v>0</v>
      </c>
      <c r="F122" s="4087">
        <f>IF('Part III-Sources of Funds'!$P$41="", 0,-'Part III-Sources of Funds'!$P$41)</f>
        <v>0</v>
      </c>
      <c r="G122" s="17"/>
      <c r="H122" s="17"/>
      <c r="I122" s="17"/>
      <c r="J122" s="17"/>
      <c r="K122" s="17"/>
      <c r="N122" s="3973"/>
      <c r="O122" s="3975"/>
    </row>
    <row r="123" spans="1:19" ht="13.35" customHeight="1">
      <c r="A123" s="21" t="s">
        <v>744</v>
      </c>
      <c r="B123" s="4088"/>
      <c r="C123" s="4088"/>
      <c r="D123" s="4088"/>
      <c r="E123" s="4088"/>
      <c r="F123" s="4088"/>
      <c r="G123" s="17"/>
      <c r="H123" s="17"/>
      <c r="I123" s="17"/>
      <c r="J123" s="17"/>
      <c r="K123" s="17"/>
      <c r="N123" s="3973"/>
      <c r="O123" s="3975"/>
    </row>
    <row r="124" spans="1:19" ht="13.35" customHeight="1">
      <c r="A124" s="21" t="s">
        <v>1140</v>
      </c>
      <c r="B124" s="4090">
        <f>+K94</f>
        <v>0</v>
      </c>
      <c r="C124" s="4090">
        <f>+B124</f>
        <v>0</v>
      </c>
      <c r="D124" s="4090">
        <f>+C124</f>
        <v>0</v>
      </c>
      <c r="E124" s="4090">
        <f>+D124</f>
        <v>0</v>
      </c>
      <c r="F124" s="4090">
        <f>+E124</f>
        <v>0</v>
      </c>
      <c r="G124" s="17"/>
      <c r="H124" s="17"/>
      <c r="I124" s="17"/>
      <c r="J124" s="17"/>
      <c r="K124" s="17"/>
      <c r="N124" s="3973"/>
      <c r="O124" s="3975"/>
    </row>
    <row r="125" spans="1:19" ht="13.35" customHeight="1">
      <c r="A125" s="21" t="s">
        <v>1141</v>
      </c>
      <c r="B125" s="22">
        <f>SUM(B118:B124)</f>
        <v>-2724.225566739784</v>
      </c>
      <c r="C125" s="22">
        <f>SUM(C118:C124)</f>
        <v>-6419.4738764862195</v>
      </c>
      <c r="D125" s="22">
        <f>SUM(D118:D124)</f>
        <v>-10297.968866379568</v>
      </c>
      <c r="E125" s="22">
        <f>SUM(E118:E124)</f>
        <v>-14366.432121441954</v>
      </c>
      <c r="F125" s="23">
        <f>SUM(F118:F124)</f>
        <v>-18631.817957937608</v>
      </c>
      <c r="G125" s="17"/>
      <c r="H125" s="17"/>
      <c r="I125" s="17"/>
      <c r="J125" s="17"/>
      <c r="K125" s="17"/>
      <c r="N125" s="3973"/>
      <c r="O125" s="397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73"/>
      <c r="O126" s="397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73"/>
      <c r="O127" s="397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73"/>
      <c r="O128" s="397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73"/>
      <c r="O129" s="3975"/>
    </row>
    <row r="130" spans="1:19" ht="13.35" customHeight="1">
      <c r="A130" s="417" t="s">
        <v>3530</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73"/>
      <c r="O130" s="3975"/>
    </row>
    <row r="131" spans="1:19" ht="13.35" customHeight="1">
      <c r="A131" s="21" t="s">
        <v>751</v>
      </c>
      <c r="B131" s="265">
        <f>IF(OR(B115="Choose mgt fee",B115="Choose One!"),"",(B108+B109+B110+B111+B112) / -(B114+B115+B116))</f>
        <v>0.99303748582285789</v>
      </c>
      <c r="C131" s="265">
        <f>IF(OR(C115="Choose mgt fee",C115="Choose One!"),"",(C108+C109+C110+C111+C112) / -(C114+C115+C116))</f>
        <v>0.98406036438267475</v>
      </c>
      <c r="D131" s="265">
        <f>IF(OR(D115="Choose mgt fee",D115="Choose One!"),"",(D108+D109+D110+D111+D112) / -(D114+D115+D116))</f>
        <v>0.97515816473310302</v>
      </c>
      <c r="E131" s="265">
        <f>IF(OR(E115="Choose mgt fee",E115="Choose One!"),"",(E108+E109+E110+E111+E112) / -(E114+E115+E116))</f>
        <v>0.96633088841263737</v>
      </c>
      <c r="F131" s="597">
        <f>IF(OR(F115="Choose mgt fee",F115="Choose One!"),"",(F108+F109+F110+F111+F112) / -(F114+F115+F116))</f>
        <v>0.95757847230328319</v>
      </c>
      <c r="G131" s="17"/>
      <c r="H131" s="17"/>
      <c r="I131" s="17"/>
      <c r="J131" s="17"/>
      <c r="K131" s="17"/>
      <c r="N131" s="3973"/>
      <c r="O131" s="3975"/>
    </row>
    <row r="132" spans="1:19" ht="13.35" customHeight="1">
      <c r="A132" s="417" t="s">
        <v>2548</v>
      </c>
      <c r="B132" s="4091">
        <f>IF('Part III-Sources of Funds'!$I$38="","",-FV('Part III-Sources of Funds'!$K$38/12,12,B119/12,K102))</f>
        <v>0</v>
      </c>
      <c r="C132" s="4091">
        <f>IF('Part III-Sources of Funds'!$I$38="","",-FV('Part III-Sources of Funds'!$K$38/12,12,C119/12,B132))</f>
        <v>0</v>
      </c>
      <c r="D132" s="4091">
        <f>IF('Part III-Sources of Funds'!$I$38="","",-FV('Part III-Sources of Funds'!$K$38/12,12,D119/12,C132))</f>
        <v>0</v>
      </c>
      <c r="E132" s="4091">
        <f>IF('Part III-Sources of Funds'!$I$38="","",-FV('Part III-Sources of Funds'!$K$38/12,12,E119/12,D132))</f>
        <v>0</v>
      </c>
      <c r="F132" s="4091">
        <f>IF('Part III-Sources of Funds'!$I$38="","",-FV('Part III-Sources of Funds'!$K$38/12,12,F119/12,E132))</f>
        <v>0</v>
      </c>
      <c r="G132" s="17"/>
      <c r="H132" s="17"/>
      <c r="I132" s="17"/>
      <c r="J132" s="17"/>
      <c r="K132" s="17"/>
      <c r="N132" s="3973"/>
      <c r="O132" s="3975"/>
    </row>
    <row r="133" spans="1:19" ht="13.35" customHeight="1">
      <c r="A133" s="417" t="s">
        <v>2549</v>
      </c>
      <c r="B133" s="4087" t="str">
        <f>IF('Part III-Sources of Funds'!$I$39="","",-FV('Part III-Sources of Funds'!$K$39/12,12,B120/12,K103))</f>
        <v/>
      </c>
      <c r="C133" s="4087" t="str">
        <f>IF('Part III-Sources of Funds'!$I$39="","",-FV('Part III-Sources of Funds'!$K$39/12,12,C120/12,B133))</f>
        <v/>
      </c>
      <c r="D133" s="4087" t="str">
        <f>IF('Part III-Sources of Funds'!$I$39="","",-FV('Part III-Sources of Funds'!$K$39/12,12,D120/12,C133))</f>
        <v/>
      </c>
      <c r="E133" s="4087" t="str">
        <f>IF('Part III-Sources of Funds'!$I$39="","",-FV('Part III-Sources of Funds'!$K$39/12,12,E120/12,D133))</f>
        <v/>
      </c>
      <c r="F133" s="4087" t="str">
        <f>IF('Part III-Sources of Funds'!$I$39="","",-FV('Part III-Sources of Funds'!$K$39/12,12,F120/12,E133))</f>
        <v/>
      </c>
      <c r="G133" s="17"/>
      <c r="H133" s="17"/>
      <c r="I133" s="17"/>
      <c r="J133" s="17"/>
      <c r="K133" s="17"/>
      <c r="N133" s="3973"/>
      <c r="O133" s="3975"/>
    </row>
    <row r="134" spans="1:19" ht="13.35" customHeight="1">
      <c r="A134" s="417" t="s">
        <v>2550</v>
      </c>
      <c r="B134" s="4087" t="str">
        <f>IF('Part III-Sources of Funds'!$I$40="","",-FV('Part III-Sources of Funds'!$K$40/12,12,B121/12,K104))</f>
        <v/>
      </c>
      <c r="C134" s="4087" t="str">
        <f>IF('Part III-Sources of Funds'!$I$40="","",-FV('Part III-Sources of Funds'!$K$40/12,12,C121/12,B134))</f>
        <v/>
      </c>
      <c r="D134" s="4087" t="str">
        <f>IF('Part III-Sources of Funds'!$I$40="","",-FV('Part III-Sources of Funds'!$K$40/12,12,D121/12,C134))</f>
        <v/>
      </c>
      <c r="E134" s="4087" t="str">
        <f>IF('Part III-Sources of Funds'!$I$40="","",-FV('Part III-Sources of Funds'!$K$40/12,12,E121/12,D134))</f>
        <v/>
      </c>
      <c r="F134" s="4087" t="str">
        <f>IF('Part III-Sources of Funds'!$I$40="","",-FV('Part III-Sources of Funds'!$K$40/12,12,F121/12,E134))</f>
        <v/>
      </c>
      <c r="G134" s="17"/>
      <c r="H134" s="17"/>
      <c r="I134" s="17"/>
      <c r="J134" s="17"/>
      <c r="K134" s="17"/>
      <c r="N134" s="3973"/>
      <c r="O134" s="3975"/>
    </row>
    <row r="135" spans="1:19" ht="13.35" customHeight="1">
      <c r="A135" s="26" t="s">
        <v>763</v>
      </c>
      <c r="B135" s="4090" t="str">
        <f>IF('Part III-Sources of Funds'!$I$41="","",-FV('Part III-Sources of Funds'!$K$41/12,12,B122/12,K105))</f>
        <v/>
      </c>
      <c r="C135" s="4090" t="str">
        <f>IF('Part III-Sources of Funds'!$I$41="","",-FV('Part III-Sources of Funds'!$K$41/12,12,C122/12,B135))</f>
        <v/>
      </c>
      <c r="D135" s="4090" t="str">
        <f>IF('Part III-Sources of Funds'!$I$41="","",-FV('Part III-Sources of Funds'!$K$41/12,12,D122/12,C135))</f>
        <v/>
      </c>
      <c r="E135" s="4090" t="str">
        <f>IF('Part III-Sources of Funds'!$I$41="","",-FV('Part III-Sources of Funds'!$K$41/12,12,E122/12,D135))</f>
        <v/>
      </c>
      <c r="F135" s="4090" t="str">
        <f>IF('Part III-Sources of Funds'!$I$41="","",-FV('Part III-Sources of Funds'!$K$41/12,12,F122/12,E135))</f>
        <v/>
      </c>
      <c r="G135" s="17"/>
      <c r="H135" s="17"/>
      <c r="I135" s="17"/>
      <c r="J135" s="17"/>
      <c r="K135" s="17"/>
      <c r="N135" s="4004"/>
      <c r="O135" s="4006"/>
    </row>
    <row r="136" spans="1:19" ht="4.3499999999999996" customHeight="1"/>
    <row r="137" spans="1:19" ht="12" customHeight="1">
      <c r="A137" s="13" t="s">
        <v>553</v>
      </c>
      <c r="B137" s="13"/>
      <c r="G137" s="13" t="s">
        <v>1008</v>
      </c>
    </row>
    <row r="138" spans="1:19" ht="12" customHeight="1">
      <c r="B138" s="31"/>
    </row>
    <row r="139" spans="1:19" ht="409.5" customHeight="1">
      <c r="A139" s="3698" t="s">
        <v>7098</v>
      </c>
      <c r="B139" s="4092"/>
      <c r="C139" s="4092"/>
      <c r="D139" s="4092"/>
      <c r="E139" s="4092"/>
      <c r="F139" s="4093"/>
      <c r="G139" s="4094"/>
      <c r="H139" s="4095"/>
      <c r="I139" s="4095"/>
      <c r="J139" s="4095"/>
      <c r="K139" s="4096"/>
      <c r="N139" s="2514" t="s">
        <v>2612</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ZFMZ5q1cVFu0843UmH1GOQkErnZ+QWac5ps0Btt2i8uhPofZO/UsnPiErrcApxiLzuhmvb2gDAVye1Bn3jChLw==" saltValue="p94YYoYlu/w3ayesXiieR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8" priority="11">
      <formula>$G$6&lt;$G$5</formula>
    </cfRule>
  </conditionalFormatting>
  <conditionalFormatting sqref="A30">
    <cfRule type="expression" dxfId="147" priority="10">
      <formula>"or(B28&lt;$G$6,C28&lt;$G$6,D28&lt;$G$6,E28&lt;$G$6,F28&lt;$G$6,G28&lt;$G$6,H28&lt;$G$6,I28&lt;$G$6,J28&lt;$G$6,K28&lt;$G$6,)"</formula>
    </cfRule>
  </conditionalFormatting>
  <conditionalFormatting sqref="A62">
    <cfRule type="expression" dxfId="146" priority="7">
      <formula>"or(B28&lt;$G$6,C28&lt;$G$6,D28&lt;$G$6,E28&lt;$G$6,F28&lt;$G$6,G28&lt;$G$6,H28&lt;$G$6,I28&lt;$G$6,J28&lt;$G$6,K28&lt;$G$6,)"</formula>
    </cfRule>
  </conditionalFormatting>
  <conditionalFormatting sqref="A94">
    <cfRule type="expression" dxfId="145" priority="6">
      <formula>"or(B28&lt;$G$6,C28&lt;$G$6,D28&lt;$G$6,E28&lt;$G$6,F28&lt;$G$6,G28&lt;$G$6,H28&lt;$G$6,I28&lt;$G$6,J28&lt;$G$6,K28&lt;$G$6,)"</formula>
    </cfRule>
  </conditionalFormatting>
  <conditionalFormatting sqref="A23">
    <cfRule type="expression" dxfId="144" priority="5">
      <formula>"or(B28&lt;$G$6,C28&lt;$G$6,D28&lt;$G$6,E28&lt;$G$6,F28&lt;$G$6,G28&lt;$G$6,H28&lt;$G$6,I28&lt;$G$6,J28&lt;$G$6,K28&lt;$G$6,)"</formula>
    </cfRule>
  </conditionalFormatting>
  <conditionalFormatting sqref="A55">
    <cfRule type="expression" dxfId="143" priority="4">
      <formula>"or(B28&lt;$G$6,C28&lt;$G$6,D28&lt;$G$6,E28&lt;$G$6,F28&lt;$G$6,G28&lt;$G$6,H28&lt;$G$6,I28&lt;$G$6,J28&lt;$G$6,K28&lt;$G$6,)"</formula>
    </cfRule>
  </conditionalFormatting>
  <conditionalFormatting sqref="A87">
    <cfRule type="expression" dxfId="142" priority="3">
      <formula>"or(B28&lt;$G$6,C28&lt;$G$6,D28&lt;$G$6,E28&lt;$G$6,F28&lt;$G$6,G28&lt;$G$6,H28&lt;$G$6,I28&lt;$G$6,J28&lt;$G$6,K28&lt;$G$6,)"</formula>
    </cfRule>
  </conditionalFormatting>
  <conditionalFormatting sqref="A117">
    <cfRule type="expression" dxfId="141" priority="2">
      <formula>"or(B28&lt;$G$6,C28&lt;$G$6,D28&lt;$G$6,E28&lt;$G$6,F28&lt;$G$6,G28&lt;$G$6,H28&lt;$G$6,I28&lt;$G$6,J28&lt;$G$6,K28&lt;$G$6,)"</formula>
    </cfRule>
  </conditionalFormatting>
  <conditionalFormatting sqref="C8">
    <cfRule type="containsText" dxfId="140"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0" zoomScaleNormal="11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2020-050 Twin Oaks Commons, Ludowici, Long County</v>
      </c>
      <c r="B1" s="2535"/>
      <c r="C1" s="2535"/>
      <c r="D1" s="2535"/>
      <c r="E1" s="2535"/>
      <c r="F1" s="2535"/>
      <c r="G1" s="2535"/>
      <c r="H1" s="2535"/>
      <c r="I1" s="2535"/>
      <c r="J1" s="2535"/>
      <c r="K1" s="2535"/>
      <c r="L1" s="2535"/>
      <c r="M1" s="2535"/>
      <c r="N1" s="2535"/>
      <c r="O1" s="2535"/>
      <c r="P1" s="2535"/>
      <c r="Q1" s="2535"/>
      <c r="R1" s="2827" t="str">
        <f>'Part I-Project Information'!$B$6</f>
        <v>May 26, 2020 Version</v>
      </c>
      <c r="S1" s="2827"/>
    </row>
    <row r="2" spans="1:32" s="27" customFormat="1" ht="3" customHeight="1">
      <c r="R2" s="2827"/>
      <c r="S2" s="2827"/>
      <c r="AE2" s="116"/>
      <c r="AF2" s="116"/>
    </row>
    <row r="3" spans="1:32" ht="13.5" customHeight="1">
      <c r="A3" s="28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6"/>
      <c r="C3" s="2856"/>
      <c r="D3" s="2856"/>
      <c r="E3" s="2856"/>
      <c r="F3" s="2856"/>
      <c r="G3" s="2856"/>
      <c r="H3" s="28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6"/>
      <c r="J3" s="2856"/>
      <c r="K3" s="2856"/>
      <c r="L3" s="2856"/>
      <c r="M3" s="2856"/>
      <c r="N3" s="2857"/>
      <c r="O3" s="2858" t="s">
        <v>912</v>
      </c>
      <c r="P3" s="2859"/>
      <c r="Q3" s="1508" t="s">
        <v>1795</v>
      </c>
      <c r="R3" s="2827"/>
      <c r="S3" s="2827"/>
    </row>
    <row r="4" spans="1:32" ht="3" customHeight="1">
      <c r="A4" s="2375"/>
      <c r="B4" s="2860"/>
      <c r="C4" s="2860"/>
      <c r="D4" s="2860"/>
      <c r="E4" s="2375"/>
      <c r="F4" s="2375"/>
      <c r="G4" s="2375"/>
      <c r="H4" s="2375"/>
      <c r="I4" s="2375"/>
      <c r="J4" s="2375"/>
      <c r="K4" s="2375"/>
      <c r="L4" s="2375"/>
      <c r="M4" s="2375"/>
      <c r="N4" s="2375"/>
      <c r="P4" s="2375"/>
      <c r="Q4" s="2375"/>
      <c r="R4" s="2827"/>
      <c r="S4" s="2827"/>
    </row>
    <row r="5" spans="1:32" ht="11.1" hidden="1" customHeight="1">
      <c r="A5" s="2375"/>
      <c r="B5" s="2375"/>
      <c r="C5" s="2375"/>
      <c r="D5" s="2375"/>
      <c r="E5" s="2375"/>
      <c r="F5" s="2375"/>
      <c r="G5" s="2375"/>
      <c r="H5" s="2375"/>
      <c r="I5" s="2375"/>
      <c r="J5" s="2375"/>
      <c r="K5" s="2375"/>
      <c r="L5" s="2375"/>
      <c r="M5" s="2375"/>
      <c r="N5" s="2375"/>
      <c r="P5" s="2375"/>
      <c r="Q5" s="2375"/>
      <c r="R5" s="2827"/>
      <c r="S5" s="2827"/>
    </row>
    <row r="6" spans="1:32" ht="17.25" customHeight="1">
      <c r="A6" s="125" t="s">
        <v>549</v>
      </c>
      <c r="J6" s="2863" t="s">
        <v>3627</v>
      </c>
      <c r="K6" s="2863"/>
      <c r="L6" s="2863"/>
      <c r="M6" s="2863"/>
      <c r="N6" s="2863"/>
      <c r="O6" s="2864"/>
      <c r="P6" s="2861"/>
      <c r="Q6" s="2862"/>
      <c r="R6" s="2827"/>
      <c r="S6" s="2827"/>
    </row>
    <row r="7" spans="1:32" ht="12.6" customHeight="1">
      <c r="A7" s="126" t="s">
        <v>3334</v>
      </c>
      <c r="C7" s="127"/>
      <c r="D7" s="127"/>
      <c r="H7" s="1210"/>
      <c r="I7" s="1210"/>
      <c r="J7" s="1210"/>
      <c r="K7" s="1210"/>
      <c r="L7" s="1210"/>
      <c r="M7" s="2375"/>
      <c r="N7" s="2375"/>
    </row>
    <row r="8" spans="1:32" ht="24.6" customHeight="1">
      <c r="A8" s="2865" t="s">
        <v>1380</v>
      </c>
      <c r="B8" s="2866"/>
      <c r="C8" s="2866"/>
      <c r="D8" s="2866"/>
      <c r="E8" s="2866"/>
      <c r="F8" s="2866"/>
      <c r="G8" s="2866"/>
      <c r="H8" s="2866"/>
      <c r="I8" s="2866"/>
      <c r="J8" s="2866"/>
      <c r="K8" s="2866"/>
      <c r="L8" s="2866"/>
      <c r="M8" s="2866"/>
      <c r="N8" s="2866"/>
      <c r="O8" s="2866"/>
      <c r="P8" s="2866"/>
      <c r="Q8" s="2867"/>
      <c r="R8" s="2686" t="s">
        <v>1982</v>
      </c>
      <c r="S8" s="2401"/>
    </row>
    <row r="9" spans="1:32" ht="24.6" customHeight="1">
      <c r="A9" s="2829" t="s">
        <v>221</v>
      </c>
      <c r="B9" s="2830"/>
      <c r="C9" s="2830"/>
      <c r="D9" s="2830"/>
      <c r="E9" s="2830"/>
      <c r="F9" s="2830"/>
      <c r="G9" s="2830"/>
      <c r="H9" s="2830"/>
      <c r="I9" s="2830"/>
      <c r="J9" s="2830"/>
      <c r="K9" s="2830"/>
      <c r="L9" s="2830"/>
      <c r="M9" s="2830"/>
      <c r="N9" s="2830"/>
      <c r="O9" s="2830"/>
      <c r="P9" s="2830"/>
      <c r="Q9" s="2831"/>
      <c r="R9" s="2686"/>
      <c r="S9" s="2401"/>
    </row>
    <row r="10" spans="1:32" ht="24.6" customHeight="1">
      <c r="A10" s="2829" t="s">
        <v>1376</v>
      </c>
      <c r="B10" s="2830"/>
      <c r="C10" s="2830"/>
      <c r="D10" s="2830"/>
      <c r="E10" s="2830"/>
      <c r="F10" s="2830"/>
      <c r="G10" s="2830"/>
      <c r="H10" s="2830"/>
      <c r="I10" s="2830"/>
      <c r="J10" s="2830"/>
      <c r="K10" s="2830"/>
      <c r="L10" s="2830"/>
      <c r="M10" s="2830"/>
      <c r="N10" s="2830"/>
      <c r="O10" s="2830"/>
      <c r="P10" s="2830"/>
      <c r="Q10" s="2831"/>
      <c r="R10" s="2686"/>
      <c r="S10" s="2401"/>
    </row>
    <row r="11" spans="1:32" ht="24.6" customHeight="1">
      <c r="A11" s="2829" t="s">
        <v>1377</v>
      </c>
      <c r="B11" s="2830"/>
      <c r="C11" s="2830"/>
      <c r="D11" s="2830"/>
      <c r="E11" s="2830"/>
      <c r="F11" s="2830"/>
      <c r="G11" s="2830"/>
      <c r="H11" s="2830"/>
      <c r="I11" s="2830"/>
      <c r="J11" s="2830"/>
      <c r="K11" s="2830"/>
      <c r="L11" s="2830"/>
      <c r="M11" s="2830"/>
      <c r="N11" s="2830"/>
      <c r="O11" s="2830"/>
      <c r="P11" s="2830"/>
      <c r="Q11" s="2831"/>
      <c r="R11" s="2686"/>
      <c r="S11" s="2401"/>
    </row>
    <row r="12" spans="1:32" ht="24" customHeight="1">
      <c r="A12" s="2829" t="s">
        <v>1378</v>
      </c>
      <c r="B12" s="2830"/>
      <c r="C12" s="2830"/>
      <c r="D12" s="2830"/>
      <c r="E12" s="2830"/>
      <c r="F12" s="2830"/>
      <c r="G12" s="2830"/>
      <c r="H12" s="2830"/>
      <c r="I12" s="2830"/>
      <c r="J12" s="2830"/>
      <c r="K12" s="2830"/>
      <c r="L12" s="2830"/>
      <c r="M12" s="2830"/>
      <c r="N12" s="2830"/>
      <c r="O12" s="2830"/>
      <c r="P12" s="2830"/>
      <c r="Q12" s="2831"/>
      <c r="R12" s="2343"/>
      <c r="S12" s="2343"/>
    </row>
    <row r="13" spans="1:32" ht="11.25" customHeight="1">
      <c r="A13" s="2829" t="s">
        <v>1379</v>
      </c>
      <c r="B13" s="2830"/>
      <c r="C13" s="2830"/>
      <c r="D13" s="2830"/>
      <c r="E13" s="2830"/>
      <c r="F13" s="2830"/>
      <c r="G13" s="2830"/>
      <c r="H13" s="2830"/>
      <c r="I13" s="2830"/>
      <c r="J13" s="2830"/>
      <c r="K13" s="2830"/>
      <c r="L13" s="2830"/>
      <c r="M13" s="2830"/>
      <c r="N13" s="2830"/>
      <c r="O13" s="2830"/>
      <c r="P13" s="2830"/>
      <c r="Q13" s="2831"/>
      <c r="R13" s="2343"/>
      <c r="S13" s="2343"/>
    </row>
    <row r="14" spans="1:32" ht="11.25" customHeight="1">
      <c r="A14" s="2829" t="s">
        <v>1381</v>
      </c>
      <c r="B14" s="2830"/>
      <c r="C14" s="2830"/>
      <c r="D14" s="2830"/>
      <c r="E14" s="2830"/>
      <c r="F14" s="2830"/>
      <c r="G14" s="2830"/>
      <c r="H14" s="2830"/>
      <c r="I14" s="2830"/>
      <c r="J14" s="2830"/>
      <c r="K14" s="2830"/>
      <c r="L14" s="2830"/>
      <c r="M14" s="2830"/>
      <c r="N14" s="2830"/>
      <c r="O14" s="2830"/>
      <c r="P14" s="2830"/>
      <c r="Q14" s="2831"/>
    </row>
    <row r="15" spans="1:32" ht="11.25" customHeight="1">
      <c r="A15" s="2829" t="s">
        <v>1969</v>
      </c>
      <c r="B15" s="2830"/>
      <c r="C15" s="2830"/>
      <c r="D15" s="2830"/>
      <c r="E15" s="2830"/>
      <c r="F15" s="2830"/>
      <c r="G15" s="2830"/>
      <c r="H15" s="2830"/>
      <c r="I15" s="2830"/>
      <c r="J15" s="2830"/>
      <c r="K15" s="2830"/>
      <c r="L15" s="2830"/>
      <c r="M15" s="2830"/>
      <c r="N15" s="2830"/>
      <c r="O15" s="2830"/>
      <c r="P15" s="2830"/>
      <c r="Q15" s="2831"/>
      <c r="R15" s="2686" t="s">
        <v>1982</v>
      </c>
      <c r="S15" s="2433"/>
    </row>
    <row r="16" spans="1:32" ht="11.25" customHeight="1">
      <c r="A16" s="2829" t="s">
        <v>1970</v>
      </c>
      <c r="B16" s="2830"/>
      <c r="C16" s="2830"/>
      <c r="D16" s="2830"/>
      <c r="E16" s="2830"/>
      <c r="F16" s="2830"/>
      <c r="G16" s="2830"/>
      <c r="H16" s="2830"/>
      <c r="I16" s="2830"/>
      <c r="J16" s="2830"/>
      <c r="K16" s="2830"/>
      <c r="L16" s="2830"/>
      <c r="M16" s="2830"/>
      <c r="N16" s="2830"/>
      <c r="O16" s="2830"/>
      <c r="P16" s="2830"/>
      <c r="Q16" s="2831"/>
      <c r="R16" s="2686"/>
      <c r="S16" s="2433"/>
    </row>
    <row r="17" spans="1:31" ht="11.25" customHeight="1">
      <c r="A17" s="2829" t="s">
        <v>1971</v>
      </c>
      <c r="B17" s="2830"/>
      <c r="C17" s="2830"/>
      <c r="D17" s="2830"/>
      <c r="E17" s="2830"/>
      <c r="F17" s="2830"/>
      <c r="G17" s="2830"/>
      <c r="H17" s="2830"/>
      <c r="I17" s="2830"/>
      <c r="J17" s="2830"/>
      <c r="K17" s="2830"/>
      <c r="L17" s="2830"/>
      <c r="M17" s="2830"/>
      <c r="N17" s="2830"/>
      <c r="O17" s="2830"/>
      <c r="P17" s="2830"/>
      <c r="Q17" s="2831"/>
      <c r="R17" s="2686"/>
      <c r="S17" s="2433"/>
    </row>
    <row r="18" spans="1:31" ht="11.25" customHeight="1">
      <c r="A18" s="2829" t="s">
        <v>1972</v>
      </c>
      <c r="B18" s="2830"/>
      <c r="C18" s="2830"/>
      <c r="D18" s="2830"/>
      <c r="E18" s="2830"/>
      <c r="F18" s="2830"/>
      <c r="G18" s="2830"/>
      <c r="H18" s="2830"/>
      <c r="I18" s="2830"/>
      <c r="J18" s="2830"/>
      <c r="K18" s="2830"/>
      <c r="L18" s="2830"/>
      <c r="M18" s="2830"/>
      <c r="N18" s="2830"/>
      <c r="O18" s="2830"/>
      <c r="P18" s="2830"/>
      <c r="Q18" s="2831"/>
      <c r="R18" s="2686"/>
      <c r="S18" s="2433"/>
    </row>
    <row r="19" spans="1:31" ht="11.25" customHeight="1">
      <c r="A19" s="2829" t="s">
        <v>1973</v>
      </c>
      <c r="B19" s="2830"/>
      <c r="C19" s="2830"/>
      <c r="D19" s="2830"/>
      <c r="E19" s="2830"/>
      <c r="F19" s="2830"/>
      <c r="G19" s="2830"/>
      <c r="H19" s="2830"/>
      <c r="I19" s="2830"/>
      <c r="J19" s="2830"/>
      <c r="K19" s="2830"/>
      <c r="L19" s="2830"/>
      <c r="M19" s="2830"/>
      <c r="N19" s="2830"/>
      <c r="O19" s="2830"/>
      <c r="P19" s="2830"/>
      <c r="Q19" s="2831"/>
      <c r="R19" s="2686"/>
      <c r="S19" s="2433"/>
    </row>
    <row r="20" spans="1:31" ht="11.25" customHeight="1">
      <c r="A20" s="2829" t="s">
        <v>1974</v>
      </c>
      <c r="B20" s="2830"/>
      <c r="C20" s="2830"/>
      <c r="D20" s="2830"/>
      <c r="E20" s="2830"/>
      <c r="F20" s="2830"/>
      <c r="G20" s="2830"/>
      <c r="H20" s="2830"/>
      <c r="I20" s="2830"/>
      <c r="J20" s="2830"/>
      <c r="K20" s="2830"/>
      <c r="L20" s="2830"/>
      <c r="M20" s="2830"/>
      <c r="N20" s="2830"/>
      <c r="O20" s="2830"/>
      <c r="P20" s="2830"/>
      <c r="Q20" s="2831"/>
      <c r="R20" s="2686"/>
      <c r="S20" s="2433"/>
    </row>
    <row r="21" spans="1:31" ht="11.25" customHeight="1">
      <c r="A21" s="2829" t="s">
        <v>1975</v>
      </c>
      <c r="B21" s="2830"/>
      <c r="C21" s="2830"/>
      <c r="D21" s="2830"/>
      <c r="E21" s="2830"/>
      <c r="F21" s="2830"/>
      <c r="G21" s="2830"/>
      <c r="H21" s="2830"/>
      <c r="I21" s="2830"/>
      <c r="J21" s="2830"/>
      <c r="K21" s="2830"/>
      <c r="L21" s="2830"/>
      <c r="M21" s="2830"/>
      <c r="N21" s="2830"/>
      <c r="O21" s="2830"/>
      <c r="P21" s="2830"/>
      <c r="Q21" s="2831"/>
    </row>
    <row r="22" spans="1:31" ht="11.25" customHeight="1">
      <c r="A22" s="2829" t="s">
        <v>1976</v>
      </c>
      <c r="B22" s="2830"/>
      <c r="C22" s="2830"/>
      <c r="D22" s="2830"/>
      <c r="E22" s="2830"/>
      <c r="F22" s="2830"/>
      <c r="G22" s="2830"/>
      <c r="H22" s="2830"/>
      <c r="I22" s="2830"/>
      <c r="J22" s="2830"/>
      <c r="K22" s="2830"/>
      <c r="L22" s="2830"/>
      <c r="M22" s="2830"/>
      <c r="N22" s="2830"/>
      <c r="O22" s="2830"/>
      <c r="P22" s="2830"/>
      <c r="Q22" s="2831"/>
      <c r="R22" s="2686" t="s">
        <v>1982</v>
      </c>
      <c r="S22" s="2433"/>
    </row>
    <row r="23" spans="1:31" ht="11.25" customHeight="1">
      <c r="A23" s="2829" t="s">
        <v>1977</v>
      </c>
      <c r="B23" s="2830"/>
      <c r="C23" s="2830"/>
      <c r="D23" s="2830"/>
      <c r="E23" s="2830"/>
      <c r="F23" s="2830"/>
      <c r="G23" s="2830"/>
      <c r="H23" s="2830"/>
      <c r="I23" s="2830"/>
      <c r="J23" s="2830"/>
      <c r="K23" s="2830"/>
      <c r="L23" s="2830"/>
      <c r="M23" s="2830"/>
      <c r="N23" s="2830"/>
      <c r="O23" s="2830"/>
      <c r="P23" s="2830"/>
      <c r="Q23" s="2831"/>
      <c r="R23" s="2686"/>
      <c r="S23" s="2433"/>
    </row>
    <row r="24" spans="1:31" ht="11.25" customHeight="1">
      <c r="A24" s="2829" t="s">
        <v>1978</v>
      </c>
      <c r="B24" s="2830"/>
      <c r="C24" s="2830"/>
      <c r="D24" s="2830"/>
      <c r="E24" s="2830"/>
      <c r="F24" s="2830"/>
      <c r="G24" s="2830"/>
      <c r="H24" s="2830"/>
      <c r="I24" s="2830"/>
      <c r="J24" s="2830"/>
      <c r="K24" s="2830"/>
      <c r="L24" s="2830"/>
      <c r="M24" s="2830"/>
      <c r="N24" s="2830"/>
      <c r="O24" s="2830"/>
      <c r="P24" s="2830"/>
      <c r="Q24" s="2831"/>
      <c r="R24" s="2686"/>
      <c r="S24" s="2433"/>
    </row>
    <row r="25" spans="1:31" ht="11.25" customHeight="1">
      <c r="A25" s="2829" t="s">
        <v>1979</v>
      </c>
      <c r="B25" s="2830"/>
      <c r="C25" s="2830"/>
      <c r="D25" s="2830"/>
      <c r="E25" s="2830"/>
      <c r="F25" s="2830"/>
      <c r="G25" s="2830"/>
      <c r="H25" s="2830"/>
      <c r="I25" s="2830"/>
      <c r="J25" s="2830"/>
      <c r="K25" s="2830"/>
      <c r="L25" s="2830"/>
      <c r="M25" s="2830"/>
      <c r="N25" s="2830"/>
      <c r="O25" s="2830"/>
      <c r="P25" s="2830"/>
      <c r="Q25" s="2831"/>
      <c r="R25" s="2686"/>
      <c r="S25" s="2433"/>
    </row>
    <row r="26" spans="1:31" ht="11.25" customHeight="1">
      <c r="A26" s="2829" t="s">
        <v>1980</v>
      </c>
      <c r="B26" s="2830"/>
      <c r="C26" s="2830"/>
      <c r="D26" s="2830"/>
      <c r="E26" s="2830"/>
      <c r="F26" s="2830"/>
      <c r="G26" s="2830"/>
      <c r="H26" s="2830"/>
      <c r="I26" s="2830"/>
      <c r="J26" s="2830"/>
      <c r="K26" s="2830"/>
      <c r="L26" s="2830"/>
      <c r="M26" s="2830"/>
      <c r="N26" s="2830"/>
      <c r="O26" s="2830"/>
      <c r="P26" s="2830"/>
      <c r="Q26" s="2831"/>
      <c r="R26" s="2686"/>
      <c r="S26" s="2433"/>
    </row>
    <row r="27" spans="1:31" ht="11.25" customHeight="1">
      <c r="A27" s="2832" t="s">
        <v>1981</v>
      </c>
      <c r="B27" s="2833"/>
      <c r="C27" s="2833"/>
      <c r="D27" s="2833"/>
      <c r="E27" s="2833"/>
      <c r="F27" s="2833"/>
      <c r="G27" s="2833"/>
      <c r="H27" s="2833"/>
      <c r="I27" s="2833"/>
      <c r="J27" s="2833"/>
      <c r="K27" s="2833"/>
      <c r="L27" s="2833"/>
      <c r="M27" s="2833"/>
      <c r="N27" s="2833"/>
      <c r="O27" s="2833"/>
      <c r="P27" s="2833"/>
      <c r="Q27" s="2834"/>
      <c r="R27" s="2686"/>
      <c r="S27" s="2433"/>
    </row>
    <row r="28" spans="1:31" ht="6" customHeight="1"/>
    <row r="29" spans="1:31" ht="14.1" customHeight="1">
      <c r="A29" s="128" t="s">
        <v>597</v>
      </c>
      <c r="B29" s="129" t="s">
        <v>2577</v>
      </c>
      <c r="C29" s="130"/>
      <c r="D29" s="86"/>
      <c r="E29" s="86"/>
      <c r="F29" s="86"/>
      <c r="G29" s="86"/>
      <c r="I29" s="2398"/>
      <c r="J29" s="2398"/>
      <c r="K29" s="2398"/>
      <c r="L29" s="2375"/>
      <c r="M29" s="2375"/>
      <c r="O29" s="131" t="s">
        <v>1819</v>
      </c>
      <c r="P29" s="2721"/>
      <c r="Q29" s="2722"/>
    </row>
    <row r="30" spans="1:31" ht="3" customHeight="1"/>
    <row r="31" spans="1:31" ht="11.25" customHeight="1">
      <c r="B31" s="66" t="s">
        <v>3563</v>
      </c>
      <c r="C31" s="66"/>
      <c r="D31" s="66"/>
      <c r="E31" s="66"/>
      <c r="F31" s="66"/>
      <c r="G31" s="2398"/>
      <c r="H31" s="2398"/>
      <c r="I31" s="2398"/>
      <c r="J31" s="2398"/>
      <c r="K31" s="2375"/>
      <c r="L31" s="2375"/>
      <c r="M31" s="2375"/>
      <c r="N31" s="2375"/>
      <c r="O31" s="2375"/>
      <c r="P31" s="855"/>
      <c r="S31" s="157"/>
      <c r="T31" s="157"/>
    </row>
    <row r="32" spans="1:31" ht="26.25" customHeight="1">
      <c r="A32" s="2710" t="s">
        <v>7099</v>
      </c>
      <c r="B32" s="2711"/>
      <c r="C32" s="2711"/>
      <c r="D32" s="2711"/>
      <c r="E32" s="2711"/>
      <c r="F32" s="2711"/>
      <c r="G32" s="2711"/>
      <c r="H32" s="2711"/>
      <c r="I32" s="2711"/>
      <c r="J32" s="2711"/>
      <c r="K32" s="2711"/>
      <c r="L32" s="2711"/>
      <c r="M32" s="2711"/>
      <c r="N32" s="2711"/>
      <c r="O32" s="2711"/>
      <c r="P32" s="2711"/>
      <c r="Q32" s="2712"/>
      <c r="R32" s="440" t="s">
        <v>1227</v>
      </c>
      <c r="S32" s="441"/>
      <c r="T32" s="157"/>
      <c r="U32" s="135"/>
      <c r="V32" s="135"/>
      <c r="W32" s="135"/>
      <c r="X32" s="135"/>
      <c r="Y32" s="135"/>
      <c r="Z32" s="135"/>
      <c r="AA32" s="135"/>
      <c r="AB32" s="135"/>
      <c r="AC32" s="135"/>
      <c r="AD32" s="135"/>
      <c r="AE32" s="457"/>
    </row>
    <row r="33" spans="1:295" ht="11.25" customHeight="1">
      <c r="B33" s="136" t="s">
        <v>1818</v>
      </c>
      <c r="C33" s="137"/>
      <c r="D33" s="2377"/>
      <c r="E33" s="2377"/>
      <c r="F33" s="2377"/>
      <c r="G33" s="2377"/>
      <c r="H33" s="2377"/>
      <c r="I33" s="2377"/>
      <c r="J33" s="2377"/>
      <c r="K33" s="2377"/>
      <c r="L33" s="2377"/>
      <c r="M33" s="2377"/>
      <c r="N33" s="2377"/>
      <c r="O33" s="2377"/>
      <c r="P33" s="2377"/>
    </row>
    <row r="34" spans="1:295" ht="36" customHeight="1">
      <c r="A34" s="2835"/>
      <c r="B34" s="2835"/>
      <c r="C34" s="2835"/>
      <c r="D34" s="2835"/>
      <c r="E34" s="2835"/>
      <c r="F34" s="2835"/>
      <c r="G34" s="2835"/>
      <c r="H34" s="2835"/>
      <c r="I34" s="2835"/>
      <c r="J34" s="2835"/>
      <c r="K34" s="2835"/>
      <c r="L34" s="2835"/>
      <c r="M34" s="2835"/>
      <c r="N34" s="2835"/>
      <c r="O34" s="2835"/>
      <c r="P34" s="2835"/>
      <c r="Q34" s="2835"/>
      <c r="R34" s="440" t="s">
        <v>1227</v>
      </c>
      <c r="S34" s="441"/>
    </row>
    <row r="35" spans="1:295" ht="3" customHeight="1">
      <c r="B35" s="2398"/>
      <c r="C35" s="2377"/>
      <c r="D35" s="2377"/>
      <c r="E35" s="2377"/>
      <c r="F35" s="2377"/>
      <c r="G35" s="2377"/>
      <c r="H35" s="2377"/>
      <c r="I35" s="2377"/>
      <c r="J35" s="2377"/>
      <c r="K35" s="2377"/>
      <c r="L35" s="2377"/>
      <c r="M35" s="2377"/>
      <c r="N35" s="2377"/>
      <c r="O35" s="2377"/>
      <c r="P35" s="2377"/>
      <c r="Q35" s="2375"/>
    </row>
    <row r="36" spans="1:295" ht="12.75" customHeight="1">
      <c r="A36" s="2370" t="s">
        <v>721</v>
      </c>
      <c r="B36" s="4" t="s">
        <v>2629</v>
      </c>
      <c r="C36" s="4"/>
      <c r="D36" s="4"/>
      <c r="E36" s="2377"/>
      <c r="G36" s="585"/>
      <c r="H36" s="585"/>
      <c r="I36" s="585"/>
      <c r="J36" s="42"/>
      <c r="L36" s="586"/>
      <c r="M36" s="586"/>
      <c r="N36" s="586"/>
      <c r="O36" s="131" t="s">
        <v>1819</v>
      </c>
      <c r="P36" s="2721"/>
      <c r="Q36" s="2722"/>
    </row>
    <row r="37" spans="1:295" ht="11.25" customHeight="1">
      <c r="A37" s="2906"/>
      <c r="B37" s="2906"/>
      <c r="C37" s="2906"/>
      <c r="D37" s="2906"/>
      <c r="E37" s="2906"/>
      <c r="F37" s="1511"/>
      <c r="G37" s="2836" t="s">
        <v>2633</v>
      </c>
      <c r="H37" s="2837"/>
      <c r="I37" s="589"/>
      <c r="J37" s="42"/>
      <c r="K37" s="2838" t="s">
        <v>3465</v>
      </c>
      <c r="L37" s="2839"/>
      <c r="M37" s="2839"/>
      <c r="N37" s="2840"/>
    </row>
    <row r="38" spans="1:295" ht="11.25" customHeight="1">
      <c r="A38" s="2906"/>
      <c r="B38" s="2906"/>
      <c r="C38" s="2906"/>
      <c r="D38" s="2906"/>
      <c r="E38" s="2906"/>
      <c r="F38" s="1511"/>
      <c r="G38" s="2841" t="s">
        <v>341</v>
      </c>
      <c r="H38" s="2842"/>
      <c r="I38" s="589"/>
      <c r="J38" s="42"/>
      <c r="K38" s="2843" t="s">
        <v>3466</v>
      </c>
      <c r="L38" s="2844"/>
      <c r="M38" s="2844"/>
      <c r="N38" s="2845"/>
      <c r="P38" s="509" t="s">
        <v>2648</v>
      </c>
      <c r="Q38" s="2254" t="s">
        <v>2883</v>
      </c>
    </row>
    <row r="39" spans="1:295" ht="4.5" customHeight="1">
      <c r="A39" s="1511"/>
      <c r="B39" s="1511"/>
      <c r="C39" s="1511"/>
      <c r="D39" s="1511"/>
      <c r="E39" s="1511"/>
      <c r="F39" s="1511"/>
      <c r="G39" s="213"/>
      <c r="H39" s="213"/>
      <c r="I39" s="213"/>
      <c r="J39" s="42"/>
      <c r="K39" s="2846"/>
      <c r="L39" s="2846"/>
      <c r="M39" s="2846"/>
      <c r="N39" s="2846"/>
      <c r="P39" s="2785" t="s">
        <v>4528</v>
      </c>
      <c r="Q39" s="2785"/>
    </row>
    <row r="40" spans="1:295" s="82" customFormat="1" ht="10.5" customHeight="1">
      <c r="D40" s="590" t="s">
        <v>2632</v>
      </c>
      <c r="E40" s="35"/>
      <c r="F40" s="591" t="s">
        <v>3335</v>
      </c>
      <c r="G40" s="2847" t="s">
        <v>4452</v>
      </c>
      <c r="H40" s="2847"/>
      <c r="I40" s="2847"/>
      <c r="J40" s="35"/>
      <c r="K40" s="591" t="s">
        <v>3335</v>
      </c>
      <c r="L40" s="2847" t="s">
        <v>4451</v>
      </c>
      <c r="M40" s="2847"/>
      <c r="N40" s="2847"/>
      <c r="O40" s="35"/>
      <c r="P40" s="2785"/>
      <c r="Q40" s="278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8" t="s">
        <v>3249</v>
      </c>
      <c r="B41" s="2828"/>
      <c r="C41" s="2828"/>
      <c r="D41" s="822" t="s">
        <v>550</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77"/>
      <c r="P41" s="2786"/>
      <c r="Q41" s="278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8"/>
      <c r="B42" s="2828"/>
      <c r="C42" s="2828"/>
      <c r="D42" s="822" t="s">
        <v>2375</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77"/>
      <c r="P42" s="2848" t="str">
        <f>IF('Part I-Project Information'!$F$38="","",VLOOKUP('Part I-Project Information'!$J$39,'DCA Underwriting Assumptions'!$G$173:$N$332,8,FALSE))</f>
        <v>Savannah</v>
      </c>
      <c r="Q42" s="284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8"/>
      <c r="B43" s="2828"/>
      <c r="C43" s="2828"/>
      <c r="D43" s="822" t="s">
        <v>2376</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0" t="str">
        <f>IF(F43="","",F43*G43)</f>
        <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77"/>
      <c r="P43" s="2850"/>
      <c r="Q43" s="285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8"/>
      <c r="B44" s="2828"/>
      <c r="C44" s="2828"/>
      <c r="D44" s="822" t="s">
        <v>2377</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0" t="str">
        <f>IF(F44="","",F44*G44)</f>
        <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77"/>
      <c r="P44" s="2697" t="s">
        <v>4529</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77"/>
      <c r="P45" s="2783">
        <f>'Part IV-A-Uses of Funds'!$G$132</f>
        <v>5691701.1975492882</v>
      </c>
      <c r="Q45" s="278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77"/>
      <c r="P46" s="2697" t="s">
        <v>4514</v>
      </c>
      <c r="Q46" s="2697"/>
      <c r="R46" s="2696" t="s">
        <v>4530</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77"/>
      <c r="N47" s="2378"/>
      <c r="O47" s="2377"/>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8" t="s">
        <v>3244</v>
      </c>
      <c r="B48" s="2828"/>
      <c r="C48" s="2828"/>
      <c r="D48" s="822" t="s">
        <v>550</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783">
        <f>'Part IV-A-Uses of Funds'!$G$132-'Part IV-A-Uses of Funds'!$G$83-'Part IV-A-Uses of Funds'!$G$105-'Part IV-A-Uses of Funds'!$G$121-'Part IV-A-Uses of Funds'!$G$122-'Part IV-A-Uses of Funds'!$G$123</f>
        <v>5466874.5499999998</v>
      </c>
      <c r="Q48" s="278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8"/>
      <c r="B49" s="2828"/>
      <c r="C49" s="2828"/>
      <c r="D49" s="822" t="s">
        <v>2375</v>
      </c>
      <c r="E49" s="823">
        <v>1</v>
      </c>
      <c r="F49" s="1509">
        <f>IF('Part VI-Revenues &amp; Expenses'!$L$151 =0,"",'Part VI-Revenues &amp; Expenses'!$L$151)</f>
        <v>12</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12 units = </v>
      </c>
      <c r="I49" s="1510">
        <f>IF(F49="","",F49*G49)</f>
        <v>2263462.1999999997</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621" t="s">
        <v>3771</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8"/>
      <c r="B50" s="2828"/>
      <c r="C50" s="2828"/>
      <c r="D50" s="822" t="s">
        <v>2376</v>
      </c>
      <c r="E50" s="823">
        <v>2</v>
      </c>
      <c r="F50" s="1509">
        <f>IF('Part VI-Revenues &amp; Expenses'!$M$151 =0,"",'Part VI-Revenues &amp; Expenses'!$M$151)</f>
        <v>20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20 units = </v>
      </c>
      <c r="I50" s="1510">
        <f>IF(F50="","",F50*G50)</f>
        <v>4573527</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852"/>
      <c r="Q50" s="2853"/>
      <c r="R50" s="404"/>
      <c r="S50" s="2799" t="s">
        <v>4517</v>
      </c>
      <c r="T50" s="2800"/>
      <c r="U50" s="2800"/>
      <c r="V50" s="280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09">
        <f>IF('Part VI-Revenues &amp; Expenses'!$N$151 =0,"",'Part VI-Revenues &amp; Expenses'!$N$151)</f>
        <v>8</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8 units = </v>
      </c>
      <c r="I51" s="1510">
        <f>IF(F51="","",F51*G51)</f>
        <v>2137036</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854"/>
      <c r="Q51" s="2855"/>
      <c r="S51" s="2802"/>
      <c r="T51" s="2803"/>
      <c r="U51" s="2803"/>
      <c r="V51" s="280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816" t="s">
        <v>3461</v>
      </c>
      <c r="Q52" s="2816"/>
      <c r="S52" s="2802"/>
      <c r="T52" s="2803"/>
      <c r="U52" s="2803"/>
      <c r="V52" s="280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40</v>
      </c>
      <c r="G53" s="592"/>
      <c r="H53" s="1045"/>
      <c r="I53" s="1046">
        <f>SUM(I48:I52)</f>
        <v>8974025.1999999993</v>
      </c>
      <c r="J53" s="1047"/>
      <c r="K53" s="1044">
        <f>SUM(K48:K52)</f>
        <v>0</v>
      </c>
      <c r="L53" s="1047"/>
      <c r="M53" s="1045"/>
      <c r="N53" s="1046">
        <f>SUM(N48:N52)</f>
        <v>0</v>
      </c>
      <c r="O53" s="540"/>
      <c r="P53" s="1052" t="s">
        <v>3138</v>
      </c>
      <c r="Q53" s="1052" t="s">
        <v>251</v>
      </c>
      <c r="R53" s="404"/>
      <c r="S53" s="2802"/>
      <c r="T53" s="2803"/>
      <c r="U53" s="2803"/>
      <c r="V53" s="280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77"/>
      <c r="N54" s="2378"/>
      <c r="O54" s="540"/>
      <c r="R54" s="404"/>
      <c r="S54" s="2802"/>
      <c r="T54" s="2803"/>
      <c r="U54" s="2803"/>
      <c r="V54" s="280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550</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2802"/>
      <c r="T55" s="2803"/>
      <c r="U55" s="2803"/>
      <c r="V55" s="280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2816" t="s">
        <v>3462</v>
      </c>
      <c r="Q56" s="2816"/>
      <c r="S56" s="2802"/>
      <c r="T56" s="2803"/>
      <c r="U56" s="2803"/>
      <c r="V56" s="280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3138</v>
      </c>
      <c r="Q57" s="1052" t="s">
        <v>251</v>
      </c>
      <c r="S57" s="2802"/>
      <c r="T57" s="2803"/>
      <c r="U57" s="2803"/>
      <c r="V57" s="280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0</v>
      </c>
      <c r="Q58" s="1051">
        <f>'Part IX Scoring Criteria'!P74</f>
        <v>0</v>
      </c>
      <c r="S58" s="2802"/>
      <c r="T58" s="2803"/>
      <c r="U58" s="2803"/>
      <c r="V58" s="280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821" t="s">
        <v>2677</v>
      </c>
      <c r="Q59" s="2821"/>
      <c r="S59" s="2802"/>
      <c r="T59" s="2803"/>
      <c r="U59" s="2803"/>
      <c r="V59" s="280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0</v>
      </c>
      <c r="G60" s="592"/>
      <c r="H60" s="1045"/>
      <c r="I60" s="1046">
        <f>SUM(I55:I59)</f>
        <v>0</v>
      </c>
      <c r="J60" s="1047"/>
      <c r="K60" s="1044">
        <f>SUM(K55:K59)</f>
        <v>0</v>
      </c>
      <c r="L60" s="1047"/>
      <c r="M60" s="1045"/>
      <c r="N60" s="1046">
        <f>SUM(N55:N59)</f>
        <v>0</v>
      </c>
      <c r="O60" s="540"/>
      <c r="P60" s="2821"/>
      <c r="Q60" s="2821"/>
      <c r="S60" s="2802"/>
      <c r="T60" s="2803"/>
      <c r="U60" s="2803"/>
      <c r="V60" s="280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77"/>
      <c r="N61" s="2378"/>
      <c r="O61" s="540"/>
      <c r="P61" s="2821"/>
      <c r="Q61" s="2821"/>
      <c r="R61" s="404"/>
      <c r="S61" s="2802"/>
      <c r="T61" s="2803"/>
      <c r="U61" s="2803"/>
      <c r="V61" s="280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550</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822"/>
      <c r="Q62" s="2822"/>
      <c r="R62" s="404"/>
      <c r="S62" s="2805"/>
      <c r="T62" s="2806"/>
      <c r="U62" s="2806"/>
      <c r="V62" s="280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823">
        <f>IF(P50&gt;1,P50, IF(OR('Part IX Scoring Criteria'!$O$74='Part IX Scoring Criteria'!$M$74,AND('Part IV-A-Uses of Funds'!$T$172="Yes",'Part IX Scoring Criteria'!$O$415&gt;0)),H69+M69,H69))</f>
        <v>8974025.1999999993</v>
      </c>
      <c r="Q63" s="2824"/>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825"/>
      <c r="Q64" s="2826"/>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812" t="s">
        <v>3876</v>
      </c>
      <c r="Q65" s="281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813"/>
      <c r="Q66" s="281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2813"/>
      <c r="Q67" s="281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5"/>
      <c r="O68" s="540"/>
      <c r="P68" s="2813"/>
      <c r="Q68" s="281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40</v>
      </c>
      <c r="G69" s="329"/>
      <c r="H69" s="2815">
        <f>I46+I53+I60+I67</f>
        <v>8974025.1999999993</v>
      </c>
      <c r="I69" s="2815"/>
      <c r="J69" s="2815"/>
      <c r="K69" s="583">
        <f>K46+K53+K60+K67</f>
        <v>0</v>
      </c>
      <c r="L69" s="584"/>
      <c r="M69" s="2815">
        <f>N46+N53+N60+N67</f>
        <v>0</v>
      </c>
      <c r="N69" s="2815"/>
      <c r="O69" s="2815"/>
      <c r="P69" s="2813"/>
      <c r="Q69" s="281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3563</v>
      </c>
      <c r="D70" s="95"/>
      <c r="E70" s="95"/>
      <c r="F70" s="95"/>
      <c r="G70" s="95"/>
      <c r="H70" s="40"/>
      <c r="I70" s="2398"/>
      <c r="J70" s="2398"/>
      <c r="K70" s="136" t="s">
        <v>1818</v>
      </c>
      <c r="L70" s="2375"/>
      <c r="M70" s="2375"/>
      <c r="N70" s="2375"/>
      <c r="O70" s="2375"/>
      <c r="P70" s="2814"/>
      <c r="Q70" s="2814"/>
    </row>
    <row r="71" spans="1:295" ht="10.5" customHeight="1">
      <c r="A71" s="2710" t="s">
        <v>7100</v>
      </c>
      <c r="B71" s="2711"/>
      <c r="C71" s="2711"/>
      <c r="D71" s="2711"/>
      <c r="E71" s="2711"/>
      <c r="F71" s="2711"/>
      <c r="G71" s="2711"/>
      <c r="H71" s="2711"/>
      <c r="I71" s="2711"/>
      <c r="J71" s="2712"/>
      <c r="K71" s="2701"/>
      <c r="L71" s="2702"/>
      <c r="M71" s="2702"/>
      <c r="N71" s="2702"/>
      <c r="O71" s="2702"/>
      <c r="P71" s="2702"/>
      <c r="Q71" s="2703"/>
      <c r="R71" s="440" t="s">
        <v>1227</v>
      </c>
      <c r="U71" s="135"/>
      <c r="V71" s="135"/>
      <c r="W71" s="135"/>
      <c r="X71" s="135"/>
      <c r="Y71" s="135"/>
      <c r="Z71" s="135"/>
      <c r="AA71" s="135"/>
      <c r="AB71" s="135"/>
      <c r="AC71" s="135"/>
      <c r="AD71" s="135"/>
      <c r="AE71" s="457"/>
    </row>
    <row r="72" spans="1:295" ht="3" customHeight="1">
      <c r="B72" s="2398"/>
      <c r="C72" s="2377"/>
      <c r="D72" s="2377"/>
      <c r="E72" s="2377"/>
      <c r="F72" s="2377"/>
      <c r="G72" s="2377"/>
      <c r="H72" s="2377"/>
      <c r="I72" s="2377"/>
      <c r="J72" s="2377"/>
      <c r="K72" s="2377"/>
      <c r="L72" s="2377"/>
      <c r="M72" s="2377"/>
      <c r="N72" s="2377"/>
      <c r="O72" s="2377"/>
      <c r="P72" s="2377"/>
      <c r="Q72" s="2375"/>
    </row>
    <row r="73" spans="1:295" ht="12.75" customHeight="1">
      <c r="A73" s="2370" t="s">
        <v>723</v>
      </c>
      <c r="B73" s="4" t="s">
        <v>1165</v>
      </c>
      <c r="C73" s="4"/>
      <c r="D73" s="4"/>
      <c r="E73" s="2377"/>
      <c r="F73" s="2377"/>
      <c r="G73" s="139" t="s">
        <v>4553</v>
      </c>
      <c r="H73" s="2377"/>
      <c r="J73" s="2817" t="str">
        <f>'Part I-Project Information'!$H$82</f>
        <v>Family</v>
      </c>
      <c r="K73" s="2817"/>
      <c r="L73" s="2817"/>
      <c r="O73" s="131" t="s">
        <v>1819</v>
      </c>
      <c r="P73" s="2721"/>
      <c r="Q73" s="2722"/>
    </row>
    <row r="74" spans="1:295" ht="10.5" customHeight="1">
      <c r="B74" s="95" t="s">
        <v>3563</v>
      </c>
      <c r="D74" s="95"/>
      <c r="E74" s="95"/>
      <c r="F74" s="95"/>
      <c r="G74" s="95"/>
      <c r="H74" s="40"/>
      <c r="I74" s="2398"/>
      <c r="J74" s="2398"/>
      <c r="K74" s="136" t="s">
        <v>1818</v>
      </c>
      <c r="L74" s="2375"/>
      <c r="M74" s="2375"/>
      <c r="N74" s="2375"/>
      <c r="O74" s="2375"/>
      <c r="P74" s="2375"/>
      <c r="Q74" s="855"/>
    </row>
    <row r="75" spans="1:295" ht="24" customHeight="1">
      <c r="A75" s="2710" t="s">
        <v>7101</v>
      </c>
      <c r="B75" s="2711"/>
      <c r="C75" s="2711"/>
      <c r="D75" s="2711"/>
      <c r="E75" s="2711"/>
      <c r="F75" s="2711"/>
      <c r="G75" s="2711"/>
      <c r="H75" s="2711"/>
      <c r="I75" s="2711"/>
      <c r="J75" s="2712"/>
      <c r="K75" s="2701"/>
      <c r="L75" s="2702"/>
      <c r="M75" s="2702"/>
      <c r="N75" s="2702"/>
      <c r="O75" s="2702"/>
      <c r="P75" s="2702"/>
      <c r="Q75" s="2703"/>
      <c r="R75" s="440" t="s">
        <v>1227</v>
      </c>
      <c r="U75" s="135"/>
      <c r="V75" s="135"/>
      <c r="W75" s="135"/>
      <c r="X75" s="135"/>
      <c r="Y75" s="135"/>
      <c r="Z75" s="135"/>
      <c r="AA75" s="135"/>
      <c r="AB75" s="135"/>
      <c r="AC75" s="135"/>
      <c r="AD75" s="135"/>
      <c r="AE75" s="457"/>
    </row>
    <row r="76" spans="1:295" ht="3" customHeight="1">
      <c r="A76" s="2375"/>
      <c r="B76" s="2398"/>
      <c r="C76" s="2377"/>
      <c r="D76" s="2377"/>
      <c r="E76" s="2377"/>
      <c r="F76" s="2377"/>
      <c r="G76" s="2377"/>
      <c r="H76" s="2377"/>
      <c r="I76" s="2377"/>
      <c r="J76" s="2377"/>
      <c r="K76" s="2377"/>
      <c r="L76" s="2377"/>
      <c r="M76" s="2377"/>
      <c r="N76" s="2377"/>
      <c r="O76" s="2377"/>
      <c r="P76" s="2377"/>
      <c r="Q76" s="2375"/>
    </row>
    <row r="77" spans="1:295" ht="12.75" customHeight="1">
      <c r="A77" s="2370" t="s">
        <v>1747</v>
      </c>
      <c r="B77" s="2370" t="s">
        <v>2578</v>
      </c>
      <c r="C77" s="113"/>
      <c r="D77" s="2377"/>
      <c r="E77" s="2377"/>
      <c r="F77" s="2377"/>
      <c r="G77" s="2377"/>
      <c r="H77" s="2377"/>
      <c r="I77" s="2377"/>
      <c r="J77" s="2377"/>
      <c r="L77" s="1594" t="s">
        <v>4248</v>
      </c>
      <c r="M77" s="1595" t="s">
        <v>4249</v>
      </c>
      <c r="O77" s="131" t="s">
        <v>1819</v>
      </c>
      <c r="P77" s="2721"/>
      <c r="Q77" s="2722"/>
    </row>
    <row r="78" spans="1:295" ht="1.5" customHeight="1"/>
    <row r="79" spans="1:295" ht="12" customHeight="1">
      <c r="A79" s="141" t="s">
        <v>1934</v>
      </c>
      <c r="B79" s="2723" t="s">
        <v>4241</v>
      </c>
      <c r="C79" s="2723"/>
      <c r="D79" s="2723"/>
      <c r="E79" s="2723"/>
      <c r="F79" s="2723"/>
      <c r="G79" s="2723"/>
      <c r="H79" s="2723"/>
      <c r="I79" s="2723"/>
      <c r="J79" s="2723"/>
      <c r="K79" s="147"/>
      <c r="L79" s="429" t="s">
        <v>2805</v>
      </c>
      <c r="M79" s="1463">
        <v>2</v>
      </c>
      <c r="N79" s="389" t="s">
        <v>4698</v>
      </c>
      <c r="P79" s="2818" t="s">
        <v>7019</v>
      </c>
      <c r="Q79" s="2705"/>
    </row>
    <row r="80" spans="1:295" ht="12" customHeight="1">
      <c r="A80" s="141"/>
      <c r="B80" s="2723"/>
      <c r="C80" s="2723"/>
      <c r="D80" s="2723"/>
      <c r="E80" s="2723"/>
      <c r="F80" s="2723"/>
      <c r="G80" s="2723"/>
      <c r="H80" s="2723"/>
      <c r="I80" s="2723"/>
      <c r="J80" s="2723"/>
      <c r="K80" s="147"/>
      <c r="L80" s="429" t="s">
        <v>4247</v>
      </c>
      <c r="M80" s="1464">
        <v>4</v>
      </c>
      <c r="O80" s="142"/>
      <c r="P80" s="2819"/>
      <c r="Q80" s="2706"/>
    </row>
    <row r="81" spans="1:31" ht="12" customHeight="1">
      <c r="A81" s="47" t="s">
        <v>1936</v>
      </c>
      <c r="B81" s="389" t="s">
        <v>4250</v>
      </c>
      <c r="C81" s="389"/>
      <c r="D81" s="389"/>
      <c r="E81" s="389"/>
      <c r="F81" s="389"/>
      <c r="G81" s="389"/>
      <c r="H81" s="389"/>
      <c r="I81" s="389"/>
      <c r="J81" s="389"/>
      <c r="K81" s="563"/>
      <c r="L81" s="389"/>
      <c r="M81" s="147"/>
      <c r="N81" s="897"/>
      <c r="O81" s="897"/>
      <c r="P81" s="897"/>
    </row>
    <row r="82" spans="1:31" ht="12" customHeight="1">
      <c r="A82" s="1412"/>
      <c r="B82" s="1488" t="s">
        <v>1693</v>
      </c>
      <c r="C82" s="389" t="s">
        <v>4254</v>
      </c>
      <c r="D82" s="1414"/>
      <c r="E82" s="1414"/>
      <c r="F82" s="1414"/>
      <c r="G82" s="1414"/>
      <c r="H82" s="1414"/>
      <c r="I82" s="1414"/>
      <c r="J82" s="1414"/>
      <c r="K82" s="1413"/>
      <c r="L82" s="896"/>
      <c r="N82" s="389" t="s">
        <v>4699</v>
      </c>
      <c r="O82" s="897"/>
      <c r="P82" s="2256" t="s">
        <v>7103</v>
      </c>
      <c r="Q82" s="518"/>
    </row>
    <row r="83" spans="1:31" ht="12" customHeight="1">
      <c r="A83" s="1412"/>
      <c r="B83" s="1488" t="s">
        <v>1694</v>
      </c>
      <c r="C83" s="389" t="s">
        <v>4251</v>
      </c>
      <c r="D83" s="1414"/>
      <c r="E83" s="1414"/>
      <c r="F83" s="1414"/>
      <c r="G83" s="1414"/>
      <c r="H83" s="1414"/>
      <c r="I83" s="1414"/>
      <c r="J83" s="1414"/>
      <c r="K83" s="1413"/>
      <c r="L83" s="896"/>
      <c r="N83" s="389" t="s">
        <v>4700</v>
      </c>
      <c r="O83" s="897"/>
      <c r="P83" s="2256" t="s">
        <v>7019</v>
      </c>
      <c r="Q83" s="519"/>
    </row>
    <row r="84" spans="1:31" ht="12" customHeight="1">
      <c r="A84" s="1411"/>
      <c r="B84" s="468" t="s">
        <v>1695</v>
      </c>
      <c r="C84" s="389" t="s">
        <v>4252</v>
      </c>
      <c r="E84" s="1414"/>
      <c r="F84" s="1414"/>
      <c r="G84" s="1414"/>
      <c r="H84" s="1414"/>
      <c r="I84" s="1414"/>
      <c r="J84" s="1414"/>
      <c r="K84" s="1413"/>
      <c r="L84" s="896"/>
      <c r="M84" s="897"/>
      <c r="N84" s="389" t="s">
        <v>4701</v>
      </c>
      <c r="O84" s="897"/>
      <c r="P84" s="2256" t="s">
        <v>7019</v>
      </c>
      <c r="Q84" s="519"/>
    </row>
    <row r="85" spans="1:31" ht="11.1" customHeight="1">
      <c r="A85" s="143"/>
      <c r="B85" s="468" t="s">
        <v>2303</v>
      </c>
      <c r="C85" s="468" t="s">
        <v>4255</v>
      </c>
      <c r="D85" s="133"/>
      <c r="E85" s="133"/>
      <c r="F85" s="133"/>
      <c r="G85" s="133"/>
      <c r="H85" s="133"/>
      <c r="I85" s="42"/>
      <c r="J85" s="42"/>
      <c r="N85" s="389" t="s">
        <v>4702</v>
      </c>
      <c r="O85" s="897"/>
      <c r="P85" s="2256" t="s">
        <v>7023</v>
      </c>
      <c r="Q85" s="520"/>
    </row>
    <row r="86" spans="1:31" ht="11.1" customHeight="1">
      <c r="A86" s="143"/>
      <c r="B86" s="468"/>
      <c r="C86" s="389" t="s">
        <v>4256</v>
      </c>
      <c r="D86" s="133"/>
      <c r="E86" s="133"/>
      <c r="F86" s="133"/>
      <c r="G86" s="133"/>
      <c r="H86" s="133"/>
      <c r="I86" s="42"/>
      <c r="J86" s="42"/>
      <c r="L86" s="2698" t="s">
        <v>947</v>
      </c>
      <c r="M86" s="2699"/>
      <c r="N86" s="2699"/>
      <c r="O86" s="2699"/>
      <c r="P86" s="2699"/>
      <c r="Q86" s="2700"/>
    </row>
    <row r="87" spans="1:31" ht="11.25" customHeight="1">
      <c r="A87" s="143"/>
      <c r="B87" s="468" t="s">
        <v>1515</v>
      </c>
      <c r="C87" s="2723" t="s">
        <v>4253</v>
      </c>
      <c r="D87" s="2723"/>
      <c r="E87" s="2723"/>
      <c r="F87" s="2723"/>
      <c r="G87" s="2723"/>
      <c r="H87" s="2723"/>
      <c r="I87" s="2723"/>
      <c r="J87" s="2723"/>
      <c r="K87" s="2723"/>
      <c r="L87" s="2723"/>
      <c r="M87" s="515"/>
      <c r="N87" s="389" t="s">
        <v>4703</v>
      </c>
      <c r="O87" s="897"/>
      <c r="P87" s="2256" t="s">
        <v>7019</v>
      </c>
      <c r="Q87" s="517"/>
    </row>
    <row r="88" spans="1:31" ht="11.25" customHeight="1">
      <c r="A88" s="47"/>
      <c r="C88" s="2723"/>
      <c r="D88" s="2723"/>
      <c r="E88" s="2723"/>
      <c r="F88" s="2723"/>
      <c r="G88" s="2723"/>
      <c r="H88" s="2723"/>
      <c r="I88" s="2723"/>
      <c r="J88" s="2723"/>
      <c r="K88" s="2723"/>
      <c r="L88" s="2723"/>
      <c r="M88" s="515"/>
    </row>
    <row r="89" spans="1:31" ht="10.5" customHeight="1">
      <c r="B89" s="95" t="s">
        <v>3563</v>
      </c>
      <c r="D89" s="95"/>
      <c r="E89" s="95"/>
      <c r="F89" s="95"/>
      <c r="G89" s="95"/>
      <c r="H89" s="40"/>
      <c r="I89" s="2398"/>
      <c r="J89" s="2398"/>
      <c r="K89" s="136" t="s">
        <v>1818</v>
      </c>
      <c r="L89" s="2375"/>
      <c r="M89" s="2375"/>
      <c r="N89" s="2375"/>
      <c r="O89" s="2375"/>
      <c r="P89" s="2375"/>
      <c r="Q89" s="855"/>
    </row>
    <row r="90" spans="1:31" ht="35.25" customHeight="1">
      <c r="A90" s="2710" t="s">
        <v>7102</v>
      </c>
      <c r="B90" s="2711"/>
      <c r="C90" s="2711"/>
      <c r="D90" s="2711"/>
      <c r="E90" s="2711"/>
      <c r="F90" s="2711"/>
      <c r="G90" s="2711"/>
      <c r="H90" s="2711"/>
      <c r="I90" s="2711"/>
      <c r="J90" s="2712"/>
      <c r="K90" s="2701"/>
      <c r="L90" s="2702"/>
      <c r="M90" s="2702"/>
      <c r="N90" s="2702"/>
      <c r="O90" s="2702"/>
      <c r="P90" s="2702"/>
      <c r="Q90" s="2703"/>
      <c r="R90" s="440" t="s">
        <v>1227</v>
      </c>
      <c r="U90" s="135"/>
      <c r="V90" s="135"/>
      <c r="W90" s="135"/>
      <c r="X90" s="135"/>
      <c r="Y90" s="135"/>
      <c r="Z90" s="135"/>
      <c r="AA90" s="135"/>
      <c r="AB90" s="135"/>
      <c r="AC90" s="135"/>
      <c r="AD90" s="135"/>
      <c r="AE90" s="457"/>
    </row>
    <row r="91" spans="1:31" ht="3" customHeight="1">
      <c r="A91" s="2375"/>
      <c r="B91" s="2398"/>
      <c r="C91" s="2377"/>
      <c r="D91" s="2377"/>
      <c r="E91" s="2377"/>
      <c r="F91" s="2377"/>
      <c r="G91" s="2377"/>
      <c r="H91" s="2377"/>
      <c r="I91" s="2377"/>
      <c r="J91" s="2377"/>
      <c r="K91" s="2377"/>
      <c r="L91" s="2377"/>
      <c r="M91" s="2377"/>
      <c r="N91" s="2377"/>
      <c r="O91" s="2377"/>
      <c r="P91" s="2377"/>
      <c r="Q91" s="2375"/>
    </row>
    <row r="92" spans="1:31" ht="14.1" customHeight="1">
      <c r="A92" s="2370" t="s">
        <v>1749</v>
      </c>
      <c r="B92" s="2370" t="s">
        <v>4692</v>
      </c>
      <c r="C92" s="2370"/>
      <c r="D92" s="2377"/>
      <c r="E92" s="2377"/>
      <c r="F92" s="2377"/>
      <c r="G92" s="2377"/>
      <c r="H92" s="1627" t="str">
        <f>'Part I-Project Information'!$K$40</f>
        <v>Rural</v>
      </c>
      <c r="J92" s="47" t="s">
        <v>4697</v>
      </c>
      <c r="K92" s="587" t="str">
        <f>'Part I-Project Information'!$H$105</f>
        <v>Rural</v>
      </c>
      <c r="L92" s="63" t="s">
        <v>4307</v>
      </c>
      <c r="M92" s="1466" t="str">
        <f>'Part I-Project Information'!$H$82</f>
        <v>Family</v>
      </c>
      <c r="O92" s="131" t="s">
        <v>1819</v>
      </c>
      <c r="P92" s="2721"/>
      <c r="Q92" s="2722"/>
    </row>
    <row r="93" spans="1:31" ht="3" customHeight="1"/>
    <row r="94" spans="1:31" ht="10.5" customHeight="1">
      <c r="A94" s="47" t="s">
        <v>1934</v>
      </c>
      <c r="B94" s="39" t="s">
        <v>2394</v>
      </c>
      <c r="D94" s="133"/>
      <c r="E94" s="133"/>
      <c r="F94" s="133"/>
      <c r="G94" s="133"/>
      <c r="H94" s="133"/>
      <c r="I94" s="42"/>
      <c r="J94" s="42"/>
      <c r="K94" s="42"/>
      <c r="L94" s="455" t="s">
        <v>1934</v>
      </c>
      <c r="M94" s="2791" t="s">
        <v>7133</v>
      </c>
      <c r="N94" s="2792"/>
      <c r="O94" s="2792"/>
      <c r="P94" s="2793"/>
      <c r="Q94" s="518"/>
    </row>
    <row r="95" spans="1:31" ht="10.5" customHeight="1">
      <c r="A95" s="47" t="s">
        <v>1936</v>
      </c>
      <c r="B95" s="52" t="s">
        <v>4554</v>
      </c>
      <c r="D95" s="133"/>
      <c r="E95" s="133"/>
      <c r="F95" s="133"/>
      <c r="L95" s="455" t="s">
        <v>1936</v>
      </c>
      <c r="M95" s="2794">
        <v>4</v>
      </c>
      <c r="N95" s="2795"/>
      <c r="O95" s="2795"/>
      <c r="P95" s="2796"/>
      <c r="Q95" s="519"/>
    </row>
    <row r="96" spans="1:31" ht="10.5" customHeight="1">
      <c r="A96" s="47" t="s">
        <v>730</v>
      </c>
      <c r="B96" s="52" t="s">
        <v>2776</v>
      </c>
      <c r="D96" s="133"/>
      <c r="E96" s="133"/>
      <c r="F96" s="133"/>
      <c r="L96" s="455" t="s">
        <v>730</v>
      </c>
      <c r="M96" s="2808">
        <v>1</v>
      </c>
      <c r="N96" s="2809"/>
      <c r="O96" s="2809"/>
      <c r="P96" s="2810"/>
      <c r="Q96" s="519"/>
    </row>
    <row r="97" spans="1:32" ht="10.5" customHeight="1">
      <c r="A97" s="47" t="s">
        <v>2063</v>
      </c>
      <c r="B97" s="52" t="s">
        <v>3663</v>
      </c>
      <c r="D97" s="133"/>
      <c r="E97" s="133"/>
      <c r="F97" s="133"/>
      <c r="L97" s="455" t="s">
        <v>3664</v>
      </c>
      <c r="M97" s="2257">
        <v>0.14799999999999999</v>
      </c>
      <c r="N97" s="1053"/>
      <c r="O97" s="1054" t="s">
        <v>3803</v>
      </c>
      <c r="P97" s="2258"/>
      <c r="Q97" s="520"/>
    </row>
    <row r="98" spans="1:32" ht="10.5" customHeight="1">
      <c r="A98" s="47" t="s">
        <v>1691</v>
      </c>
      <c r="B98" s="52" t="s">
        <v>4555</v>
      </c>
      <c r="D98" s="139"/>
      <c r="E98" s="139"/>
      <c r="F98" s="139"/>
      <c r="G98" s="139"/>
      <c r="H98" s="139"/>
      <c r="I98" s="139"/>
      <c r="J98" s="139"/>
      <c r="K98" s="139"/>
      <c r="L98" s="139"/>
      <c r="M98" s="139"/>
      <c r="N98" s="139"/>
      <c r="O98" s="139"/>
      <c r="P98" s="139"/>
      <c r="Q98" s="139"/>
    </row>
    <row r="99" spans="1:32" ht="10.5" customHeight="1">
      <c r="B99" s="47"/>
      <c r="C99" s="52"/>
      <c r="D99" s="2390" t="s">
        <v>2315</v>
      </c>
      <c r="E99" s="856" t="s">
        <v>598</v>
      </c>
      <c r="F99" s="856"/>
      <c r="H99" s="52"/>
      <c r="I99" s="2390" t="s">
        <v>2315</v>
      </c>
      <c r="J99" s="856" t="s">
        <v>598</v>
      </c>
      <c r="K99" s="856"/>
      <c r="M99" s="52"/>
      <c r="N99" s="2390" t="s">
        <v>2315</v>
      </c>
      <c r="O99" s="856" t="s">
        <v>598</v>
      </c>
      <c r="P99" s="856"/>
      <c r="Q99" s="455"/>
    </row>
    <row r="100" spans="1:32" ht="10.5" customHeight="1">
      <c r="C100" s="455" t="s">
        <v>1693</v>
      </c>
      <c r="D100" s="2259"/>
      <c r="E100" s="2798" t="s">
        <v>7134</v>
      </c>
      <c r="F100" s="2798"/>
      <c r="G100" s="2798"/>
      <c r="H100" s="65" t="s">
        <v>1695</v>
      </c>
      <c r="I100" s="2259"/>
      <c r="J100" s="2798" t="s">
        <v>7136</v>
      </c>
      <c r="K100" s="2798"/>
      <c r="L100" s="2798"/>
      <c r="M100" s="64" t="s">
        <v>1515</v>
      </c>
      <c r="N100" s="2259"/>
      <c r="O100" s="2798"/>
      <c r="P100" s="2798"/>
      <c r="Q100" s="2798"/>
    </row>
    <row r="101" spans="1:32" ht="10.5" customHeight="1">
      <c r="C101" s="65" t="s">
        <v>1694</v>
      </c>
      <c r="D101" s="2260"/>
      <c r="E101" s="2820" t="s">
        <v>7135</v>
      </c>
      <c r="F101" s="2820"/>
      <c r="G101" s="2820"/>
      <c r="H101" s="455" t="s">
        <v>2303</v>
      </c>
      <c r="I101" s="2260"/>
      <c r="J101" s="2820" t="s">
        <v>7137</v>
      </c>
      <c r="K101" s="2820"/>
      <c r="L101" s="2820"/>
      <c r="M101" s="64" t="s">
        <v>1516</v>
      </c>
      <c r="N101" s="2260"/>
      <c r="O101" s="2820"/>
      <c r="P101" s="2820"/>
      <c r="Q101" s="2820"/>
    </row>
    <row r="102" spans="1:32" ht="10.5" customHeight="1">
      <c r="A102" s="47" t="s">
        <v>1692</v>
      </c>
      <c r="B102" s="52" t="s">
        <v>0</v>
      </c>
      <c r="D102" s="133"/>
      <c r="E102" s="133"/>
      <c r="F102" s="133"/>
      <c r="G102" s="133"/>
      <c r="H102" s="133"/>
      <c r="I102" s="42"/>
      <c r="J102" s="42"/>
      <c r="K102" s="133"/>
      <c r="L102" s="2381"/>
      <c r="M102" s="2381"/>
      <c r="O102" s="455" t="s">
        <v>1692</v>
      </c>
      <c r="P102" s="2256" t="s">
        <v>2883</v>
      </c>
      <c r="Q102" s="1553"/>
    </row>
    <row r="103" spans="1:32" s="132" customFormat="1" ht="58.5" customHeight="1">
      <c r="A103" s="141" t="s">
        <v>1898</v>
      </c>
      <c r="B103" s="2713" t="s">
        <v>4789</v>
      </c>
      <c r="C103" s="2713"/>
      <c r="D103" s="2713"/>
      <c r="E103" s="2713"/>
      <c r="F103" s="2713"/>
      <c r="G103" s="2713"/>
      <c r="H103" s="2713"/>
      <c r="I103" s="2713"/>
      <c r="J103" s="2713"/>
      <c r="K103" s="2713"/>
      <c r="L103" s="2713"/>
      <c r="M103" s="2713"/>
      <c r="N103" s="2713"/>
      <c r="O103" s="1725" t="s">
        <v>4787</v>
      </c>
      <c r="P103" s="2380" t="s">
        <v>2883</v>
      </c>
      <c r="Q103" s="2379"/>
      <c r="AE103" s="458"/>
      <c r="AF103" s="458"/>
    </row>
    <row r="104" spans="1:32" s="42" customFormat="1" ht="10.5" customHeight="1">
      <c r="A104" s="47"/>
      <c r="B104" s="1488" t="s">
        <v>1694</v>
      </c>
      <c r="C104" s="52" t="s">
        <v>4788</v>
      </c>
      <c r="D104" s="133"/>
      <c r="E104" s="133"/>
      <c r="F104" s="133"/>
      <c r="G104" s="133"/>
      <c r="H104" s="133"/>
      <c r="K104" s="133"/>
      <c r="L104" s="2381"/>
      <c r="M104" s="2381"/>
      <c r="O104" s="455" t="s">
        <v>1694</v>
      </c>
      <c r="P104" s="2261" t="s">
        <v>2886</v>
      </c>
      <c r="Q104" s="520"/>
      <c r="AE104" s="50"/>
      <c r="AF104" s="50"/>
    </row>
    <row r="105" spans="1:32" ht="9.75" customHeight="1">
      <c r="B105" s="140" t="s">
        <v>3563</v>
      </c>
      <c r="D105" s="140"/>
      <c r="E105" s="140"/>
      <c r="F105" s="140"/>
      <c r="G105" s="140"/>
      <c r="H105" s="40"/>
      <c r="I105" s="2398"/>
      <c r="J105" s="2398"/>
      <c r="K105" s="2398"/>
      <c r="L105" s="2375"/>
      <c r="M105" s="2375"/>
      <c r="N105" s="2375"/>
      <c r="O105" s="2375"/>
      <c r="P105" s="2375"/>
      <c r="Q105" s="855"/>
    </row>
    <row r="106" spans="1:32" ht="24" customHeight="1">
      <c r="A106" s="2710" t="s">
        <v>7020</v>
      </c>
      <c r="B106" s="2711"/>
      <c r="C106" s="2711"/>
      <c r="D106" s="2711"/>
      <c r="E106" s="2711"/>
      <c r="F106" s="2711"/>
      <c r="G106" s="2711"/>
      <c r="H106" s="2711"/>
      <c r="I106" s="2711"/>
      <c r="J106" s="2711"/>
      <c r="K106" s="2711"/>
      <c r="L106" s="2711"/>
      <c r="M106" s="2711"/>
      <c r="N106" s="2711"/>
      <c r="O106" s="2711"/>
      <c r="P106" s="2711"/>
      <c r="Q106" s="2712"/>
      <c r="U106" s="135"/>
      <c r="V106" s="135"/>
      <c r="W106" s="135"/>
      <c r="X106" s="135"/>
      <c r="Y106" s="135"/>
      <c r="Z106" s="135"/>
      <c r="AA106" s="135"/>
      <c r="AB106" s="135"/>
      <c r="AC106" s="135"/>
      <c r="AD106" s="135"/>
      <c r="AE106" s="457"/>
    </row>
    <row r="107" spans="1:32" ht="9.75" customHeight="1">
      <c r="B107" s="136" t="s">
        <v>1818</v>
      </c>
      <c r="C107" s="137"/>
      <c r="D107" s="2377"/>
      <c r="E107" s="2377"/>
      <c r="F107" s="2377"/>
      <c r="G107" s="2377"/>
      <c r="H107" s="2377"/>
      <c r="I107" s="2377"/>
      <c r="J107" s="2377"/>
      <c r="K107" s="2377"/>
      <c r="L107" s="2377"/>
      <c r="M107" s="2377"/>
      <c r="N107" s="2377"/>
      <c r="O107" s="2377"/>
      <c r="P107" s="2377"/>
      <c r="Q107" s="2377"/>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0" t="s">
        <v>515</v>
      </c>
      <c r="B109" s="2370" t="s">
        <v>2579</v>
      </c>
      <c r="C109" s="2370"/>
      <c r="D109" s="2377"/>
      <c r="E109" s="2377"/>
      <c r="F109" s="2377"/>
      <c r="G109" s="2377"/>
      <c r="H109" s="2377"/>
      <c r="I109" s="2377"/>
      <c r="J109" s="2377"/>
      <c r="K109" s="2377"/>
      <c r="L109" s="2377"/>
      <c r="M109" s="2377"/>
      <c r="O109" s="131" t="s">
        <v>1819</v>
      </c>
      <c r="P109" s="2721"/>
      <c r="Q109" s="2722"/>
    </row>
    <row r="110" spans="1:32" ht="3" customHeight="1"/>
    <row r="111" spans="1:32" ht="10.5" customHeight="1">
      <c r="A111" s="47" t="s">
        <v>1934</v>
      </c>
      <c r="B111" s="52" t="s">
        <v>4704</v>
      </c>
      <c r="C111" s="52"/>
      <c r="E111" s="52"/>
      <c r="F111" s="52"/>
      <c r="G111" s="52"/>
      <c r="H111" s="52"/>
      <c r="I111" s="52"/>
      <c r="J111" s="52"/>
      <c r="K111" s="52"/>
      <c r="L111" s="856"/>
      <c r="M111" s="856"/>
      <c r="O111" s="455" t="s">
        <v>1934</v>
      </c>
      <c r="P111" s="2262" t="s">
        <v>2883</v>
      </c>
      <c r="Q111" s="1553"/>
    </row>
    <row r="112" spans="1:32" ht="10.5" customHeight="1">
      <c r="B112" s="1488" t="s">
        <v>1693</v>
      </c>
      <c r="C112" s="39" t="s">
        <v>537</v>
      </c>
      <c r="E112" s="42"/>
      <c r="F112" s="42"/>
      <c r="G112" s="42"/>
      <c r="H112" s="42"/>
      <c r="I112" s="42"/>
      <c r="L112" s="65" t="s">
        <v>538</v>
      </c>
      <c r="M112" s="2698" t="s">
        <v>7104</v>
      </c>
      <c r="N112" s="2699"/>
      <c r="O112" s="2699"/>
      <c r="P112" s="2770"/>
      <c r="Q112" s="519"/>
    </row>
    <row r="113" spans="1:32" s="42" customFormat="1" ht="9.75" customHeight="1">
      <c r="B113" s="145" t="s">
        <v>1694</v>
      </c>
      <c r="C113" s="36" t="s">
        <v>4373</v>
      </c>
      <c r="O113" s="65" t="s">
        <v>1694</v>
      </c>
      <c r="P113" s="2256" t="s">
        <v>2883</v>
      </c>
      <c r="Q113" s="1553"/>
      <c r="AE113" s="50"/>
      <c r="AF113" s="50"/>
    </row>
    <row r="114" spans="1:32" s="42" customFormat="1" ht="9.75" customHeight="1">
      <c r="B114" s="1488" t="s">
        <v>1695</v>
      </c>
      <c r="C114" s="36" t="s">
        <v>4740</v>
      </c>
      <c r="O114" s="148" t="s">
        <v>1695</v>
      </c>
      <c r="P114" s="2263">
        <v>43969</v>
      </c>
      <c r="Q114" s="1724"/>
      <c r="AE114" s="50"/>
      <c r="AF114" s="50"/>
    </row>
    <row r="115" spans="1:32" ht="10.5" customHeight="1">
      <c r="A115" s="2398"/>
      <c r="B115" s="468" t="s">
        <v>2303</v>
      </c>
      <c r="C115" s="856" t="s">
        <v>4257</v>
      </c>
      <c r="D115" s="984"/>
      <c r="E115" s="984"/>
      <c r="F115" s="984"/>
      <c r="G115" s="984"/>
      <c r="H115" s="984"/>
      <c r="I115" s="984"/>
      <c r="J115" s="984"/>
      <c r="K115" s="984"/>
      <c r="L115" s="984"/>
      <c r="M115" s="984"/>
      <c r="O115" s="160" t="s">
        <v>2303</v>
      </c>
      <c r="P115" s="2264" t="s">
        <v>2883</v>
      </c>
      <c r="Q115" s="519"/>
    </row>
    <row r="116" spans="1:32" ht="10.5" customHeight="1">
      <c r="A116" s="2398"/>
      <c r="B116" s="468" t="s">
        <v>1515</v>
      </c>
      <c r="C116" s="856" t="s">
        <v>3350</v>
      </c>
      <c r="D116" s="984"/>
      <c r="E116" s="984"/>
      <c r="F116" s="984"/>
      <c r="G116" s="984"/>
      <c r="H116" s="984"/>
      <c r="I116" s="984"/>
      <c r="J116" s="984"/>
      <c r="K116" s="984"/>
      <c r="L116" s="984"/>
      <c r="M116" s="984"/>
      <c r="O116" s="160" t="s">
        <v>1515</v>
      </c>
      <c r="P116" s="2265" t="s">
        <v>2883</v>
      </c>
      <c r="Q116" s="519"/>
    </row>
    <row r="117" spans="1:32" ht="10.5" customHeight="1">
      <c r="A117" s="2398"/>
      <c r="B117" s="468" t="s">
        <v>1516</v>
      </c>
      <c r="C117" s="856" t="s">
        <v>3351</v>
      </c>
      <c r="D117" s="984"/>
      <c r="E117" s="984"/>
      <c r="F117" s="984"/>
      <c r="G117" s="984"/>
      <c r="H117" s="984"/>
      <c r="I117" s="984"/>
      <c r="J117" s="984"/>
      <c r="K117" s="984"/>
      <c r="L117" s="984"/>
      <c r="M117" s="984"/>
      <c r="O117" s="160" t="s">
        <v>1516</v>
      </c>
      <c r="P117" s="2265" t="s">
        <v>2883</v>
      </c>
      <c r="Q117" s="519"/>
    </row>
    <row r="118" spans="1:32" ht="10.5" customHeight="1">
      <c r="A118" s="2398"/>
      <c r="B118" s="468" t="s">
        <v>96</v>
      </c>
      <c r="C118" s="856" t="s">
        <v>2777</v>
      </c>
      <c r="D118" s="856"/>
      <c r="E118" s="856"/>
      <c r="F118" s="856"/>
      <c r="G118" s="856"/>
      <c r="H118" s="856"/>
      <c r="I118" s="856"/>
      <c r="J118" s="856"/>
      <c r="K118" s="856"/>
      <c r="L118" s="856"/>
      <c r="M118" s="1106"/>
      <c r="O118" s="160" t="s">
        <v>96</v>
      </c>
      <c r="P118" s="2265" t="s">
        <v>2883</v>
      </c>
      <c r="Q118" s="519"/>
    </row>
    <row r="119" spans="1:32" s="132" customFormat="1" ht="25.5" customHeight="1">
      <c r="A119" s="429"/>
      <c r="B119" s="468" t="s">
        <v>499</v>
      </c>
      <c r="C119" s="2713" t="s">
        <v>4557</v>
      </c>
      <c r="D119" s="2713"/>
      <c r="E119" s="2713"/>
      <c r="F119" s="2713"/>
      <c r="G119" s="2713"/>
      <c r="H119" s="2713"/>
      <c r="I119" s="2713"/>
      <c r="J119" s="2713"/>
      <c r="K119" s="2713"/>
      <c r="L119" s="2713"/>
      <c r="M119" s="2713"/>
      <c r="N119" s="2713"/>
      <c r="O119" s="160" t="s">
        <v>499</v>
      </c>
      <c r="P119" s="2388"/>
      <c r="Q119" s="2253"/>
      <c r="AE119" s="458"/>
      <c r="AF119" s="458"/>
    </row>
    <row r="120" spans="1:32" ht="10.5" customHeight="1">
      <c r="A120" s="47" t="s">
        <v>1936</v>
      </c>
      <c r="B120" s="52" t="s">
        <v>4556</v>
      </c>
      <c r="C120" s="52"/>
      <c r="E120" s="52"/>
      <c r="F120" s="52"/>
      <c r="G120" s="52"/>
      <c r="H120" s="52"/>
      <c r="I120" s="52"/>
      <c r="J120" s="52"/>
      <c r="K120" s="52"/>
      <c r="L120" s="52"/>
      <c r="M120" s="52"/>
      <c r="O120" s="455" t="s">
        <v>1936</v>
      </c>
      <c r="P120" s="2256" t="s">
        <v>2886</v>
      </c>
      <c r="Q120" s="1553"/>
    </row>
    <row r="121" spans="1:32" ht="10.5" customHeight="1">
      <c r="B121" s="1488" t="s">
        <v>1693</v>
      </c>
      <c r="C121" s="52" t="s">
        <v>4796</v>
      </c>
      <c r="D121" s="52"/>
      <c r="E121" s="52"/>
      <c r="F121" s="52"/>
      <c r="G121" s="52"/>
      <c r="H121" s="52"/>
      <c r="I121" s="52"/>
      <c r="J121" s="52"/>
      <c r="K121" s="52"/>
      <c r="L121" s="52"/>
      <c r="M121" s="52"/>
      <c r="O121" s="148" t="s">
        <v>1693</v>
      </c>
      <c r="P121" s="2256"/>
      <c r="Q121" s="1553"/>
    </row>
    <row r="122" spans="1:32" ht="10.5" customHeight="1">
      <c r="A122" s="47"/>
      <c r="B122" s="145" t="s">
        <v>1694</v>
      </c>
      <c r="C122" s="52" t="s">
        <v>4795</v>
      </c>
      <c r="D122" s="52"/>
      <c r="E122" s="52"/>
      <c r="F122" s="52"/>
      <c r="G122" s="52"/>
      <c r="H122" s="52"/>
      <c r="I122" s="52"/>
      <c r="J122" s="52"/>
      <c r="K122" s="52"/>
      <c r="L122" s="52"/>
      <c r="M122" s="52"/>
      <c r="O122" s="65" t="s">
        <v>1694</v>
      </c>
      <c r="P122" s="2386"/>
      <c r="Q122" s="2393"/>
    </row>
    <row r="123" spans="1:32" ht="10.5" customHeight="1">
      <c r="A123" s="47" t="s">
        <v>730</v>
      </c>
      <c r="B123" s="52" t="s">
        <v>1399</v>
      </c>
      <c r="D123" s="52"/>
      <c r="E123" s="52"/>
      <c r="G123" s="52"/>
      <c r="I123" s="52"/>
      <c r="K123" s="52"/>
      <c r="L123" s="856"/>
      <c r="M123" s="856"/>
      <c r="N123" s="856"/>
      <c r="O123" s="455" t="s">
        <v>730</v>
      </c>
      <c r="P123" s="856"/>
      <c r="Q123" s="856"/>
    </row>
    <row r="124" spans="1:32" ht="10.5" customHeight="1">
      <c r="A124" s="47"/>
      <c r="B124" s="145" t="s">
        <v>1693</v>
      </c>
      <c r="C124" s="52" t="s">
        <v>1400</v>
      </c>
      <c r="E124" s="52"/>
      <c r="F124" s="52"/>
      <c r="G124" s="52"/>
      <c r="H124" s="52"/>
      <c r="I124" s="52"/>
      <c r="J124" s="52"/>
      <c r="K124" s="52"/>
      <c r="L124" s="856"/>
      <c r="M124" s="856"/>
      <c r="O124" s="65" t="s">
        <v>1693</v>
      </c>
      <c r="P124" s="2266" t="s">
        <v>2886</v>
      </c>
      <c r="Q124" s="518"/>
    </row>
    <row r="125" spans="1:32" ht="10.5" customHeight="1">
      <c r="B125" s="145" t="s">
        <v>1694</v>
      </c>
      <c r="C125" s="52" t="s">
        <v>1401</v>
      </c>
      <c r="E125" s="52"/>
      <c r="F125" s="52"/>
      <c r="G125" s="52"/>
      <c r="H125" s="52"/>
      <c r="I125" s="52"/>
      <c r="J125" s="52"/>
      <c r="K125" s="52"/>
      <c r="L125" s="856"/>
      <c r="M125" s="856"/>
      <c r="O125" s="65" t="s">
        <v>1694</v>
      </c>
      <c r="P125" s="2265" t="s">
        <v>2886</v>
      </c>
      <c r="Q125" s="519"/>
    </row>
    <row r="126" spans="1:32" ht="10.5" customHeight="1">
      <c r="B126" s="145" t="s">
        <v>1695</v>
      </c>
      <c r="C126" s="52" t="s">
        <v>1402</v>
      </c>
      <c r="E126" s="52"/>
      <c r="F126" s="52"/>
      <c r="G126" s="52"/>
      <c r="H126" s="52"/>
      <c r="I126" s="52"/>
      <c r="J126" s="52"/>
      <c r="K126" s="52"/>
      <c r="L126" s="856"/>
      <c r="M126" s="856"/>
      <c r="O126" s="65" t="s">
        <v>1695</v>
      </c>
      <c r="P126" s="2261" t="s">
        <v>2886</v>
      </c>
      <c r="Q126" s="520"/>
    </row>
    <row r="127" spans="1:32" ht="10.5" customHeight="1">
      <c r="B127" s="140" t="s">
        <v>3563</v>
      </c>
      <c r="D127" s="140"/>
      <c r="E127" s="140"/>
      <c r="F127" s="140"/>
      <c r="G127" s="140"/>
      <c r="H127" s="40"/>
      <c r="I127" s="2398"/>
      <c r="J127" s="2398"/>
      <c r="K127" s="2398"/>
      <c r="L127" s="2375"/>
      <c r="M127" s="2375"/>
      <c r="N127" s="2375"/>
      <c r="O127" s="2375"/>
      <c r="P127" s="2375"/>
      <c r="Q127" s="855"/>
    </row>
    <row r="128" spans="1:32" ht="14.25" customHeight="1">
      <c r="A128" s="2710" t="s">
        <v>7105</v>
      </c>
      <c r="B128" s="2711"/>
      <c r="C128" s="2711"/>
      <c r="D128" s="2711"/>
      <c r="E128" s="2711"/>
      <c r="F128" s="2711"/>
      <c r="G128" s="2711"/>
      <c r="H128" s="2711"/>
      <c r="I128" s="2711"/>
      <c r="J128" s="2711"/>
      <c r="K128" s="2711"/>
      <c r="L128" s="2711"/>
      <c r="M128" s="2711"/>
      <c r="N128" s="2711"/>
      <c r="O128" s="2711"/>
      <c r="P128" s="2711"/>
      <c r="Q128" s="2712"/>
      <c r="U128" s="135"/>
      <c r="V128" s="135"/>
      <c r="W128" s="135"/>
      <c r="X128" s="135"/>
      <c r="Y128" s="135"/>
      <c r="Z128" s="135"/>
      <c r="AA128" s="135"/>
      <c r="AB128" s="135"/>
      <c r="AC128" s="135"/>
      <c r="AD128" s="135"/>
      <c r="AE128" s="457"/>
    </row>
    <row r="129" spans="1:17" ht="11.25" customHeight="1">
      <c r="B129" s="136" t="s">
        <v>1818</v>
      </c>
      <c r="C129" s="137"/>
      <c r="D129" s="2377"/>
      <c r="E129" s="2377"/>
      <c r="F129" s="2377"/>
      <c r="G129" s="2377"/>
      <c r="H129" s="2377"/>
      <c r="I129" s="2377"/>
      <c r="J129" s="2377"/>
      <c r="K129" s="2377"/>
      <c r="L129" s="2377"/>
      <c r="M129" s="2377"/>
      <c r="N129" s="2377"/>
      <c r="O129" s="2377"/>
      <c r="P129" s="2377"/>
      <c r="Q129" s="2377"/>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0" t="s">
        <v>753</v>
      </c>
      <c r="B131" s="2370" t="s">
        <v>2580</v>
      </c>
      <c r="C131" s="40"/>
      <c r="D131" s="2377"/>
      <c r="E131" s="2377"/>
      <c r="F131" s="2377"/>
      <c r="G131" s="2377"/>
      <c r="H131" s="2377"/>
      <c r="I131" s="2377"/>
      <c r="J131" s="2377"/>
      <c r="K131" s="2377"/>
      <c r="L131" s="2377"/>
      <c r="M131" s="2377"/>
      <c r="O131" s="131" t="s">
        <v>1819</v>
      </c>
      <c r="P131" s="2721"/>
      <c r="Q131" s="2722"/>
    </row>
    <row r="132" spans="1:17" ht="6.6" customHeight="1"/>
    <row r="133" spans="1:17" ht="12" customHeight="1">
      <c r="A133" s="47" t="s">
        <v>1934</v>
      </c>
      <c r="B133" s="52" t="s">
        <v>3467</v>
      </c>
      <c r="D133" s="133"/>
      <c r="E133" s="133"/>
      <c r="F133" s="133"/>
      <c r="G133" s="133"/>
      <c r="H133" s="133"/>
      <c r="I133" s="42"/>
      <c r="J133" s="42"/>
      <c r="K133" s="455" t="s">
        <v>1934</v>
      </c>
      <c r="L133" s="2704" t="s">
        <v>7021</v>
      </c>
      <c r="M133" s="2704"/>
      <c r="N133" s="2704"/>
      <c r="O133" s="2704"/>
      <c r="P133" s="2704"/>
      <c r="Q133" s="517"/>
    </row>
    <row r="134" spans="1:17" ht="12" customHeight="1">
      <c r="A134" s="47" t="s">
        <v>1936</v>
      </c>
      <c r="B134" s="52" t="s">
        <v>1504</v>
      </c>
      <c r="D134" s="133"/>
      <c r="E134" s="133"/>
      <c r="F134" s="133"/>
      <c r="G134" s="133"/>
      <c r="H134" s="133"/>
      <c r="I134" s="42"/>
      <c r="J134" s="42"/>
      <c r="K134" s="133"/>
      <c r="L134" s="2381"/>
      <c r="O134" s="455" t="s">
        <v>1936</v>
      </c>
      <c r="P134" s="2264" t="s">
        <v>2886</v>
      </c>
      <c r="Q134" s="898"/>
    </row>
    <row r="135" spans="1:17" ht="12" customHeight="1">
      <c r="A135" s="47" t="s">
        <v>730</v>
      </c>
      <c r="B135" s="52" t="s">
        <v>147</v>
      </c>
      <c r="D135" s="133"/>
      <c r="E135" s="133"/>
      <c r="F135" s="133"/>
      <c r="G135" s="133"/>
      <c r="H135" s="133"/>
      <c r="I135" s="42"/>
      <c r="J135" s="42"/>
      <c r="K135" s="2381"/>
      <c r="L135" s="2381"/>
      <c r="O135" s="455" t="s">
        <v>730</v>
      </c>
      <c r="P135" s="2261" t="s">
        <v>2883</v>
      </c>
      <c r="Q135" s="862"/>
    </row>
    <row r="136" spans="1:17" ht="12" customHeight="1">
      <c r="A136" s="47"/>
      <c r="B136" s="856" t="s">
        <v>1693</v>
      </c>
      <c r="C136" s="52" t="s">
        <v>2609</v>
      </c>
      <c r="E136" s="133"/>
      <c r="F136" s="133"/>
      <c r="G136" s="133"/>
      <c r="H136" s="133"/>
      <c r="I136" s="42"/>
      <c r="J136" s="42"/>
      <c r="K136" s="65" t="s">
        <v>1693</v>
      </c>
      <c r="L136" s="2704" t="s">
        <v>7021</v>
      </c>
      <c r="M136" s="2704"/>
      <c r="N136" s="2704"/>
      <c r="O136" s="2704"/>
      <c r="P136" s="2704"/>
      <c r="Q136" s="517"/>
    </row>
    <row r="137" spans="1:17" ht="12" customHeight="1">
      <c r="A137" s="138"/>
      <c r="B137" s="145" t="s">
        <v>1694</v>
      </c>
      <c r="C137" s="36" t="s">
        <v>3352</v>
      </c>
      <c r="E137" s="42"/>
      <c r="F137" s="42"/>
      <c r="G137" s="42"/>
      <c r="H137" s="52"/>
      <c r="I137" s="42"/>
      <c r="J137" s="42"/>
      <c r="K137" s="133"/>
      <c r="L137" s="2381"/>
      <c r="M137" s="2381"/>
      <c r="O137" s="455" t="s">
        <v>1694</v>
      </c>
      <c r="P137" s="2256">
        <v>57</v>
      </c>
      <c r="Q137" s="1553"/>
    </row>
    <row r="138" spans="1:17" ht="12" customHeight="1">
      <c r="A138" s="138"/>
      <c r="B138" s="40" t="s">
        <v>1695</v>
      </c>
      <c r="C138" s="36" t="s">
        <v>4242</v>
      </c>
      <c r="D138" s="147"/>
      <c r="E138" s="42"/>
      <c r="F138" s="42"/>
      <c r="G138" s="42"/>
      <c r="H138" s="52"/>
      <c r="I138" s="42"/>
      <c r="J138" s="42"/>
      <c r="K138" s="133"/>
      <c r="L138" s="2381"/>
      <c r="M138" s="2381"/>
      <c r="O138" s="455" t="s">
        <v>1695</v>
      </c>
      <c r="P138" s="2261" t="s">
        <v>947</v>
      </c>
      <c r="Q138" s="520"/>
    </row>
    <row r="139" spans="1:17" ht="12" customHeight="1">
      <c r="A139" s="47" t="s">
        <v>2063</v>
      </c>
      <c r="B139" s="52" t="s">
        <v>1233</v>
      </c>
      <c r="D139" s="133"/>
      <c r="E139" s="133"/>
      <c r="F139" s="133"/>
      <c r="G139" s="133"/>
      <c r="H139" s="133"/>
      <c r="I139" s="42"/>
      <c r="J139" s="42"/>
      <c r="K139" s="133"/>
      <c r="L139" s="2381"/>
      <c r="M139" s="2381"/>
      <c r="N139" s="2381"/>
      <c r="O139" s="455" t="s">
        <v>2063</v>
      </c>
    </row>
    <row r="140" spans="1:17" ht="12" customHeight="1">
      <c r="A140" s="47"/>
      <c r="B140" s="145" t="s">
        <v>1693</v>
      </c>
      <c r="C140" s="52" t="s">
        <v>145</v>
      </c>
      <c r="E140" s="133"/>
      <c r="F140" s="133"/>
      <c r="G140" s="133"/>
      <c r="H140" s="133"/>
      <c r="I140" s="42"/>
      <c r="J140" s="42"/>
      <c r="K140" s="133"/>
      <c r="L140" s="2381"/>
      <c r="M140" s="2381"/>
      <c r="O140" s="65" t="s">
        <v>1693</v>
      </c>
      <c r="P140" s="2266" t="s">
        <v>2886</v>
      </c>
      <c r="Q140" s="518"/>
    </row>
    <row r="141" spans="1:17" ht="12" customHeight="1">
      <c r="A141" s="47"/>
      <c r="B141" s="145" t="s">
        <v>1694</v>
      </c>
      <c r="C141" s="52" t="s">
        <v>1234</v>
      </c>
      <c r="E141" s="133"/>
      <c r="F141" s="133"/>
      <c r="G141" s="133"/>
      <c r="H141" s="42"/>
      <c r="I141" s="42"/>
      <c r="J141" s="42"/>
      <c r="K141" s="133"/>
      <c r="L141" s="2381"/>
      <c r="M141" s="2381"/>
      <c r="O141" s="65" t="s">
        <v>1694</v>
      </c>
      <c r="P141" s="2265" t="s">
        <v>2886</v>
      </c>
      <c r="Q141" s="519"/>
    </row>
    <row r="142" spans="1:17" ht="12" customHeight="1">
      <c r="A142" s="47"/>
      <c r="B142" s="145"/>
      <c r="C142" s="52" t="s">
        <v>2560</v>
      </c>
      <c r="E142" s="455" t="s">
        <v>2370</v>
      </c>
      <c r="F142" s="52" t="s">
        <v>2561</v>
      </c>
      <c r="G142" s="42"/>
      <c r="H142" s="52"/>
      <c r="I142" s="42"/>
      <c r="J142" s="42"/>
      <c r="K142" s="133"/>
      <c r="L142" s="2381"/>
      <c r="M142" s="2381"/>
      <c r="O142" s="455" t="s">
        <v>2370</v>
      </c>
      <c r="P142" s="2267"/>
      <c r="Q142" s="828"/>
    </row>
    <row r="143" spans="1:17" ht="12" customHeight="1">
      <c r="A143" s="47"/>
      <c r="B143" s="145"/>
      <c r="E143" s="455" t="s">
        <v>2371</v>
      </c>
      <c r="F143" s="52" t="s">
        <v>2562</v>
      </c>
      <c r="G143" s="42"/>
      <c r="H143" s="52"/>
      <c r="I143" s="42"/>
      <c r="J143" s="42"/>
      <c r="K143" s="133"/>
      <c r="L143" s="2381"/>
      <c r="M143" s="2381"/>
      <c r="O143" s="455" t="s">
        <v>2371</v>
      </c>
      <c r="P143" s="2265"/>
      <c r="Q143" s="519"/>
    </row>
    <row r="144" spans="1:17" ht="12" customHeight="1">
      <c r="A144" s="47"/>
      <c r="B144" s="145"/>
      <c r="E144" s="455" t="s">
        <v>2372</v>
      </c>
      <c r="F144" s="52" t="s">
        <v>2563</v>
      </c>
      <c r="G144" s="42"/>
      <c r="H144" s="52"/>
      <c r="I144" s="42"/>
      <c r="J144" s="42"/>
      <c r="K144" s="133"/>
      <c r="L144" s="2381"/>
      <c r="M144" s="2381"/>
      <c r="O144" s="455" t="s">
        <v>2372</v>
      </c>
      <c r="P144" s="2265"/>
      <c r="Q144" s="519"/>
    </row>
    <row r="145" spans="1:17" ht="12" customHeight="1">
      <c r="A145" s="47"/>
      <c r="B145" s="145" t="s">
        <v>1695</v>
      </c>
      <c r="C145" s="52" t="s">
        <v>1235</v>
      </c>
      <c r="E145" s="133"/>
      <c r="F145" s="133"/>
      <c r="G145" s="133"/>
      <c r="H145" s="52"/>
      <c r="I145" s="42"/>
      <c r="J145" s="42"/>
      <c r="K145" s="133"/>
      <c r="L145" s="2381"/>
      <c r="M145" s="2381"/>
      <c r="O145" s="65" t="s">
        <v>1695</v>
      </c>
      <c r="P145" s="2265" t="s">
        <v>2883</v>
      </c>
      <c r="Q145" s="519"/>
    </row>
    <row r="146" spans="1:17" ht="12" customHeight="1">
      <c r="A146" s="47"/>
      <c r="B146" s="65"/>
      <c r="C146" s="52" t="s">
        <v>2560</v>
      </c>
      <c r="E146" s="455" t="s">
        <v>2370</v>
      </c>
      <c r="F146" s="52" t="s">
        <v>2564</v>
      </c>
      <c r="G146" s="42"/>
      <c r="H146" s="52"/>
      <c r="I146" s="42"/>
      <c r="J146" s="42"/>
      <c r="K146" s="133"/>
      <c r="L146" s="2381"/>
      <c r="O146" s="455" t="s">
        <v>2370</v>
      </c>
      <c r="P146" s="2267">
        <v>0.02</v>
      </c>
      <c r="Q146" s="828"/>
    </row>
    <row r="147" spans="1:17" ht="12" customHeight="1">
      <c r="A147" s="47"/>
      <c r="B147" s="65"/>
      <c r="E147" s="455" t="s">
        <v>2371</v>
      </c>
      <c r="F147" s="52" t="s">
        <v>2565</v>
      </c>
      <c r="G147" s="42"/>
      <c r="H147" s="52"/>
      <c r="I147" s="42"/>
      <c r="J147" s="42"/>
      <c r="O147" s="455" t="s">
        <v>2371</v>
      </c>
      <c r="P147" s="2265" t="s">
        <v>2886</v>
      </c>
      <c r="Q147" s="519"/>
    </row>
    <row r="148" spans="1:17" ht="12" customHeight="1">
      <c r="A148" s="47"/>
      <c r="B148" s="65"/>
      <c r="E148" s="455" t="s">
        <v>2372</v>
      </c>
      <c r="F148" s="52" t="s">
        <v>2563</v>
      </c>
      <c r="G148" s="42"/>
      <c r="H148" s="52"/>
      <c r="I148" s="42"/>
      <c r="J148" s="42"/>
      <c r="O148" s="455" t="s">
        <v>2372</v>
      </c>
      <c r="P148" s="2261" t="s">
        <v>2883</v>
      </c>
      <c r="Q148" s="520"/>
    </row>
    <row r="149" spans="1:17" ht="12" customHeight="1">
      <c r="A149" s="47" t="s">
        <v>1691</v>
      </c>
      <c r="B149" s="145" t="s">
        <v>2350</v>
      </c>
      <c r="D149" s="133"/>
      <c r="E149" s="133"/>
      <c r="F149" s="133"/>
      <c r="G149" s="133"/>
      <c r="H149" s="133"/>
      <c r="I149" s="42"/>
      <c r="J149" s="42"/>
      <c r="K149" s="133"/>
      <c r="L149" s="2381"/>
      <c r="M149" s="2381"/>
      <c r="N149" s="2381"/>
      <c r="O149" s="2381"/>
      <c r="P149" s="2381"/>
      <c r="Q149" s="2381"/>
    </row>
    <row r="150" spans="1:17" ht="12" customHeight="1">
      <c r="B150" s="145" t="s">
        <v>1693</v>
      </c>
      <c r="C150" s="52" t="s">
        <v>2428</v>
      </c>
      <c r="E150" s="133"/>
      <c r="F150" s="2266" t="s">
        <v>2886</v>
      </c>
      <c r="G150" s="518"/>
      <c r="H150" s="455" t="s">
        <v>4404</v>
      </c>
      <c r="I150" s="55" t="s">
        <v>2567</v>
      </c>
      <c r="L150" s="2266" t="s">
        <v>2886</v>
      </c>
      <c r="M150" s="518"/>
      <c r="N150" s="455" t="s">
        <v>4408</v>
      </c>
      <c r="O150" s="52" t="s">
        <v>1518</v>
      </c>
      <c r="P150" s="2266" t="s">
        <v>2886</v>
      </c>
      <c r="Q150" s="518"/>
    </row>
    <row r="151" spans="1:17" ht="12" customHeight="1">
      <c r="A151" s="36"/>
      <c r="B151" s="145" t="s">
        <v>1694</v>
      </c>
      <c r="C151" s="52" t="s">
        <v>2708</v>
      </c>
      <c r="E151" s="133"/>
      <c r="F151" s="2265" t="s">
        <v>2886</v>
      </c>
      <c r="G151" s="519"/>
      <c r="H151" s="455" t="s">
        <v>4405</v>
      </c>
      <c r="I151" s="55" t="s">
        <v>2568</v>
      </c>
      <c r="L151" s="2265" t="s">
        <v>2886</v>
      </c>
      <c r="M151" s="519"/>
      <c r="N151" s="455" t="s">
        <v>4409</v>
      </c>
      <c r="O151" s="52" t="s">
        <v>1517</v>
      </c>
      <c r="P151" s="2265" t="s">
        <v>2886</v>
      </c>
      <c r="Q151" s="519"/>
    </row>
    <row r="152" spans="1:17" ht="12" customHeight="1">
      <c r="A152" s="36"/>
      <c r="B152" s="145" t="s">
        <v>1695</v>
      </c>
      <c r="C152" s="52" t="s">
        <v>2566</v>
      </c>
      <c r="E152" s="133"/>
      <c r="F152" s="2265" t="s">
        <v>2886</v>
      </c>
      <c r="G152" s="519"/>
      <c r="H152" s="455" t="s">
        <v>4406</v>
      </c>
      <c r="I152" s="55" t="s">
        <v>3628</v>
      </c>
      <c r="L152" s="2265" t="s">
        <v>2886</v>
      </c>
      <c r="M152" s="519"/>
      <c r="N152" s="455" t="s">
        <v>4410</v>
      </c>
      <c r="O152" s="52" t="s">
        <v>1519</v>
      </c>
      <c r="P152" s="2261" t="s">
        <v>2886</v>
      </c>
      <c r="Q152" s="520"/>
    </row>
    <row r="153" spans="1:17" ht="12" customHeight="1">
      <c r="A153" s="36"/>
      <c r="B153" s="145" t="s">
        <v>2303</v>
      </c>
      <c r="C153" s="52" t="s">
        <v>2710</v>
      </c>
      <c r="E153" s="133"/>
      <c r="F153" s="2261" t="s">
        <v>2886</v>
      </c>
      <c r="G153" s="520"/>
      <c r="H153" s="455" t="s">
        <v>4407</v>
      </c>
      <c r="I153" s="52" t="s">
        <v>2707</v>
      </c>
      <c r="L153" s="2261" t="s">
        <v>2886</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11" t="s">
        <v>947</v>
      </c>
      <c r="D155" s="2811"/>
      <c r="E155" s="2811"/>
      <c r="F155" s="2811"/>
      <c r="G155" s="2811"/>
      <c r="H155" s="2811"/>
      <c r="I155" s="2811"/>
      <c r="J155" s="2811"/>
      <c r="K155" s="2811"/>
      <c r="L155" s="2811"/>
      <c r="M155" s="2811"/>
      <c r="N155" s="2811"/>
      <c r="O155" s="2811"/>
      <c r="P155" s="2811"/>
      <c r="Q155" s="2811"/>
    </row>
    <row r="156" spans="1:17" ht="12" customHeight="1">
      <c r="A156" s="47" t="s">
        <v>1692</v>
      </c>
      <c r="B156" s="52" t="s">
        <v>3434</v>
      </c>
      <c r="D156" s="133"/>
      <c r="E156" s="133"/>
      <c r="F156" s="133"/>
      <c r="G156" s="133"/>
      <c r="H156" s="133"/>
      <c r="I156" s="42"/>
      <c r="J156" s="42"/>
      <c r="K156" s="133"/>
      <c r="L156" s="133"/>
      <c r="M156" s="2381"/>
    </row>
    <row r="157" spans="1:17" ht="12" customHeight="1">
      <c r="A157" s="42"/>
      <c r="B157" s="145" t="s">
        <v>1693</v>
      </c>
      <c r="C157" s="52" t="s">
        <v>2711</v>
      </c>
      <c r="E157" s="133"/>
      <c r="F157" s="133"/>
      <c r="G157" s="133"/>
      <c r="H157" s="133"/>
      <c r="O157" s="65" t="s">
        <v>1693</v>
      </c>
      <c r="P157" s="2266"/>
      <c r="Q157" s="518"/>
    </row>
    <row r="158" spans="1:17" ht="12" customHeight="1">
      <c r="A158" s="2398"/>
      <c r="B158" s="145" t="s">
        <v>1694</v>
      </c>
      <c r="C158" s="52" t="s">
        <v>479</v>
      </c>
      <c r="E158" s="52"/>
      <c r="F158" s="52"/>
      <c r="G158" s="52"/>
      <c r="H158" s="52"/>
      <c r="I158" s="42"/>
      <c r="J158" s="42"/>
      <c r="K158" s="52"/>
      <c r="L158" s="52"/>
      <c r="M158" s="52"/>
      <c r="O158" s="65" t="s">
        <v>1694</v>
      </c>
      <c r="P158" s="2265"/>
      <c r="Q158" s="519"/>
    </row>
    <row r="159" spans="1:17" ht="12" customHeight="1">
      <c r="A159" s="2398"/>
      <c r="B159" s="145" t="s">
        <v>1695</v>
      </c>
      <c r="C159" s="52" t="s">
        <v>662</v>
      </c>
      <c r="E159" s="52"/>
      <c r="F159" s="52"/>
      <c r="G159" s="52"/>
      <c r="H159" s="52"/>
      <c r="I159" s="42"/>
      <c r="J159" s="42"/>
      <c r="K159" s="52"/>
      <c r="L159" s="52"/>
      <c r="M159" s="52"/>
      <c r="O159" s="65" t="s">
        <v>1695</v>
      </c>
      <c r="P159" s="2265"/>
      <c r="Q159" s="519"/>
    </row>
    <row r="160" spans="1:17" ht="12" customHeight="1">
      <c r="A160" s="2398"/>
      <c r="B160" s="40" t="s">
        <v>2303</v>
      </c>
      <c r="C160" s="52" t="s">
        <v>4390</v>
      </c>
      <c r="E160" s="52"/>
      <c r="F160" s="52"/>
      <c r="G160" s="52"/>
      <c r="H160" s="52"/>
      <c r="I160" s="42"/>
      <c r="J160" s="42"/>
      <c r="K160" s="52"/>
      <c r="L160" s="52"/>
      <c r="M160" s="52"/>
      <c r="O160" s="455" t="s">
        <v>2303</v>
      </c>
      <c r="P160" s="2261"/>
      <c r="Q160" s="520"/>
    </row>
    <row r="161" spans="1:32" ht="12" customHeight="1">
      <c r="A161" s="407" t="s">
        <v>4558</v>
      </c>
      <c r="C161" s="52"/>
      <c r="D161" s="133"/>
      <c r="E161" s="133"/>
      <c r="F161" s="133"/>
      <c r="G161" s="133"/>
      <c r="H161" s="133"/>
      <c r="I161" s="42"/>
      <c r="J161" s="42"/>
      <c r="K161" s="133"/>
      <c r="L161" s="133"/>
      <c r="M161" s="2381"/>
      <c r="N161" s="2381"/>
      <c r="O161" s="2381"/>
      <c r="P161" s="2381"/>
      <c r="Q161" s="2381"/>
      <c r="R161" s="2381"/>
    </row>
    <row r="162" spans="1:32" s="1" customFormat="1" ht="23.4" customHeight="1">
      <c r="A162" s="47" t="s">
        <v>1898</v>
      </c>
      <c r="B162" s="2713" t="s">
        <v>144</v>
      </c>
      <c r="C162" s="2713"/>
      <c r="D162" s="2713"/>
      <c r="E162" s="2713"/>
      <c r="F162" s="2713"/>
      <c r="G162" s="2713"/>
      <c r="H162" s="2713"/>
      <c r="I162" s="2713"/>
      <c r="J162" s="2713"/>
      <c r="K162" s="2713"/>
      <c r="L162" s="2713"/>
      <c r="M162" s="455" t="s">
        <v>1898</v>
      </c>
      <c r="N162" s="2717" t="s">
        <v>1726</v>
      </c>
      <c r="O162" s="2718"/>
      <c r="P162" s="2719" t="s">
        <v>1726</v>
      </c>
      <c r="Q162" s="2720"/>
      <c r="AE162" s="5"/>
      <c r="AF162" s="5"/>
    </row>
    <row r="163" spans="1:32" ht="11.25" customHeight="1">
      <c r="B163" s="140" t="s">
        <v>3563</v>
      </c>
      <c r="D163" s="140"/>
      <c r="E163" s="140"/>
      <c r="F163" s="140"/>
      <c r="G163" s="140"/>
      <c r="H163" s="40"/>
      <c r="I163" s="2398"/>
      <c r="J163" s="2398"/>
      <c r="K163" s="2398"/>
      <c r="L163" s="2375"/>
      <c r="M163" s="2375"/>
      <c r="N163" s="2375"/>
      <c r="O163" s="2375"/>
      <c r="P163" s="2375"/>
      <c r="Q163" s="855"/>
    </row>
    <row r="164" spans="1:32" ht="14.25" customHeight="1">
      <c r="A164" s="2710" t="s">
        <v>7045</v>
      </c>
      <c r="B164" s="2711"/>
      <c r="C164" s="2711"/>
      <c r="D164" s="2711"/>
      <c r="E164" s="2711"/>
      <c r="F164" s="2711"/>
      <c r="G164" s="2711"/>
      <c r="H164" s="2711"/>
      <c r="I164" s="2711"/>
      <c r="J164" s="2711"/>
      <c r="K164" s="2711"/>
      <c r="L164" s="2711"/>
      <c r="M164" s="2711"/>
      <c r="N164" s="2711"/>
      <c r="O164" s="2711"/>
      <c r="P164" s="2711"/>
      <c r="Q164" s="2712"/>
      <c r="R164" s="441" t="s">
        <v>1227</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77"/>
      <c r="E166" s="2377"/>
      <c r="F166" s="2377"/>
      <c r="G166" s="2377"/>
      <c r="H166" s="2377"/>
      <c r="I166" s="2377"/>
      <c r="J166" s="2377"/>
      <c r="K166" s="2377"/>
      <c r="L166" s="2377"/>
      <c r="M166" s="2377"/>
      <c r="N166" s="2377"/>
      <c r="O166" s="2377"/>
      <c r="P166" s="2377"/>
      <c r="Q166" s="2377"/>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5"/>
      <c r="B168" s="2398"/>
      <c r="C168" s="2377"/>
      <c r="D168" s="2377"/>
      <c r="E168" s="2377"/>
      <c r="F168" s="2377"/>
      <c r="G168" s="2377"/>
      <c r="H168" s="2377"/>
      <c r="I168" s="2377"/>
      <c r="J168" s="2377"/>
      <c r="K168" s="2377"/>
      <c r="L168" s="2377"/>
      <c r="M168" s="2377"/>
      <c r="N168" s="2377"/>
      <c r="O168" s="2377"/>
      <c r="P168" s="2377"/>
      <c r="Q168" s="2375"/>
    </row>
    <row r="169" spans="1:32" ht="14.1" customHeight="1">
      <c r="A169" s="2370" t="s">
        <v>287</v>
      </c>
      <c r="B169" s="2370" t="s">
        <v>2581</v>
      </c>
      <c r="C169" s="2370"/>
      <c r="D169" s="2377"/>
      <c r="E169" s="2377"/>
      <c r="F169" s="2377"/>
      <c r="G169" s="2377"/>
      <c r="H169" s="2377"/>
      <c r="I169" s="2377"/>
      <c r="J169" s="2377"/>
      <c r="K169" s="2377"/>
      <c r="O169" s="131" t="s">
        <v>1819</v>
      </c>
      <c r="P169" s="2721"/>
      <c r="Q169" s="2722"/>
    </row>
    <row r="170" spans="1:32" ht="12" customHeight="1">
      <c r="A170" s="47" t="s">
        <v>1934</v>
      </c>
      <c r="B170" s="145" t="s">
        <v>1693</v>
      </c>
      <c r="C170" s="52" t="s">
        <v>4741</v>
      </c>
      <c r="D170" s="52"/>
      <c r="E170" s="52"/>
      <c r="F170" s="52"/>
      <c r="G170" s="52"/>
      <c r="K170" s="52" t="s">
        <v>2625</v>
      </c>
      <c r="M170" s="2724">
        <v>44435</v>
      </c>
      <c r="N170" s="2725"/>
      <c r="O170" s="65" t="s">
        <v>1693</v>
      </c>
      <c r="P170" s="2262" t="s">
        <v>2883</v>
      </c>
      <c r="Q170" s="516"/>
    </row>
    <row r="171" spans="1:32" ht="12" customHeight="1">
      <c r="A171" s="47"/>
      <c r="B171" s="145" t="s">
        <v>1694</v>
      </c>
      <c r="C171" s="52" t="s">
        <v>4742</v>
      </c>
      <c r="D171" s="52"/>
      <c r="E171" s="52"/>
      <c r="F171" s="52"/>
      <c r="G171" s="52"/>
      <c r="K171" s="52" t="s">
        <v>2625</v>
      </c>
      <c r="M171" s="2724"/>
      <c r="N171" s="2725"/>
      <c r="O171" s="65" t="s">
        <v>1694</v>
      </c>
      <c r="P171" s="2254"/>
      <c r="Q171" s="516"/>
    </row>
    <row r="172" spans="1:32" ht="12" customHeight="1">
      <c r="A172" s="47" t="s">
        <v>1936</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1936</v>
      </c>
      <c r="N172" s="2787" t="s">
        <v>7022</v>
      </c>
      <c r="O172" s="2788"/>
      <c r="P172" s="2789" t="s">
        <v>1726</v>
      </c>
      <c r="Q172" s="2790"/>
    </row>
    <row r="173" spans="1:32" ht="12" customHeight="1">
      <c r="A173" s="47" t="s">
        <v>730</v>
      </c>
      <c r="B173" s="139" t="s">
        <v>663</v>
      </c>
      <c r="D173" s="139"/>
      <c r="E173" s="139"/>
      <c r="F173" s="139"/>
      <c r="G173" s="139"/>
      <c r="H173" s="139"/>
      <c r="J173" s="455" t="s">
        <v>730</v>
      </c>
      <c r="K173" s="2698" t="s">
        <v>7061</v>
      </c>
      <c r="L173" s="2699"/>
      <c r="M173" s="2699"/>
      <c r="N173" s="2699"/>
      <c r="O173" s="2699"/>
      <c r="P173" s="2700"/>
      <c r="Q173" s="516"/>
    </row>
    <row r="174" spans="1:32" ht="12" customHeight="1">
      <c r="B174" s="140" t="s">
        <v>3563</v>
      </c>
      <c r="D174" s="140"/>
      <c r="E174" s="140"/>
      <c r="F174" s="140"/>
      <c r="G174" s="140"/>
      <c r="H174" s="40"/>
      <c r="I174" s="2398"/>
      <c r="J174" s="2398"/>
      <c r="K174" s="2398"/>
      <c r="L174" s="2375"/>
      <c r="M174" s="2375"/>
      <c r="N174" s="2375"/>
      <c r="O174" s="2375"/>
      <c r="P174" s="2375"/>
      <c r="Q174" s="855"/>
    </row>
    <row r="175" spans="1:32" ht="36" customHeight="1">
      <c r="A175" s="2710" t="s">
        <v>7106</v>
      </c>
      <c r="B175" s="2711"/>
      <c r="C175" s="2711"/>
      <c r="D175" s="2711"/>
      <c r="E175" s="2711"/>
      <c r="F175" s="2711"/>
      <c r="G175" s="2711"/>
      <c r="H175" s="2711"/>
      <c r="I175" s="2711"/>
      <c r="J175" s="2711"/>
      <c r="K175" s="2711"/>
      <c r="L175" s="2711"/>
      <c r="M175" s="2711"/>
      <c r="N175" s="2711"/>
      <c r="O175" s="2711"/>
      <c r="P175" s="2711"/>
      <c r="Q175" s="2712"/>
      <c r="U175" s="135"/>
      <c r="V175" s="135"/>
      <c r="W175" s="135"/>
      <c r="X175" s="135"/>
      <c r="Y175" s="135"/>
      <c r="Z175" s="135"/>
      <c r="AA175" s="135"/>
      <c r="AB175" s="135"/>
      <c r="AC175" s="135"/>
      <c r="AD175" s="135"/>
      <c r="AE175" s="457"/>
    </row>
    <row r="176" spans="1:32" ht="12" customHeight="1">
      <c r="B176" s="136" t="s">
        <v>1818</v>
      </c>
      <c r="C176" s="137"/>
      <c r="D176" s="2377"/>
      <c r="E176" s="2377"/>
      <c r="F176" s="2377"/>
      <c r="G176" s="2377"/>
      <c r="H176" s="2377"/>
      <c r="I176" s="2377"/>
      <c r="J176" s="2377"/>
      <c r="K176" s="2377"/>
      <c r="L176" s="2377"/>
      <c r="M176" s="2377"/>
      <c r="N176" s="2377"/>
      <c r="O176" s="2377"/>
      <c r="P176" s="2377"/>
      <c r="Q176" s="2377"/>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5"/>
      <c r="B178" s="2398"/>
      <c r="C178" s="2377"/>
      <c r="D178" s="2377"/>
      <c r="E178" s="2377"/>
      <c r="F178" s="2377"/>
      <c r="G178" s="2377"/>
      <c r="H178" s="2377"/>
      <c r="I178" s="2377"/>
      <c r="J178" s="2377"/>
      <c r="K178" s="2377"/>
      <c r="L178" s="2377"/>
      <c r="M178" s="2377"/>
      <c r="Q178" s="2375"/>
    </row>
    <row r="179" spans="1:31" ht="14.1" customHeight="1">
      <c r="A179" s="2370" t="s">
        <v>418</v>
      </c>
      <c r="B179" s="2370" t="s">
        <v>2582</v>
      </c>
      <c r="C179" s="2370"/>
      <c r="D179" s="2377"/>
      <c r="E179" s="2377"/>
      <c r="F179" s="2377"/>
      <c r="G179" s="2377"/>
      <c r="H179" s="2377"/>
      <c r="I179" s="2377"/>
      <c r="J179" s="2377"/>
      <c r="K179" s="2377"/>
      <c r="L179" s="2377"/>
      <c r="M179" s="2377"/>
      <c r="O179" s="131" t="s">
        <v>1819</v>
      </c>
      <c r="P179" s="2721"/>
      <c r="Q179" s="2722"/>
    </row>
    <row r="180" spans="1:31" ht="21.75" customHeight="1">
      <c r="A180" s="141" t="s">
        <v>1934</v>
      </c>
      <c r="B180" s="2713" t="s">
        <v>3554</v>
      </c>
      <c r="C180" s="2713"/>
      <c r="D180" s="2713"/>
      <c r="E180" s="2713"/>
      <c r="F180" s="2713"/>
      <c r="G180" s="2713"/>
      <c r="H180" s="2713"/>
      <c r="I180" s="2713"/>
      <c r="J180" s="2713"/>
      <c r="K180" s="2713"/>
      <c r="L180" s="2713"/>
      <c r="M180" s="2713"/>
      <c r="N180" s="2713"/>
      <c r="O180" s="160" t="s">
        <v>1934</v>
      </c>
      <c r="P180" s="2389" t="s">
        <v>2883</v>
      </c>
      <c r="Q180" s="1088"/>
    </row>
    <row r="181" spans="1:31" ht="22.35" customHeight="1">
      <c r="A181" s="141" t="s">
        <v>1936</v>
      </c>
      <c r="B181" s="2713" t="s">
        <v>4258</v>
      </c>
      <c r="C181" s="2713"/>
      <c r="D181" s="2713"/>
      <c r="E181" s="2713"/>
      <c r="F181" s="2713"/>
      <c r="G181" s="2713"/>
      <c r="H181" s="2713"/>
      <c r="I181" s="2713"/>
      <c r="J181" s="2713"/>
      <c r="K181" s="2713"/>
      <c r="L181" s="2713"/>
      <c r="M181" s="2713"/>
      <c r="N181" s="2713"/>
      <c r="O181" s="160" t="s">
        <v>1936</v>
      </c>
      <c r="P181" s="2380"/>
      <c r="Q181" s="2379"/>
    </row>
    <row r="182" spans="1:31" ht="22.35" customHeight="1">
      <c r="A182" s="141" t="s">
        <v>730</v>
      </c>
      <c r="B182" s="2713" t="s">
        <v>3555</v>
      </c>
      <c r="C182" s="2713"/>
      <c r="D182" s="2713"/>
      <c r="E182" s="2713"/>
      <c r="F182" s="2713"/>
      <c r="G182" s="2713"/>
      <c r="H182" s="2713"/>
      <c r="I182" s="2713"/>
      <c r="J182" s="2713"/>
      <c r="K182" s="2713"/>
      <c r="L182" s="2713"/>
      <c r="M182" s="2713"/>
      <c r="N182" s="2713"/>
      <c r="O182" s="160" t="s">
        <v>730</v>
      </c>
      <c r="P182" s="2380"/>
      <c r="Q182" s="2379"/>
    </row>
    <row r="183" spans="1:31" ht="21.75" customHeight="1">
      <c r="A183" s="141" t="s">
        <v>2063</v>
      </c>
      <c r="B183" s="2713" t="s">
        <v>4351</v>
      </c>
      <c r="C183" s="2713"/>
      <c r="D183" s="2713"/>
      <c r="E183" s="2713"/>
      <c r="F183" s="2713"/>
      <c r="G183" s="2713"/>
      <c r="H183" s="2713"/>
      <c r="I183" s="2713"/>
      <c r="J183" s="2713"/>
      <c r="K183" s="2713"/>
      <c r="L183" s="2713"/>
      <c r="M183" s="2713"/>
      <c r="N183" s="2713"/>
      <c r="O183" s="160" t="s">
        <v>2063</v>
      </c>
      <c r="P183" s="2388"/>
      <c r="Q183" s="2253"/>
    </row>
    <row r="184" spans="1:31" ht="12" customHeight="1">
      <c r="B184" s="140" t="s">
        <v>3563</v>
      </c>
      <c r="D184" s="140"/>
      <c r="E184" s="140"/>
      <c r="F184" s="140"/>
      <c r="G184" s="140"/>
      <c r="H184" s="40"/>
      <c r="I184" s="2398"/>
      <c r="J184" s="2398"/>
      <c r="K184" s="2398"/>
      <c r="L184" s="2375"/>
      <c r="M184" s="2375"/>
      <c r="N184" s="2375"/>
      <c r="O184" s="2375"/>
      <c r="P184" s="2375"/>
      <c r="Q184" s="855"/>
    </row>
    <row r="185" spans="1:31" ht="27" customHeight="1">
      <c r="A185" s="2710" t="s">
        <v>7107</v>
      </c>
      <c r="B185" s="2711"/>
      <c r="C185" s="2711"/>
      <c r="D185" s="2711"/>
      <c r="E185" s="2711"/>
      <c r="F185" s="2711"/>
      <c r="G185" s="2711"/>
      <c r="H185" s="2711"/>
      <c r="I185" s="2711"/>
      <c r="J185" s="2711"/>
      <c r="K185" s="2711"/>
      <c r="L185" s="2711"/>
      <c r="M185" s="2711"/>
      <c r="N185" s="2711"/>
      <c r="O185" s="2711"/>
      <c r="P185" s="2711"/>
      <c r="Q185" s="2712"/>
      <c r="U185" s="135"/>
      <c r="V185" s="135"/>
      <c r="W185" s="135"/>
      <c r="X185" s="135"/>
      <c r="Y185" s="135"/>
      <c r="Z185" s="135"/>
      <c r="AA185" s="135"/>
      <c r="AB185" s="135"/>
      <c r="AC185" s="135"/>
      <c r="AD185" s="135"/>
      <c r="AE185" s="457"/>
    </row>
    <row r="186" spans="1:31" ht="12" customHeight="1">
      <c r="B186" s="136" t="s">
        <v>1818</v>
      </c>
      <c r="C186" s="137"/>
      <c r="D186" s="2377"/>
      <c r="E186" s="2377"/>
      <c r="F186" s="2377"/>
      <c r="G186" s="2377"/>
      <c r="H186" s="2377"/>
      <c r="I186" s="2377"/>
      <c r="J186" s="2377"/>
      <c r="K186" s="2377"/>
      <c r="L186" s="2377"/>
      <c r="M186" s="2377"/>
      <c r="N186" s="2377"/>
      <c r="O186" s="2377"/>
      <c r="P186" s="2377"/>
      <c r="Q186" s="2377"/>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7"/>
      <c r="D188" s="2377"/>
      <c r="E188" s="2377"/>
      <c r="F188" s="2377"/>
      <c r="G188" s="2377"/>
      <c r="H188" s="2377"/>
      <c r="I188" s="2377"/>
      <c r="J188" s="2377"/>
      <c r="K188" s="2377"/>
      <c r="L188" s="2377"/>
      <c r="M188" s="2377"/>
      <c r="N188" s="2377"/>
      <c r="O188" s="2377"/>
      <c r="P188" s="2377"/>
      <c r="Q188" s="2375"/>
    </row>
    <row r="189" spans="1:31" ht="14.1" customHeight="1">
      <c r="A189" s="2357" t="s">
        <v>356</v>
      </c>
      <c r="B189" s="2659" t="s">
        <v>2583</v>
      </c>
      <c r="C189" s="2659"/>
      <c r="D189" s="2659"/>
      <c r="O189" s="131" t="s">
        <v>1819</v>
      </c>
      <c r="P189" s="2721"/>
      <c r="Q189" s="2722"/>
    </row>
    <row r="190" spans="1:31" ht="12" customHeight="1">
      <c r="A190" s="141" t="s">
        <v>1934</v>
      </c>
      <c r="B190" s="842" t="s">
        <v>459</v>
      </c>
      <c r="D190" s="842"/>
      <c r="E190" s="842"/>
      <c r="F190" s="842"/>
      <c r="G190" s="842"/>
      <c r="H190" s="842"/>
      <c r="I190" s="842"/>
      <c r="J190" s="842"/>
      <c r="K190" s="842"/>
      <c r="L190" s="842"/>
      <c r="M190" s="842"/>
      <c r="O190" s="160" t="s">
        <v>1934</v>
      </c>
      <c r="P190" s="2256" t="s">
        <v>2883</v>
      </c>
      <c r="Q190" s="518"/>
    </row>
    <row r="191" spans="1:31" ht="12" customHeight="1">
      <c r="A191" s="141" t="s">
        <v>1936</v>
      </c>
      <c r="B191" s="842" t="s">
        <v>2569</v>
      </c>
      <c r="D191" s="842"/>
      <c r="E191" s="842"/>
      <c r="F191" s="842"/>
      <c r="G191" s="842"/>
      <c r="H191" s="842"/>
      <c r="I191" s="842"/>
      <c r="J191" s="842"/>
      <c r="K191" s="842"/>
      <c r="L191" s="842"/>
      <c r="M191" s="842"/>
      <c r="O191" s="160" t="s">
        <v>1936</v>
      </c>
      <c r="P191" s="2256" t="s">
        <v>2883</v>
      </c>
      <c r="Q191" s="519"/>
    </row>
    <row r="192" spans="1:31" ht="12" customHeight="1">
      <c r="A192" s="141" t="s">
        <v>730</v>
      </c>
      <c r="B192" s="842" t="s">
        <v>2570</v>
      </c>
      <c r="D192" s="842"/>
      <c r="E192" s="842"/>
      <c r="F192" s="842"/>
      <c r="G192" s="842"/>
      <c r="H192" s="842"/>
      <c r="I192" s="842"/>
      <c r="J192" s="139" t="s">
        <v>4363</v>
      </c>
      <c r="L192" s="842"/>
      <c r="M192" s="842"/>
      <c r="O192" s="160" t="s">
        <v>730</v>
      </c>
      <c r="P192" s="2256" t="s">
        <v>2883</v>
      </c>
      <c r="Q192" s="519"/>
    </row>
    <row r="193" spans="1:32" ht="12" customHeight="1">
      <c r="B193" s="40" t="s">
        <v>1693</v>
      </c>
      <c r="C193" s="856" t="s">
        <v>2571</v>
      </c>
      <c r="G193" s="842"/>
      <c r="H193" s="842"/>
      <c r="J193" s="842"/>
      <c r="K193" s="842"/>
      <c r="L193" s="842"/>
      <c r="M193" s="842"/>
      <c r="O193" s="438" t="s">
        <v>1693</v>
      </c>
      <c r="P193" s="2256" t="s">
        <v>2883</v>
      </c>
      <c r="Q193" s="519"/>
    </row>
    <row r="194" spans="1:32" ht="12" customHeight="1">
      <c r="A194" s="139"/>
      <c r="B194" s="40" t="s">
        <v>1694</v>
      </c>
      <c r="C194" s="856" t="s">
        <v>2572</v>
      </c>
      <c r="G194" s="842"/>
      <c r="H194" s="842"/>
      <c r="I194" s="842"/>
      <c r="J194" s="842"/>
      <c r="K194" s="842"/>
      <c r="L194" s="842"/>
      <c r="M194" s="842"/>
      <c r="O194" s="438" t="s">
        <v>1694</v>
      </c>
      <c r="P194" s="2256" t="s">
        <v>2883</v>
      </c>
      <c r="Q194" s="519"/>
    </row>
    <row r="195" spans="1:32" s="132" customFormat="1" ht="21.75" customHeight="1">
      <c r="A195" s="141"/>
      <c r="B195" s="468" t="s">
        <v>1695</v>
      </c>
      <c r="C195" s="2713" t="s">
        <v>3556</v>
      </c>
      <c r="D195" s="2713"/>
      <c r="E195" s="2713"/>
      <c r="F195" s="2713"/>
      <c r="G195" s="2713"/>
      <c r="H195" s="2713"/>
      <c r="I195" s="2713"/>
      <c r="J195" s="2713"/>
      <c r="K195" s="2713"/>
      <c r="L195" s="2713"/>
      <c r="M195" s="2713"/>
      <c r="N195" s="2713"/>
      <c r="O195" s="160" t="s">
        <v>1695</v>
      </c>
      <c r="P195" s="2256" t="s">
        <v>2883</v>
      </c>
      <c r="Q195" s="2379"/>
      <c r="AE195" s="458"/>
      <c r="AF195" s="458"/>
    </row>
    <row r="196" spans="1:32" ht="12" customHeight="1">
      <c r="A196" s="141"/>
      <c r="B196" s="40" t="s">
        <v>2303</v>
      </c>
      <c r="C196" s="856" t="s">
        <v>2573</v>
      </c>
      <c r="G196" s="842"/>
      <c r="H196" s="842"/>
      <c r="I196" s="842"/>
      <c r="J196" s="842"/>
      <c r="K196" s="842"/>
      <c r="L196" s="842"/>
      <c r="M196" s="842"/>
      <c r="O196" s="438" t="s">
        <v>2303</v>
      </c>
      <c r="P196" s="2256" t="s">
        <v>2883</v>
      </c>
      <c r="Q196" s="519"/>
    </row>
    <row r="197" spans="1:32" s="132" customFormat="1" ht="21.75" customHeight="1">
      <c r="A197" s="141"/>
      <c r="B197" s="468" t="s">
        <v>1515</v>
      </c>
      <c r="C197" s="2713" t="s">
        <v>2574</v>
      </c>
      <c r="D197" s="2713"/>
      <c r="E197" s="2713"/>
      <c r="F197" s="2713"/>
      <c r="G197" s="2713"/>
      <c r="H197" s="2713"/>
      <c r="I197" s="2713"/>
      <c r="J197" s="2713"/>
      <c r="K197" s="2713"/>
      <c r="L197" s="2713"/>
      <c r="M197" s="2713"/>
      <c r="N197" s="2713"/>
      <c r="O197" s="160" t="s">
        <v>1515</v>
      </c>
      <c r="P197" s="2256" t="s">
        <v>2883</v>
      </c>
      <c r="Q197" s="2379"/>
      <c r="AE197" s="458"/>
      <c r="AF197" s="458"/>
    </row>
    <row r="198" spans="1:32" s="132" customFormat="1" ht="21.75" customHeight="1">
      <c r="A198" s="141"/>
      <c r="B198" s="468" t="s">
        <v>1516</v>
      </c>
      <c r="C198" s="2713" t="s">
        <v>3665</v>
      </c>
      <c r="D198" s="2713"/>
      <c r="E198" s="2713"/>
      <c r="F198" s="2713"/>
      <c r="G198" s="2713"/>
      <c r="H198" s="2713"/>
      <c r="I198" s="2713"/>
      <c r="J198" s="2713"/>
      <c r="K198" s="2713"/>
      <c r="L198" s="2713"/>
      <c r="M198" s="2713"/>
      <c r="N198" s="2713"/>
      <c r="O198" s="160" t="s">
        <v>1516</v>
      </c>
      <c r="P198" s="2256" t="s">
        <v>7023</v>
      </c>
      <c r="Q198" s="2379"/>
      <c r="AE198" s="458"/>
      <c r="AF198" s="458"/>
    </row>
    <row r="199" spans="1:32" ht="21.75" customHeight="1">
      <c r="A199" s="141" t="s">
        <v>2063</v>
      </c>
      <c r="B199" s="2713" t="s">
        <v>2575</v>
      </c>
      <c r="C199" s="2713"/>
      <c r="D199" s="2713"/>
      <c r="E199" s="2713"/>
      <c r="F199" s="2713"/>
      <c r="G199" s="2713"/>
      <c r="H199" s="2713"/>
      <c r="I199" s="2713"/>
      <c r="J199" s="2713"/>
      <c r="K199" s="2713"/>
      <c r="L199" s="2713"/>
      <c r="M199" s="2713"/>
      <c r="N199" s="2713"/>
      <c r="O199" s="160" t="s">
        <v>2063</v>
      </c>
      <c r="P199" s="2256" t="s">
        <v>2883</v>
      </c>
      <c r="Q199" s="2379"/>
    </row>
    <row r="200" spans="1:32" ht="12" customHeight="1">
      <c r="A200" s="141" t="s">
        <v>1691</v>
      </c>
      <c r="B200" s="842" t="s">
        <v>2316</v>
      </c>
      <c r="D200" s="842"/>
      <c r="E200" s="842"/>
      <c r="F200" s="842"/>
      <c r="G200" s="842"/>
      <c r="H200" s="842"/>
      <c r="I200" s="842"/>
      <c r="J200" s="842"/>
      <c r="K200" s="842"/>
      <c r="L200" s="842"/>
      <c r="M200" s="842"/>
      <c r="O200" s="160" t="s">
        <v>1691</v>
      </c>
      <c r="P200" s="2256" t="s">
        <v>2883</v>
      </c>
      <c r="Q200" s="520"/>
    </row>
    <row r="201" spans="1:32" ht="12" customHeight="1">
      <c r="B201" s="140" t="s">
        <v>3563</v>
      </c>
      <c r="D201" s="140"/>
      <c r="E201" s="140"/>
      <c r="F201" s="140"/>
      <c r="G201" s="140"/>
      <c r="H201" s="40"/>
      <c r="I201" s="2398"/>
      <c r="J201" s="2398"/>
      <c r="K201" s="2398"/>
      <c r="L201" s="2375"/>
      <c r="M201" s="2375"/>
      <c r="N201" s="2375"/>
      <c r="O201" s="2375"/>
      <c r="P201" s="2375"/>
      <c r="Q201" s="855"/>
    </row>
    <row r="202" spans="1:32" ht="23.25" customHeight="1">
      <c r="A202" s="2710" t="s">
        <v>7108</v>
      </c>
      <c r="B202" s="2711"/>
      <c r="C202" s="2711"/>
      <c r="D202" s="2711"/>
      <c r="E202" s="2711"/>
      <c r="F202" s="2711"/>
      <c r="G202" s="2711"/>
      <c r="H202" s="2711"/>
      <c r="I202" s="2711"/>
      <c r="J202" s="2711"/>
      <c r="K202" s="2711"/>
      <c r="L202" s="2711"/>
      <c r="M202" s="2711"/>
      <c r="N202" s="2711"/>
      <c r="O202" s="2711"/>
      <c r="P202" s="2711"/>
      <c r="Q202" s="2712"/>
      <c r="U202" s="135"/>
      <c r="V202" s="135"/>
      <c r="W202" s="135"/>
      <c r="X202" s="135"/>
      <c r="Y202" s="135"/>
      <c r="Z202" s="135"/>
      <c r="AA202" s="135"/>
      <c r="AB202" s="135"/>
      <c r="AC202" s="135"/>
      <c r="AD202" s="135"/>
      <c r="AE202" s="457"/>
    </row>
    <row r="203" spans="1:32" ht="12" customHeight="1">
      <c r="B203" s="136" t="s">
        <v>1818</v>
      </c>
      <c r="C203" s="137"/>
      <c r="D203" s="2377"/>
      <c r="E203" s="2377"/>
      <c r="F203" s="2377"/>
      <c r="G203" s="2377"/>
      <c r="H203" s="2377"/>
      <c r="I203" s="2377"/>
      <c r="J203" s="2377"/>
      <c r="K203" s="2377"/>
      <c r="L203" s="2377"/>
      <c r="M203" s="2377"/>
      <c r="N203" s="2377"/>
      <c r="O203" s="2377"/>
      <c r="P203" s="2377"/>
      <c r="Q203" s="2377"/>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5"/>
      <c r="B205" s="2398"/>
      <c r="C205" s="2377"/>
      <c r="D205" s="2377"/>
      <c r="E205" s="2377"/>
      <c r="F205" s="2377"/>
      <c r="G205" s="2377"/>
      <c r="H205" s="2377"/>
      <c r="I205" s="2377"/>
      <c r="J205" s="2377"/>
      <c r="K205" s="2377"/>
      <c r="L205" s="2377"/>
      <c r="M205" s="2377"/>
      <c r="N205" s="2377"/>
      <c r="O205" s="2377"/>
      <c r="P205" s="2377"/>
      <c r="Q205" s="2375"/>
    </row>
    <row r="206" spans="1:32" ht="14.1" customHeight="1">
      <c r="A206" s="2370" t="s">
        <v>357</v>
      </c>
      <c r="B206" s="2370" t="s">
        <v>2584</v>
      </c>
      <c r="C206" s="2370"/>
      <c r="D206" s="2377"/>
      <c r="E206" s="146"/>
      <c r="F206" s="146"/>
      <c r="G206" s="2377"/>
      <c r="J206" s="857"/>
      <c r="K206" s="857"/>
      <c r="L206" s="857"/>
      <c r="M206" s="857"/>
      <c r="N206" s="857"/>
      <c r="O206" s="131" t="s">
        <v>1819</v>
      </c>
      <c r="P206" s="2721"/>
      <c r="Q206" s="2722"/>
    </row>
    <row r="207" spans="1:32" ht="22.5" customHeight="1">
      <c r="A207" s="2726" t="s">
        <v>4481</v>
      </c>
      <c r="B207" s="2726"/>
      <c r="C207" s="2726"/>
      <c r="D207" s="2726"/>
      <c r="E207" s="2726"/>
      <c r="F207" s="2726"/>
      <c r="G207" s="2726"/>
      <c r="H207" s="2726"/>
      <c r="I207" s="2726"/>
      <c r="J207" s="2726"/>
      <c r="K207" s="2726"/>
      <c r="L207" s="2726"/>
      <c r="M207" s="2726"/>
      <c r="N207" s="2726"/>
      <c r="O207" s="2726"/>
      <c r="P207" s="2726"/>
      <c r="Q207" s="2726"/>
    </row>
    <row r="208" spans="1:32" ht="11.25" customHeight="1">
      <c r="A208" s="138"/>
      <c r="B208" s="139" t="s">
        <v>95</v>
      </c>
      <c r="D208" s="139"/>
      <c r="E208" s="139"/>
      <c r="F208" s="139"/>
      <c r="G208" s="139"/>
      <c r="H208" s="65" t="s">
        <v>1693</v>
      </c>
      <c r="I208" s="52" t="s">
        <v>148</v>
      </c>
      <c r="J208" s="2730" t="s">
        <v>947</v>
      </c>
      <c r="K208" s="2797"/>
      <c r="L208" s="2797"/>
      <c r="M208" s="2797"/>
      <c r="N208" s="2731"/>
      <c r="O208" s="65" t="s">
        <v>1693</v>
      </c>
      <c r="P208" s="2256" t="s">
        <v>2886</v>
      </c>
      <c r="Q208" s="518"/>
    </row>
    <row r="209" spans="1:31" ht="11.25" customHeight="1">
      <c r="A209" s="138"/>
      <c r="B209" s="140" t="s">
        <v>3563</v>
      </c>
      <c r="C209" s="104"/>
      <c r="D209" s="104"/>
      <c r="E209" s="104"/>
      <c r="F209" s="104"/>
      <c r="H209" s="65" t="s">
        <v>1694</v>
      </c>
      <c r="I209" s="52" t="s">
        <v>1562</v>
      </c>
      <c r="J209" s="2714" t="s">
        <v>7024</v>
      </c>
      <c r="K209" s="2715"/>
      <c r="L209" s="2715"/>
      <c r="M209" s="2715"/>
      <c r="N209" s="2716"/>
      <c r="O209" s="65" t="s">
        <v>1694</v>
      </c>
      <c r="P209" s="2256" t="s">
        <v>2883</v>
      </c>
      <c r="Q209" s="520"/>
    </row>
    <row r="210" spans="1:31" ht="11.4" customHeight="1">
      <c r="A210" s="2707" t="s">
        <v>7109</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1818</v>
      </c>
      <c r="C211" s="137"/>
      <c r="D211" s="2377"/>
      <c r="E211" s="2377"/>
      <c r="F211" s="2377"/>
      <c r="G211" s="2377"/>
      <c r="H211" s="2377"/>
      <c r="I211" s="2377"/>
      <c r="J211" s="2377"/>
      <c r="K211" s="2377"/>
      <c r="L211" s="2377"/>
      <c r="M211" s="2377"/>
      <c r="N211" s="2377"/>
      <c r="O211" s="2377"/>
      <c r="P211" s="2377"/>
      <c r="Q211" s="2377"/>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7"/>
      <c r="D213" s="2377"/>
      <c r="E213" s="2377"/>
      <c r="F213" s="2377"/>
      <c r="G213" s="2377"/>
      <c r="H213" s="2377"/>
      <c r="I213" s="2377"/>
      <c r="J213" s="2377"/>
      <c r="K213" s="2377"/>
      <c r="L213" s="2377"/>
      <c r="M213" s="2377"/>
      <c r="Q213" s="855"/>
    </row>
    <row r="214" spans="1:31" ht="14.1" customHeight="1">
      <c r="A214" s="2370" t="s">
        <v>358</v>
      </c>
      <c r="B214" s="4" t="s">
        <v>2585</v>
      </c>
      <c r="C214" s="4"/>
      <c r="D214" s="86"/>
      <c r="E214" s="86"/>
      <c r="F214" s="86"/>
      <c r="G214" s="2377"/>
      <c r="H214" s="2377"/>
      <c r="I214" s="2377"/>
      <c r="J214" s="2377"/>
      <c r="K214" s="2377"/>
      <c r="L214" s="2377"/>
      <c r="M214" s="2377"/>
      <c r="O214" s="131" t="s">
        <v>1819</v>
      </c>
      <c r="P214" s="2721"/>
      <c r="Q214" s="2722"/>
    </row>
    <row r="215" spans="1:31" ht="11.4" customHeight="1">
      <c r="A215" s="141" t="s">
        <v>1934</v>
      </c>
      <c r="B215" s="2713" t="s">
        <v>1801</v>
      </c>
      <c r="C215" s="2713"/>
      <c r="D215" s="2713"/>
      <c r="E215" s="2713"/>
      <c r="F215" s="2713"/>
      <c r="G215" s="2713"/>
      <c r="H215" s="65" t="s">
        <v>1693</v>
      </c>
      <c r="I215" s="52" t="s">
        <v>616</v>
      </c>
      <c r="J215" s="2730" t="s">
        <v>7067</v>
      </c>
      <c r="K215" s="2797"/>
      <c r="L215" s="2797"/>
      <c r="M215" s="2797"/>
      <c r="N215" s="2731"/>
      <c r="O215" s="160" t="s">
        <v>1454</v>
      </c>
      <c r="P215" s="2256" t="s">
        <v>2883</v>
      </c>
      <c r="Q215" s="1553"/>
    </row>
    <row r="216" spans="1:31" ht="11.4" customHeight="1">
      <c r="A216" s="149"/>
      <c r="B216" s="2713"/>
      <c r="C216" s="2713"/>
      <c r="D216" s="2713"/>
      <c r="E216" s="2713"/>
      <c r="F216" s="2713"/>
      <c r="G216" s="2713"/>
      <c r="H216" s="65" t="s">
        <v>1694</v>
      </c>
      <c r="I216" s="52" t="s">
        <v>113</v>
      </c>
      <c r="J216" s="2730" t="s">
        <v>7067</v>
      </c>
      <c r="K216" s="2797"/>
      <c r="L216" s="2797"/>
      <c r="M216" s="2797"/>
      <c r="N216" s="2731"/>
      <c r="O216" s="160" t="s">
        <v>1694</v>
      </c>
      <c r="P216" s="2256" t="s">
        <v>2883</v>
      </c>
      <c r="Q216" s="519"/>
    </row>
    <row r="217" spans="1:31" ht="12" customHeight="1">
      <c r="A217" s="141" t="s">
        <v>1936</v>
      </c>
      <c r="B217" s="52" t="s">
        <v>3670</v>
      </c>
      <c r="D217" s="52"/>
      <c r="E217" s="52"/>
      <c r="F217" s="52"/>
      <c r="G217" s="52"/>
      <c r="H217" s="52"/>
      <c r="I217" s="52"/>
      <c r="J217" s="52"/>
      <c r="K217" s="42"/>
      <c r="L217" s="52"/>
      <c r="M217" s="52"/>
      <c r="O217" s="455" t="s">
        <v>1936</v>
      </c>
      <c r="P217" s="2256" t="s">
        <v>2883</v>
      </c>
      <c r="Q217" s="519"/>
    </row>
    <row r="218" spans="1:31" ht="12" customHeight="1">
      <c r="A218" s="47" t="s">
        <v>730</v>
      </c>
      <c r="B218" s="52" t="s">
        <v>3671</v>
      </c>
      <c r="D218" s="52"/>
      <c r="E218" s="52"/>
      <c r="F218" s="52"/>
      <c r="G218" s="52"/>
      <c r="H218" s="52"/>
      <c r="I218" s="52"/>
      <c r="J218" s="52"/>
      <c r="K218" s="42"/>
      <c r="L218" s="52"/>
      <c r="M218" s="52"/>
      <c r="O218" s="455" t="s">
        <v>730</v>
      </c>
      <c r="P218" s="2261"/>
      <c r="Q218" s="520"/>
    </row>
    <row r="219" spans="1:31" ht="11.25" customHeight="1">
      <c r="B219" s="140" t="s">
        <v>3563</v>
      </c>
      <c r="D219" s="140"/>
      <c r="E219" s="140"/>
      <c r="F219" s="140"/>
      <c r="G219" s="140"/>
      <c r="H219" s="40"/>
      <c r="I219" s="2398"/>
      <c r="J219" s="2398"/>
      <c r="K219" s="2398"/>
      <c r="L219" s="2375"/>
      <c r="M219" s="2375"/>
      <c r="N219" s="2375"/>
      <c r="O219" s="2375"/>
      <c r="P219" s="2375"/>
      <c r="Q219" s="855"/>
    </row>
    <row r="220" spans="1:31" ht="24.75" customHeight="1">
      <c r="A220" s="2707" t="s">
        <v>7110</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1818</v>
      </c>
      <c r="C221" s="137"/>
      <c r="D221" s="2377"/>
      <c r="E221" s="2377"/>
      <c r="F221" s="2377"/>
      <c r="G221" s="2377"/>
      <c r="H221" s="2377"/>
      <c r="I221" s="2377"/>
      <c r="J221" s="2377"/>
      <c r="K221" s="2377"/>
      <c r="L221" s="2377"/>
      <c r="M221" s="2377"/>
      <c r="N221" s="2377"/>
      <c r="O221" s="2377"/>
      <c r="P221" s="2377"/>
      <c r="Q221" s="2377"/>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5"/>
      <c r="B223" s="2398"/>
      <c r="C223" s="2377"/>
      <c r="D223" s="2377"/>
      <c r="E223" s="2377"/>
      <c r="F223" s="2377"/>
      <c r="G223" s="2377"/>
      <c r="H223" s="2377"/>
      <c r="I223" s="2377"/>
      <c r="J223" s="2377"/>
      <c r="K223" s="2377"/>
      <c r="L223" s="2377"/>
      <c r="M223" s="2377"/>
      <c r="Q223" s="2375"/>
    </row>
    <row r="224" spans="1:31" ht="14.1" customHeight="1">
      <c r="A224" s="2370" t="s">
        <v>1682</v>
      </c>
      <c r="B224" s="2370" t="s">
        <v>2586</v>
      </c>
      <c r="C224" s="113"/>
      <c r="D224" s="2377"/>
      <c r="E224" s="2377"/>
      <c r="F224" s="2377"/>
      <c r="G224" s="2377"/>
      <c r="H224" s="2377"/>
      <c r="I224" s="2377"/>
      <c r="J224" s="2377"/>
      <c r="K224" s="2377"/>
      <c r="L224" s="2377"/>
      <c r="M224" s="2377"/>
      <c r="O224" s="131" t="s">
        <v>1819</v>
      </c>
      <c r="P224" s="2721"/>
      <c r="Q224" s="2722"/>
    </row>
    <row r="225" spans="1:32" s="27" customFormat="1" ht="11.4" customHeight="1">
      <c r="B225" s="144" t="s">
        <v>1166</v>
      </c>
      <c r="N225" s="120"/>
      <c r="P225" s="2262" t="s">
        <v>2886</v>
      </c>
      <c r="Q225" s="516"/>
      <c r="AE225" s="116"/>
      <c r="AF225" s="116"/>
    </row>
    <row r="226" spans="1:32" ht="12" customHeight="1">
      <c r="A226" s="47" t="s">
        <v>1934</v>
      </c>
      <c r="B226" s="36" t="s">
        <v>4705</v>
      </c>
      <c r="D226" s="42"/>
      <c r="E226" s="42"/>
      <c r="F226" s="42"/>
      <c r="G226" s="42"/>
      <c r="H226" s="42"/>
      <c r="I226" s="42"/>
      <c r="J226" s="42"/>
      <c r="K226" s="42"/>
      <c r="L226" s="42"/>
      <c r="M226" s="42"/>
      <c r="O226" s="455" t="s">
        <v>1934</v>
      </c>
      <c r="P226" s="2262" t="s">
        <v>7019</v>
      </c>
      <c r="Q226" s="518"/>
    </row>
    <row r="227" spans="1:32" ht="11.4" customHeight="1">
      <c r="A227" s="47"/>
      <c r="B227" s="145" t="s">
        <v>1693</v>
      </c>
      <c r="C227" s="52" t="s">
        <v>1882</v>
      </c>
      <c r="E227" s="52"/>
      <c r="F227" s="52"/>
      <c r="G227" s="52"/>
      <c r="H227" s="52"/>
      <c r="I227" s="42"/>
      <c r="J227" s="65" t="s">
        <v>1454</v>
      </c>
      <c r="K227" s="2730" t="s">
        <v>7025</v>
      </c>
      <c r="L227" s="2731"/>
      <c r="Q227" s="519"/>
    </row>
    <row r="228" spans="1:32" ht="11.4" customHeight="1">
      <c r="A228" s="47"/>
      <c r="B228" s="145" t="s">
        <v>1694</v>
      </c>
      <c r="C228" s="856" t="s">
        <v>4243</v>
      </c>
      <c r="E228" s="856"/>
      <c r="F228" s="856"/>
      <c r="G228" s="856"/>
      <c r="H228" s="856"/>
      <c r="I228" s="42"/>
      <c r="J228" s="65" t="s">
        <v>1455</v>
      </c>
      <c r="K228" s="2732" t="s">
        <v>7111</v>
      </c>
      <c r="L228" s="2733"/>
      <c r="M228" s="2727" t="s">
        <v>2640</v>
      </c>
      <c r="N228" s="2728"/>
      <c r="O228" s="2728"/>
      <c r="P228" s="2729"/>
      <c r="Q228" s="519"/>
    </row>
    <row r="229" spans="1:32" ht="11.4" customHeight="1">
      <c r="A229" s="47"/>
      <c r="B229" s="40" t="s">
        <v>1695</v>
      </c>
      <c r="C229" s="856" t="s">
        <v>4246</v>
      </c>
      <c r="D229" s="147"/>
      <c r="E229" s="856"/>
      <c r="F229" s="856"/>
      <c r="G229" s="856"/>
      <c r="H229" s="856"/>
      <c r="I229" s="94"/>
      <c r="J229" s="455" t="s">
        <v>1456</v>
      </c>
      <c r="K229" s="2730" t="s">
        <v>7112</v>
      </c>
      <c r="L229" s="2797"/>
      <c r="M229" s="2797"/>
      <c r="N229" s="2731"/>
      <c r="O229" s="1409"/>
      <c r="P229" s="1107"/>
      <c r="Q229" s="519"/>
      <c r="R229" s="42"/>
    </row>
    <row r="230" spans="1:32" ht="11.4" customHeight="1">
      <c r="A230" s="47"/>
      <c r="B230" s="40" t="s">
        <v>2303</v>
      </c>
      <c r="C230" s="856" t="s">
        <v>4245</v>
      </c>
      <c r="D230" s="147"/>
      <c r="E230" s="856"/>
      <c r="F230" s="856"/>
      <c r="G230" s="856"/>
      <c r="H230" s="856"/>
      <c r="I230" s="94"/>
      <c r="J230" s="455" t="s">
        <v>4244</v>
      </c>
      <c r="K230" s="2714" t="s">
        <v>7026</v>
      </c>
      <c r="L230" s="2715"/>
      <c r="M230" s="2715"/>
      <c r="N230" s="2716"/>
      <c r="O230" s="127"/>
      <c r="P230" s="1408"/>
      <c r="Q230" s="520"/>
      <c r="R230" s="42"/>
    </row>
    <row r="231" spans="1:32" ht="11.25" customHeight="1">
      <c r="A231" s="47" t="s">
        <v>1936</v>
      </c>
      <c r="B231" s="52" t="s">
        <v>4706</v>
      </c>
      <c r="D231" s="52"/>
      <c r="E231" s="52"/>
      <c r="F231" s="52"/>
      <c r="G231" s="52"/>
      <c r="H231" s="52"/>
      <c r="I231" s="52"/>
      <c r="J231" s="52"/>
      <c r="K231" s="42"/>
      <c r="L231" s="42"/>
      <c r="M231" s="42"/>
      <c r="N231" s="42"/>
      <c r="O231" s="455" t="s">
        <v>1936</v>
      </c>
      <c r="P231" s="2262" t="s">
        <v>7019</v>
      </c>
      <c r="Q231" s="516"/>
    </row>
    <row r="232" spans="1:32" ht="11.1" customHeight="1">
      <c r="A232" s="47"/>
      <c r="B232" s="52" t="s">
        <v>4399</v>
      </c>
      <c r="D232" s="52"/>
      <c r="E232" s="52"/>
      <c r="F232" s="52"/>
      <c r="G232" s="52"/>
      <c r="H232" s="52"/>
      <c r="I232" s="52"/>
      <c r="J232" s="52"/>
      <c r="K232" s="42"/>
      <c r="L232" s="42"/>
      <c r="M232" s="42"/>
      <c r="N232" s="455" t="s">
        <v>3449</v>
      </c>
      <c r="O232" s="1495">
        <f>'Part VI-Revenues &amp; Expenses'!$P$67</f>
        <v>40</v>
      </c>
      <c r="P232" s="2868" t="s">
        <v>4401</v>
      </c>
      <c r="Q232" s="2869"/>
    </row>
    <row r="233" spans="1:32" ht="11.1" customHeight="1">
      <c r="A233" s="47"/>
      <c r="B233" s="145" t="s">
        <v>1693</v>
      </c>
      <c r="C233" s="52" t="s">
        <v>4402</v>
      </c>
      <c r="D233" s="52"/>
      <c r="E233" s="52"/>
      <c r="F233" s="52"/>
      <c r="H233" s="455" t="s">
        <v>4403</v>
      </c>
      <c r="I233" s="52" t="s">
        <v>4412</v>
      </c>
      <c r="M233" s="42"/>
      <c r="N233" s="42"/>
      <c r="O233" s="292"/>
      <c r="P233" s="1486" t="s">
        <v>754</v>
      </c>
      <c r="Q233" s="1487" t="s">
        <v>4400</v>
      </c>
    </row>
    <row r="234" spans="1:32" s="43" customFormat="1" ht="11.4" customHeight="1">
      <c r="A234" s="51"/>
      <c r="B234" s="455" t="s">
        <v>2064</v>
      </c>
      <c r="C234" s="2870" t="s">
        <v>4395</v>
      </c>
      <c r="D234" s="2871"/>
      <c r="E234" s="2871"/>
      <c r="F234" s="2871"/>
      <c r="G234" s="2872"/>
      <c r="H234" s="455" t="s">
        <v>2064</v>
      </c>
      <c r="I234" s="2873" t="s">
        <v>3825</v>
      </c>
      <c r="J234" s="2874"/>
      <c r="K234" s="2874"/>
      <c r="L234" s="2874"/>
      <c r="M234" s="2874"/>
      <c r="N234" s="2874"/>
      <c r="O234" s="2875"/>
      <c r="P234" s="518"/>
      <c r="Q234" s="4097"/>
      <c r="AE234" s="54"/>
      <c r="AF234" s="54"/>
    </row>
    <row r="235" spans="1:32" s="43" customFormat="1" ht="11.4" customHeight="1">
      <c r="A235" s="51"/>
      <c r="B235" s="455" t="s">
        <v>2065</v>
      </c>
      <c r="C235" s="2876" t="s">
        <v>1614</v>
      </c>
      <c r="D235" s="2877"/>
      <c r="E235" s="2877"/>
      <c r="F235" s="2877"/>
      <c r="G235" s="2878"/>
      <c r="H235" s="455" t="s">
        <v>2065</v>
      </c>
      <c r="I235" s="2740"/>
      <c r="J235" s="2741"/>
      <c r="K235" s="2741"/>
      <c r="L235" s="2741"/>
      <c r="M235" s="2741"/>
      <c r="N235" s="2741"/>
      <c r="O235" s="2742"/>
      <c r="P235" s="519"/>
      <c r="Q235" s="4098"/>
      <c r="AE235" s="54"/>
      <c r="AF235" s="54"/>
    </row>
    <row r="236" spans="1:32" s="43" customFormat="1" ht="11.4" customHeight="1">
      <c r="A236" s="51"/>
      <c r="B236" s="455" t="s">
        <v>1690</v>
      </c>
      <c r="C236" s="2876" t="s">
        <v>991</v>
      </c>
      <c r="D236" s="2877"/>
      <c r="E236" s="2877"/>
      <c r="F236" s="2877"/>
      <c r="G236" s="2878"/>
      <c r="H236" s="455" t="s">
        <v>1690</v>
      </c>
      <c r="I236" s="2740" t="s">
        <v>3825</v>
      </c>
      <c r="J236" s="2741"/>
      <c r="K236" s="2741"/>
      <c r="L236" s="2741"/>
      <c r="M236" s="2741"/>
      <c r="N236" s="2741"/>
      <c r="O236" s="2742"/>
      <c r="P236" s="519"/>
      <c r="Q236" s="4098"/>
      <c r="AE236" s="54"/>
      <c r="AF236" s="54"/>
    </row>
    <row r="237" spans="1:32" s="43" customFormat="1" ht="11.4" customHeight="1">
      <c r="A237" s="51"/>
      <c r="B237" s="455" t="s">
        <v>4411</v>
      </c>
      <c r="C237" s="2734" t="s">
        <v>991</v>
      </c>
      <c r="D237" s="2735"/>
      <c r="E237" s="2735"/>
      <c r="F237" s="2735"/>
      <c r="G237" s="2736"/>
      <c r="H237" s="455" t="s">
        <v>4411</v>
      </c>
      <c r="I237" s="2737"/>
      <c r="J237" s="2738"/>
      <c r="K237" s="2738"/>
      <c r="L237" s="2738"/>
      <c r="M237" s="2738"/>
      <c r="N237" s="2738"/>
      <c r="O237" s="2739"/>
      <c r="P237" s="520"/>
      <c r="Q237" s="4099"/>
      <c r="AE237" s="54"/>
      <c r="AF237" s="54"/>
    </row>
    <row r="238" spans="1:32" ht="12" customHeight="1">
      <c r="A238" s="47" t="s">
        <v>730</v>
      </c>
      <c r="B238" s="52" t="s">
        <v>1353</v>
      </c>
      <c r="C238" s="52"/>
      <c r="E238" s="52"/>
      <c r="F238" s="52"/>
      <c r="G238" s="52"/>
      <c r="H238" s="52"/>
      <c r="I238" s="52"/>
      <c r="J238" s="52"/>
      <c r="K238" s="42"/>
      <c r="L238" s="52"/>
      <c r="M238" s="52"/>
      <c r="O238" s="455" t="s">
        <v>730</v>
      </c>
      <c r="P238" s="2256" t="s">
        <v>7019</v>
      </c>
      <c r="Q238" s="518"/>
    </row>
    <row r="239" spans="1:32" ht="11.4" customHeight="1">
      <c r="A239" s="47"/>
      <c r="B239" s="145" t="s">
        <v>1693</v>
      </c>
      <c r="C239" s="52" t="s">
        <v>3345</v>
      </c>
      <c r="E239" s="52"/>
      <c r="F239" s="52"/>
      <c r="L239" s="33"/>
      <c r="M239" s="33"/>
      <c r="O239" s="65" t="s">
        <v>1693</v>
      </c>
      <c r="P239" s="2256" t="s">
        <v>2883</v>
      </c>
      <c r="Q239" s="519"/>
    </row>
    <row r="240" spans="1:32" ht="11.4" customHeight="1">
      <c r="B240" s="145" t="s">
        <v>1694</v>
      </c>
      <c r="C240" s="856" t="s">
        <v>2712</v>
      </c>
      <c r="E240" s="856"/>
      <c r="F240" s="856"/>
      <c r="L240" s="33"/>
      <c r="M240" s="33"/>
      <c r="O240" s="65" t="s">
        <v>1694</v>
      </c>
      <c r="P240" s="2256" t="s">
        <v>2883</v>
      </c>
      <c r="Q240" s="519"/>
    </row>
    <row r="241" spans="1:31" ht="11.4" customHeight="1">
      <c r="B241" s="145" t="s">
        <v>1695</v>
      </c>
      <c r="C241" s="856" t="s">
        <v>4560</v>
      </c>
      <c r="E241" s="856"/>
      <c r="F241" s="856"/>
      <c r="G241" s="856"/>
      <c r="H241" s="856"/>
      <c r="I241" s="42"/>
      <c r="J241" s="33"/>
      <c r="K241" s="42"/>
      <c r="L241" s="33"/>
      <c r="M241" s="33"/>
      <c r="O241" s="65" t="s">
        <v>1695</v>
      </c>
      <c r="P241" s="2256" t="s">
        <v>2883</v>
      </c>
      <c r="Q241" s="519"/>
    </row>
    <row r="242" spans="1:31" ht="11.4" customHeight="1">
      <c r="A242" s="47"/>
      <c r="B242" s="145" t="s">
        <v>2303</v>
      </c>
      <c r="C242" s="856" t="s">
        <v>2713</v>
      </c>
      <c r="E242" s="856"/>
      <c r="F242" s="856"/>
      <c r="G242" s="856"/>
      <c r="H242" s="856"/>
      <c r="I242" s="42"/>
      <c r="J242" s="33"/>
      <c r="K242" s="42"/>
      <c r="L242" s="33"/>
      <c r="M242" s="33"/>
      <c r="O242" s="65" t="s">
        <v>2303</v>
      </c>
      <c r="P242" s="2256" t="s">
        <v>2883</v>
      </c>
      <c r="Q242" s="519"/>
    </row>
    <row r="243" spans="1:31" ht="11.4" customHeight="1">
      <c r="A243" s="47"/>
      <c r="B243" s="145" t="s">
        <v>1515</v>
      </c>
      <c r="C243" s="856" t="s">
        <v>2714</v>
      </c>
      <c r="E243" s="856"/>
      <c r="F243" s="856"/>
      <c r="G243" s="856"/>
      <c r="H243" s="856"/>
      <c r="I243" s="42"/>
      <c r="J243" s="33"/>
      <c r="K243" s="42"/>
      <c r="L243" s="33"/>
      <c r="M243" s="33"/>
      <c r="O243" s="65" t="s">
        <v>1515</v>
      </c>
      <c r="P243" s="2256" t="s">
        <v>2883</v>
      </c>
      <c r="Q243" s="519"/>
    </row>
    <row r="244" spans="1:31" ht="11.4" customHeight="1">
      <c r="A244" s="47"/>
      <c r="B244" s="40" t="s">
        <v>1516</v>
      </c>
      <c r="C244" s="52" t="s">
        <v>4636</v>
      </c>
      <c r="E244" s="52"/>
      <c r="F244" s="52"/>
      <c r="G244" s="52"/>
      <c r="H244" s="52"/>
      <c r="I244" s="42"/>
      <c r="J244" s="33"/>
      <c r="K244" s="42"/>
      <c r="L244" s="33"/>
      <c r="M244" s="33"/>
      <c r="O244" s="455" t="s">
        <v>2704</v>
      </c>
      <c r="P244" s="2256" t="s">
        <v>2883</v>
      </c>
      <c r="Q244" s="519"/>
    </row>
    <row r="245" spans="1:31" ht="11.4" customHeight="1">
      <c r="A245" s="47"/>
      <c r="B245" s="65"/>
      <c r="C245" s="52" t="s">
        <v>1457</v>
      </c>
      <c r="E245" s="52"/>
      <c r="F245" s="52"/>
      <c r="G245" s="52"/>
      <c r="H245" s="52"/>
      <c r="I245" s="42"/>
      <c r="J245" s="33"/>
      <c r="K245" s="42"/>
      <c r="L245" s="33"/>
      <c r="M245" s="33"/>
      <c r="O245" s="455" t="s">
        <v>2705</v>
      </c>
      <c r="P245" s="2261" t="s">
        <v>2886</v>
      </c>
      <c r="Q245" s="520"/>
    </row>
    <row r="246" spans="1:31" ht="11.25" customHeight="1">
      <c r="A246" s="47" t="s">
        <v>2063</v>
      </c>
      <c r="B246" s="52" t="s">
        <v>4559</v>
      </c>
      <c r="C246" s="52"/>
      <c r="E246" s="52"/>
      <c r="F246" s="52"/>
      <c r="G246" s="52"/>
      <c r="H246" s="52"/>
      <c r="I246" s="52"/>
      <c r="J246" s="52"/>
      <c r="K246" s="42"/>
      <c r="M246" s="64"/>
      <c r="N246" s="1466" t="str">
        <f>'Part I-Project Information'!$H$82</f>
        <v>Family</v>
      </c>
      <c r="O246" s="455" t="s">
        <v>2063</v>
      </c>
      <c r="P246" s="2256" t="s">
        <v>947</v>
      </c>
      <c r="Q246" s="518"/>
    </row>
    <row r="247" spans="1:31" ht="11.4" customHeight="1">
      <c r="B247" s="145" t="s">
        <v>1693</v>
      </c>
      <c r="C247" s="39" t="s">
        <v>1228</v>
      </c>
      <c r="E247" s="42"/>
      <c r="F247" s="42"/>
      <c r="G247" s="39"/>
      <c r="H247" s="856"/>
      <c r="I247" s="42"/>
      <c r="J247" s="856"/>
      <c r="K247" s="42"/>
      <c r="L247" s="856"/>
      <c r="M247" s="856"/>
      <c r="O247" s="65" t="s">
        <v>1693</v>
      </c>
      <c r="P247" s="2265"/>
      <c r="Q247" s="519"/>
    </row>
    <row r="248" spans="1:31" ht="11.4" customHeight="1">
      <c r="B248" s="145" t="s">
        <v>1694</v>
      </c>
      <c r="C248" s="36" t="s">
        <v>4259</v>
      </c>
      <c r="E248" s="42"/>
      <c r="F248" s="42"/>
      <c r="G248" s="856"/>
      <c r="H248" s="856"/>
      <c r="I248" s="42"/>
      <c r="J248" s="856"/>
      <c r="K248" s="42"/>
      <c r="L248" s="856"/>
      <c r="M248" s="856"/>
      <c r="O248" s="65" t="s">
        <v>1694</v>
      </c>
      <c r="P248" s="2261"/>
      <c r="Q248" s="520"/>
    </row>
    <row r="249" spans="1:31" ht="11.25" customHeight="1">
      <c r="B249" s="140" t="s">
        <v>3563</v>
      </c>
      <c r="D249" s="140"/>
      <c r="E249" s="140"/>
      <c r="F249" s="140"/>
      <c r="G249" s="140"/>
      <c r="H249" s="40"/>
      <c r="I249" s="2398"/>
      <c r="J249" s="2398"/>
      <c r="K249" s="2398"/>
      <c r="L249" s="2375"/>
      <c r="M249" s="2375"/>
      <c r="N249" s="2375"/>
      <c r="O249" s="2375"/>
      <c r="P249" s="2375"/>
      <c r="Q249" s="855"/>
    </row>
    <row r="250" spans="1:31" ht="11.4" customHeight="1">
      <c r="A250" s="2710" t="s">
        <v>7027</v>
      </c>
      <c r="B250" s="2711"/>
      <c r="C250" s="2711"/>
      <c r="D250" s="2711"/>
      <c r="E250" s="2711"/>
      <c r="F250" s="2711"/>
      <c r="G250" s="2711"/>
      <c r="H250" s="2711"/>
      <c r="I250" s="2711"/>
      <c r="J250" s="2711"/>
      <c r="K250" s="2711"/>
      <c r="L250" s="2711"/>
      <c r="M250" s="2711"/>
      <c r="N250" s="2711"/>
      <c r="O250" s="2711"/>
      <c r="P250" s="2711"/>
      <c r="Q250" s="2712"/>
      <c r="R250" s="440" t="s">
        <v>1227</v>
      </c>
      <c r="S250" s="441"/>
      <c r="U250" s="135"/>
      <c r="V250" s="135"/>
      <c r="W250" s="135"/>
      <c r="X250" s="135"/>
      <c r="Y250" s="135"/>
      <c r="Z250" s="135"/>
      <c r="AA250" s="135"/>
      <c r="AB250" s="135"/>
      <c r="AC250" s="135"/>
      <c r="AD250" s="135"/>
      <c r="AE250" s="457"/>
    </row>
    <row r="251" spans="1:31" ht="11.25" customHeight="1">
      <c r="B251" s="136" t="s">
        <v>1818</v>
      </c>
      <c r="C251" s="137"/>
      <c r="D251" s="2377"/>
      <c r="E251" s="2377"/>
      <c r="F251" s="2377"/>
      <c r="G251" s="2377"/>
      <c r="H251" s="2377"/>
      <c r="I251" s="2377"/>
      <c r="J251" s="2377"/>
      <c r="K251" s="2377"/>
      <c r="L251" s="2377"/>
      <c r="M251" s="2377"/>
      <c r="N251" s="2377"/>
      <c r="O251" s="2377"/>
      <c r="P251" s="2377"/>
      <c r="Q251" s="2377"/>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5"/>
      <c r="B253" s="2398"/>
      <c r="C253" s="2377"/>
      <c r="D253" s="2377"/>
      <c r="E253" s="2377"/>
      <c r="F253" s="2377"/>
      <c r="G253" s="2377"/>
      <c r="H253" s="2377"/>
      <c r="I253" s="2377"/>
      <c r="J253" s="2377"/>
      <c r="K253" s="2377"/>
      <c r="L253" s="2377"/>
      <c r="M253" s="2377"/>
      <c r="Q253" s="2375"/>
    </row>
    <row r="254" spans="1:31" ht="14.1" customHeight="1">
      <c r="A254" s="2370" t="s">
        <v>2689</v>
      </c>
      <c r="B254" s="4" t="s">
        <v>4561</v>
      </c>
      <c r="C254" s="4"/>
      <c r="D254" s="86"/>
      <c r="E254" s="86"/>
      <c r="F254" s="86"/>
      <c r="G254" s="86"/>
      <c r="H254" s="2377"/>
      <c r="I254" s="2377"/>
      <c r="J254" s="2377"/>
      <c r="K254" s="2377"/>
      <c r="L254" s="1536"/>
      <c r="M254" s="1537"/>
      <c r="O254" s="131" t="s">
        <v>1819</v>
      </c>
      <c r="P254" s="2721"/>
      <c r="Q254" s="2722"/>
    </row>
    <row r="255" spans="1:31" ht="11.4" customHeight="1">
      <c r="A255" s="47" t="s">
        <v>1934</v>
      </c>
      <c r="B255" s="52" t="s">
        <v>1241</v>
      </c>
      <c r="D255" s="42"/>
      <c r="E255" s="52"/>
      <c r="F255" s="52"/>
      <c r="J255" s="455" t="s">
        <v>1934</v>
      </c>
      <c r="K255" s="2698" t="s">
        <v>7113</v>
      </c>
      <c r="L255" s="2699"/>
      <c r="M255" s="2699"/>
      <c r="N255" s="2699"/>
      <c r="O255" s="2700"/>
      <c r="P255" s="4100" t="s">
        <v>1726</v>
      </c>
      <c r="Q255" s="4101"/>
    </row>
    <row r="256" spans="1:31" ht="11.4" customHeight="1">
      <c r="A256" s="47" t="s">
        <v>1936</v>
      </c>
      <c r="B256" s="52" t="s">
        <v>2715</v>
      </c>
      <c r="D256" s="52"/>
      <c r="E256" s="52"/>
      <c r="F256" s="52"/>
      <c r="J256" s="455" t="s">
        <v>1936</v>
      </c>
      <c r="K256" s="2901">
        <v>43993</v>
      </c>
      <c r="L256" s="2902"/>
      <c r="M256" s="2902"/>
      <c r="N256" s="2902"/>
      <c r="O256" s="2903"/>
      <c r="P256" s="4102"/>
      <c r="Q256" s="4103"/>
    </row>
    <row r="257" spans="1:32" s="147" customFormat="1" ht="11.4" customHeight="1">
      <c r="A257" s="47"/>
      <c r="B257" s="52" t="s">
        <v>1896</v>
      </c>
      <c r="D257" s="52"/>
      <c r="E257" s="52"/>
      <c r="F257" s="52"/>
      <c r="K257" s="2714" t="s">
        <v>7114</v>
      </c>
      <c r="L257" s="2715"/>
      <c r="M257" s="2715"/>
      <c r="N257" s="2715"/>
      <c r="O257" s="2716"/>
      <c r="P257" s="4104"/>
      <c r="Q257" s="4105"/>
      <c r="AE257" s="459"/>
      <c r="AF257" s="459"/>
    </row>
    <row r="258" spans="1:32" s="147" customFormat="1" ht="11.4" customHeight="1">
      <c r="A258" s="47"/>
      <c r="B258" s="52" t="s">
        <v>2475</v>
      </c>
      <c r="D258" s="52"/>
      <c r="E258" s="52"/>
      <c r="F258" s="52"/>
      <c r="G258" s="52"/>
      <c r="H258" s="52"/>
      <c r="I258" s="94"/>
      <c r="J258" s="94"/>
      <c r="M258" s="36"/>
      <c r="N258" s="979"/>
      <c r="O258" s="455"/>
      <c r="P258" s="2265" t="s">
        <v>2883</v>
      </c>
      <c r="Q258" s="519"/>
      <c r="AE258" s="459"/>
      <c r="AF258" s="459"/>
    </row>
    <row r="259" spans="1:32" s="147" customFormat="1" ht="11.4" customHeight="1">
      <c r="A259" s="47" t="s">
        <v>730</v>
      </c>
      <c r="B259" s="52" t="s">
        <v>4352</v>
      </c>
      <c r="D259" s="52"/>
      <c r="E259" s="52"/>
      <c r="F259" s="52"/>
      <c r="J259" s="455" t="s">
        <v>730</v>
      </c>
      <c r="K259" s="2898">
        <v>43992</v>
      </c>
      <c r="L259" s="2899"/>
      <c r="M259" s="2899"/>
      <c r="N259" s="2899"/>
      <c r="O259" s="2900"/>
      <c r="P259" s="4106"/>
      <c r="Q259" s="4107"/>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2268">
        <v>0.25</v>
      </c>
      <c r="M261" s="36"/>
      <c r="N261" s="979"/>
      <c r="O261" s="979"/>
      <c r="P261" s="2266" t="s">
        <v>2883</v>
      </c>
      <c r="Q261" s="518"/>
      <c r="AE261" s="459"/>
      <c r="AF261" s="459"/>
    </row>
    <row r="262" spans="1:32" s="147" customFormat="1" ht="11.4" customHeight="1">
      <c r="A262" s="47"/>
      <c r="B262" s="52"/>
      <c r="C262" s="55" t="s">
        <v>4484</v>
      </c>
      <c r="D262" s="52"/>
      <c r="E262" s="52"/>
      <c r="F262" s="52"/>
      <c r="K262" s="455" t="s">
        <v>4263</v>
      </c>
      <c r="L262" s="2269"/>
      <c r="M262" s="36"/>
      <c r="N262" s="979"/>
      <c r="O262" s="979"/>
      <c r="P262" s="2261"/>
      <c r="Q262" s="520"/>
      <c r="AE262" s="459"/>
      <c r="AF262" s="459"/>
    </row>
    <row r="263" spans="1:32" s="147" customFormat="1" ht="11.4" customHeight="1">
      <c r="A263" s="47"/>
      <c r="B263" s="52" t="s">
        <v>4260</v>
      </c>
      <c r="D263" s="52"/>
      <c r="E263" s="52"/>
      <c r="F263" s="52"/>
      <c r="K263" s="2698" t="s">
        <v>7115</v>
      </c>
      <c r="L263" s="2699"/>
      <c r="M263" s="2699"/>
      <c r="N263" s="2699"/>
      <c r="O263" s="2700"/>
      <c r="P263" s="4108"/>
      <c r="Q263" s="4109"/>
      <c r="AE263" s="459"/>
      <c r="AF263" s="459"/>
    </row>
    <row r="264" spans="1:32" s="147" customFormat="1" ht="11.4" customHeight="1">
      <c r="A264" s="47" t="s">
        <v>2063</v>
      </c>
      <c r="B264" s="52" t="s">
        <v>3672</v>
      </c>
      <c r="D264" s="52"/>
      <c r="E264" s="52"/>
      <c r="F264" s="52"/>
      <c r="G264" s="52"/>
      <c r="H264" s="52"/>
      <c r="I264" s="94"/>
      <c r="J264" s="94"/>
      <c r="K264" s="94"/>
      <c r="M264" s="36"/>
      <c r="N264" s="979"/>
      <c r="O264" s="455" t="s">
        <v>2063</v>
      </c>
      <c r="P264" s="2266" t="s">
        <v>2883</v>
      </c>
      <c r="Q264" s="518"/>
      <c r="AE264" s="459"/>
      <c r="AF264" s="459"/>
    </row>
    <row r="265" spans="1:32" s="147" customFormat="1" ht="11.4" customHeight="1">
      <c r="A265" s="47"/>
      <c r="B265" s="2713" t="s">
        <v>3569</v>
      </c>
      <c r="C265" s="2713"/>
      <c r="D265" s="2713"/>
      <c r="E265" s="2713"/>
      <c r="F265" s="2713"/>
      <c r="G265" s="2713"/>
      <c r="H265" s="427" t="s">
        <v>3794</v>
      </c>
      <c r="K265" s="94"/>
      <c r="M265" s="36"/>
      <c r="N265" s="979"/>
      <c r="O265" s="65" t="s">
        <v>1693</v>
      </c>
      <c r="P265" s="2265" t="s">
        <v>2883</v>
      </c>
      <c r="Q265" s="519"/>
      <c r="AE265" s="459"/>
      <c r="AF265" s="459"/>
    </row>
    <row r="266" spans="1:32" s="147" customFormat="1" ht="11.4" customHeight="1">
      <c r="A266" s="47"/>
      <c r="B266" s="2713"/>
      <c r="C266" s="2713"/>
      <c r="D266" s="2713"/>
      <c r="E266" s="2713"/>
      <c r="F266" s="2713"/>
      <c r="G266" s="2713"/>
      <c r="H266" s="55" t="s">
        <v>3795</v>
      </c>
      <c r="K266" s="94"/>
      <c r="M266" s="36"/>
      <c r="N266" s="979"/>
      <c r="O266" s="65" t="s">
        <v>1694</v>
      </c>
      <c r="P266" s="2265" t="s">
        <v>2883</v>
      </c>
      <c r="Q266" s="519"/>
      <c r="AE266" s="459"/>
      <c r="AF266" s="459"/>
    </row>
    <row r="267" spans="1:32" s="147" customFormat="1" ht="11.4" customHeight="1">
      <c r="A267" s="47"/>
      <c r="B267" s="52"/>
      <c r="D267" s="52"/>
      <c r="E267" s="52"/>
      <c r="F267" s="52"/>
      <c r="G267" s="52"/>
      <c r="H267" s="55" t="s">
        <v>3796</v>
      </c>
      <c r="K267" s="94"/>
      <c r="M267" s="36"/>
      <c r="N267" s="979"/>
      <c r="O267" s="65" t="s">
        <v>1695</v>
      </c>
      <c r="P267" s="2265" t="s">
        <v>2883</v>
      </c>
      <c r="Q267" s="519"/>
      <c r="AE267" s="459"/>
      <c r="AF267" s="459"/>
    </row>
    <row r="268" spans="1:32" s="147" customFormat="1" ht="11.4" customHeight="1">
      <c r="A268" s="47"/>
      <c r="B268" s="52"/>
      <c r="D268" s="52"/>
      <c r="E268" s="52"/>
      <c r="F268" s="52"/>
      <c r="G268" s="52"/>
      <c r="H268" s="55" t="s">
        <v>3797</v>
      </c>
      <c r="K268" s="94"/>
      <c r="M268" s="36"/>
      <c r="N268" s="979"/>
      <c r="O268" s="455" t="s">
        <v>2303</v>
      </c>
      <c r="P268" s="2265" t="s">
        <v>2883</v>
      </c>
      <c r="Q268" s="519"/>
      <c r="AE268" s="459"/>
      <c r="AF268" s="459"/>
    </row>
    <row r="269" spans="1:32" s="147" customFormat="1" ht="21.75" customHeight="1">
      <c r="B269" s="2713" t="s">
        <v>4707</v>
      </c>
      <c r="C269" s="2713"/>
      <c r="D269" s="2713"/>
      <c r="E269" s="2713"/>
      <c r="F269" s="2713"/>
      <c r="G269" s="2713"/>
      <c r="H269" s="2713"/>
      <c r="I269" s="2713"/>
      <c r="J269" s="2713"/>
      <c r="K269" s="2713"/>
      <c r="L269" s="2713"/>
      <c r="M269" s="2713"/>
      <c r="N269" s="2713"/>
      <c r="O269" s="160" t="s">
        <v>1515</v>
      </c>
      <c r="P269" s="2388" t="s">
        <v>7019</v>
      </c>
      <c r="Q269" s="2253"/>
      <c r="T269" s="459"/>
      <c r="AE269" s="459"/>
      <c r="AF269" s="459"/>
    </row>
    <row r="270" spans="1:32" ht="11.25" customHeight="1">
      <c r="B270" s="140" t="s">
        <v>3563</v>
      </c>
      <c r="D270" s="140"/>
      <c r="E270" s="140"/>
      <c r="F270" s="140"/>
      <c r="G270" s="140"/>
      <c r="H270" s="40"/>
      <c r="I270" s="2398"/>
      <c r="J270" s="2398"/>
      <c r="K270" s="2398"/>
      <c r="L270" s="2375"/>
      <c r="M270" s="2375"/>
      <c r="N270" s="2375"/>
      <c r="O270" s="2375"/>
      <c r="P270" s="2375"/>
      <c r="Q270" s="855"/>
    </row>
    <row r="271" spans="1:32" ht="22.5" customHeight="1">
      <c r="A271" s="2710" t="s">
        <v>7116</v>
      </c>
      <c r="B271" s="2711"/>
      <c r="C271" s="2711"/>
      <c r="D271" s="2711"/>
      <c r="E271" s="2711"/>
      <c r="F271" s="2711"/>
      <c r="G271" s="2711"/>
      <c r="H271" s="2711"/>
      <c r="I271" s="2711"/>
      <c r="J271" s="2711"/>
      <c r="K271" s="2711"/>
      <c r="L271" s="2711"/>
      <c r="M271" s="2711"/>
      <c r="N271" s="2711"/>
      <c r="O271" s="2711"/>
      <c r="P271" s="2711"/>
      <c r="Q271" s="2712"/>
      <c r="R271" s="440" t="s">
        <v>1227</v>
      </c>
      <c r="S271" s="441"/>
      <c r="U271" s="135"/>
      <c r="V271" s="135"/>
      <c r="W271" s="135"/>
      <c r="X271" s="135"/>
      <c r="Y271" s="135"/>
      <c r="Z271" s="135"/>
      <c r="AA271" s="135"/>
      <c r="AB271" s="135"/>
      <c r="AC271" s="135"/>
      <c r="AD271" s="135"/>
      <c r="AE271" s="457"/>
    </row>
    <row r="272" spans="1:32" ht="11.1" customHeight="1">
      <c r="B272" s="136" t="s">
        <v>1818</v>
      </c>
      <c r="C272" s="137"/>
      <c r="D272" s="2377"/>
      <c r="E272" s="2377"/>
      <c r="F272" s="2377"/>
      <c r="G272" s="2377"/>
      <c r="H272" s="2377"/>
      <c r="I272" s="2377"/>
      <c r="J272" s="2377"/>
      <c r="K272" s="2377"/>
      <c r="L272" s="2377"/>
      <c r="M272" s="2377"/>
      <c r="N272" s="2377"/>
      <c r="O272" s="2377"/>
      <c r="P272" s="2377"/>
      <c r="Q272" s="2377"/>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5"/>
      <c r="B274" s="2398"/>
      <c r="C274" s="2377"/>
      <c r="D274" s="2377"/>
      <c r="E274" s="2377"/>
      <c r="F274" s="2377"/>
      <c r="G274" s="2377"/>
      <c r="H274" s="2377"/>
      <c r="I274" s="2377"/>
      <c r="J274" s="2377"/>
      <c r="K274" s="2377"/>
      <c r="L274" s="2377"/>
      <c r="M274" s="2377"/>
      <c r="Q274" s="2375"/>
    </row>
    <row r="275" spans="1:32" ht="14.1" customHeight="1">
      <c r="A275" s="2370" t="s">
        <v>2192</v>
      </c>
      <c r="B275" s="4" t="s">
        <v>2587</v>
      </c>
      <c r="C275" s="4"/>
      <c r="D275" s="86"/>
      <c r="E275" s="86"/>
      <c r="F275" s="86"/>
      <c r="G275" s="86"/>
      <c r="H275" s="2377"/>
      <c r="I275" s="2377"/>
      <c r="J275" s="2377"/>
      <c r="K275" s="2377"/>
      <c r="L275" s="2377"/>
      <c r="M275" s="2377"/>
      <c r="O275" s="131" t="s">
        <v>1819</v>
      </c>
      <c r="P275" s="2721"/>
      <c r="Q275" s="2722"/>
    </row>
    <row r="276" spans="1:32" s="411" customFormat="1" ht="21.75" customHeight="1">
      <c r="A276" s="141" t="s">
        <v>1934</v>
      </c>
      <c r="B276" s="2377" t="s">
        <v>1693</v>
      </c>
      <c r="C276" s="2713" t="s">
        <v>4708</v>
      </c>
      <c r="D276" s="2713"/>
      <c r="E276" s="2713"/>
      <c r="F276" s="2713"/>
      <c r="G276" s="2713"/>
      <c r="H276" s="2713"/>
      <c r="I276" s="2713"/>
      <c r="J276" s="2713"/>
      <c r="K276" s="2713"/>
      <c r="L276" s="2713"/>
      <c r="M276" s="2713"/>
      <c r="N276" s="2713"/>
      <c r="O276" s="1725" t="s">
        <v>1454</v>
      </c>
      <c r="P276" s="2389" t="s">
        <v>2883</v>
      </c>
      <c r="Q276" s="1088"/>
      <c r="AE276" s="460"/>
      <c r="AF276" s="460"/>
    </row>
    <row r="277" spans="1:32" s="147" customFormat="1" ht="11.4" customHeight="1">
      <c r="A277" s="47"/>
      <c r="B277" s="2377" t="s">
        <v>1694</v>
      </c>
      <c r="C277" s="52" t="s">
        <v>3566</v>
      </c>
      <c r="D277" s="52"/>
      <c r="E277" s="52"/>
      <c r="F277" s="52"/>
      <c r="G277" s="52"/>
      <c r="H277" s="52"/>
      <c r="I277" s="52"/>
      <c r="J277" s="52"/>
      <c r="K277" s="52"/>
      <c r="L277" s="52"/>
      <c r="M277" s="52"/>
      <c r="O277" s="1725" t="s">
        <v>1694</v>
      </c>
      <c r="P277" s="2261" t="s">
        <v>2883</v>
      </c>
      <c r="Q277" s="520"/>
      <c r="AE277" s="459"/>
      <c r="AF277" s="459"/>
    </row>
    <row r="278" spans="1:32" s="147" customFormat="1" ht="11.4" customHeight="1">
      <c r="A278" s="47" t="s">
        <v>1936</v>
      </c>
      <c r="B278" s="52" t="s">
        <v>3567</v>
      </c>
      <c r="D278" s="52"/>
      <c r="E278" s="52"/>
      <c r="F278" s="52"/>
      <c r="G278" s="52"/>
      <c r="H278" s="52"/>
      <c r="I278" s="52"/>
      <c r="J278" s="52"/>
      <c r="K278" s="52"/>
      <c r="L278" s="52"/>
      <c r="M278" s="52"/>
      <c r="O278" s="455" t="s">
        <v>1936</v>
      </c>
      <c r="P278" s="2261" t="s">
        <v>2883</v>
      </c>
      <c r="Q278" s="520"/>
      <c r="AE278" s="459"/>
      <c r="AF278" s="459"/>
    </row>
    <row r="279" spans="1:32" s="411" customFormat="1" ht="24" customHeight="1">
      <c r="A279" s="141" t="s">
        <v>730</v>
      </c>
      <c r="B279" s="2377" t="s">
        <v>1693</v>
      </c>
      <c r="C279" s="2713" t="s">
        <v>4744</v>
      </c>
      <c r="D279" s="2713"/>
      <c r="E279" s="2713"/>
      <c r="F279" s="2713"/>
      <c r="G279" s="2713"/>
      <c r="H279" s="2713"/>
      <c r="I279" s="2713"/>
      <c r="J279" s="2713"/>
      <c r="K279" s="2713"/>
      <c r="L279" s="2713"/>
      <c r="M279" s="2713"/>
      <c r="N279" s="2713"/>
      <c r="O279" s="1725" t="s">
        <v>4745</v>
      </c>
      <c r="P279" s="2256" t="s">
        <v>2883</v>
      </c>
      <c r="Q279" s="1088"/>
      <c r="AE279" s="460"/>
      <c r="AF279" s="460"/>
    </row>
    <row r="280" spans="1:32" s="147" customFormat="1" ht="11.4" customHeight="1">
      <c r="A280" s="47"/>
      <c r="B280" s="2377" t="s">
        <v>1694</v>
      </c>
      <c r="C280" s="52" t="s">
        <v>3568</v>
      </c>
      <c r="D280" s="52"/>
      <c r="E280" s="52"/>
      <c r="F280" s="52"/>
      <c r="G280" s="52"/>
      <c r="H280" s="52"/>
      <c r="I280" s="52"/>
      <c r="J280" s="52"/>
      <c r="K280" s="52"/>
      <c r="L280" s="52"/>
      <c r="M280" s="52"/>
      <c r="O280" s="1725" t="s">
        <v>1694</v>
      </c>
      <c r="P280" s="2261" t="s">
        <v>2883</v>
      </c>
      <c r="Q280" s="520"/>
      <c r="AE280" s="459"/>
      <c r="AF280" s="459"/>
    </row>
    <row r="281" spans="1:32" s="147" customFormat="1" ht="22.5" customHeight="1">
      <c r="A281" s="141" t="s">
        <v>2063</v>
      </c>
      <c r="B281" s="2713" t="s">
        <v>4746</v>
      </c>
      <c r="C281" s="2713"/>
      <c r="D281" s="2713"/>
      <c r="E281" s="2713"/>
      <c r="F281" s="2713"/>
      <c r="G281" s="2713"/>
      <c r="H281" s="2713"/>
      <c r="I281" s="2713"/>
      <c r="J281" s="2713"/>
      <c r="K281" s="2713"/>
      <c r="L281" s="2713"/>
      <c r="M281" s="2713"/>
      <c r="N281" s="2713"/>
      <c r="O281" s="455" t="s">
        <v>2063</v>
      </c>
      <c r="P281" s="2388" t="s">
        <v>2883</v>
      </c>
      <c r="Q281" s="2253"/>
      <c r="AE281" s="459"/>
      <c r="AF281" s="459"/>
    </row>
    <row r="282" spans="1:32" ht="11.25" customHeight="1">
      <c r="B282" s="140" t="s">
        <v>3563</v>
      </c>
      <c r="D282" s="140"/>
      <c r="E282" s="140"/>
      <c r="F282" s="140"/>
      <c r="G282" s="140"/>
      <c r="H282" s="40"/>
      <c r="I282" s="2398"/>
      <c r="J282" s="2398"/>
      <c r="K282" s="2398"/>
      <c r="L282" s="2375"/>
      <c r="M282" s="2375"/>
      <c r="N282" s="2375"/>
      <c r="O282" s="2375"/>
      <c r="P282" s="2375"/>
      <c r="Q282" s="855"/>
    </row>
    <row r="283" spans="1:32" ht="13.35" customHeight="1">
      <c r="A283" s="2710" t="s">
        <v>7028</v>
      </c>
      <c r="B283" s="2711"/>
      <c r="C283" s="2711"/>
      <c r="D283" s="2711"/>
      <c r="E283" s="2711"/>
      <c r="F283" s="2711"/>
      <c r="G283" s="2711"/>
      <c r="H283" s="2711"/>
      <c r="I283" s="2711"/>
      <c r="J283" s="2711"/>
      <c r="K283" s="2711"/>
      <c r="L283" s="2711"/>
      <c r="M283" s="2711"/>
      <c r="N283" s="2711"/>
      <c r="O283" s="2711"/>
      <c r="P283" s="2711"/>
      <c r="Q283" s="2712"/>
      <c r="R283" s="440" t="s">
        <v>1227</v>
      </c>
      <c r="S283" s="441"/>
      <c r="U283" s="135"/>
      <c r="V283" s="135"/>
      <c r="W283" s="135"/>
      <c r="X283" s="135"/>
      <c r="Y283" s="135"/>
      <c r="Z283" s="135"/>
      <c r="AA283" s="135"/>
      <c r="AB283" s="135"/>
      <c r="AC283" s="135"/>
      <c r="AD283" s="135"/>
      <c r="AE283" s="457"/>
    </row>
    <row r="284" spans="1:32" ht="11.25" customHeight="1">
      <c r="B284" s="136" t="s">
        <v>1818</v>
      </c>
      <c r="C284" s="137"/>
      <c r="D284" s="2377"/>
      <c r="E284" s="2377"/>
      <c r="F284" s="2377"/>
      <c r="G284" s="2377"/>
      <c r="H284" s="2377"/>
      <c r="I284" s="2377"/>
      <c r="J284" s="2377"/>
      <c r="K284" s="2377"/>
      <c r="L284" s="2377"/>
      <c r="M284" s="2377"/>
      <c r="N284" s="2377"/>
      <c r="O284" s="2377"/>
      <c r="P284" s="2377"/>
      <c r="Q284" s="2377"/>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0" t="s">
        <v>3782</v>
      </c>
      <c r="B287" s="2370" t="s">
        <v>2588</v>
      </c>
      <c r="C287" s="2370"/>
      <c r="D287" s="2377"/>
      <c r="E287" s="2377"/>
      <c r="F287" s="2377"/>
      <c r="G287" s="2377"/>
      <c r="H287" s="2377"/>
      <c r="I287" s="2377"/>
      <c r="J287" s="2377"/>
      <c r="K287" s="2377"/>
      <c r="L287" s="2377"/>
      <c r="M287" s="2377"/>
      <c r="O287" s="131" t="s">
        <v>1819</v>
      </c>
      <c r="P287" s="2721"/>
      <c r="Q287" s="2722"/>
    </row>
    <row r="288" spans="1:32" s="411" customFormat="1" ht="33.75" customHeight="1">
      <c r="A288" s="141" t="s">
        <v>1934</v>
      </c>
      <c r="B288" s="857" t="s">
        <v>1693</v>
      </c>
      <c r="C288" s="2713" t="s">
        <v>4391</v>
      </c>
      <c r="D288" s="2713"/>
      <c r="E288" s="2713"/>
      <c r="F288" s="2713"/>
      <c r="G288" s="2713"/>
      <c r="H288" s="2713"/>
      <c r="I288" s="2713"/>
      <c r="J288" s="2713"/>
      <c r="K288" s="2713"/>
      <c r="L288" s="2713"/>
      <c r="M288" s="2713"/>
      <c r="N288" s="2713"/>
      <c r="O288" s="160" t="s">
        <v>1934</v>
      </c>
      <c r="P288" s="2389" t="s">
        <v>7019</v>
      </c>
      <c r="Q288" s="1088"/>
      <c r="AE288" s="460"/>
      <c r="AF288" s="460"/>
    </row>
    <row r="289" spans="1:32" s="411" customFormat="1" ht="21.75" customHeight="1">
      <c r="A289" s="141"/>
      <c r="B289" s="857" t="s">
        <v>1694</v>
      </c>
      <c r="C289" s="2713" t="s">
        <v>2716</v>
      </c>
      <c r="D289" s="2713"/>
      <c r="E289" s="2713"/>
      <c r="F289" s="2713"/>
      <c r="G289" s="2713"/>
      <c r="H289" s="2713"/>
      <c r="I289" s="2713"/>
      <c r="J289" s="2713"/>
      <c r="K289" s="2713"/>
      <c r="L289" s="2713"/>
      <c r="M289" s="2713"/>
      <c r="N289" s="2713"/>
      <c r="O289" s="160"/>
      <c r="P289" s="2388" t="s">
        <v>7019</v>
      </c>
      <c r="Q289" s="2253"/>
      <c r="AE289" s="460"/>
      <c r="AF289" s="460"/>
    </row>
    <row r="290" spans="1:32" s="27" customFormat="1" ht="11.4" customHeight="1">
      <c r="A290" s="138" t="s">
        <v>1936</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1936</v>
      </c>
      <c r="P291" s="2270" t="s">
        <v>7019</v>
      </c>
      <c r="Q291" s="1089"/>
      <c r="R291" s="455"/>
    </row>
    <row r="292" spans="1:32" s="102" customFormat="1" ht="11.4" customHeight="1">
      <c r="A292" s="42"/>
      <c r="B292" s="140" t="s">
        <v>3563</v>
      </c>
      <c r="C292" s="42"/>
      <c r="D292" s="48"/>
      <c r="E292" s="48"/>
      <c r="F292" s="48"/>
      <c r="G292" s="48"/>
      <c r="K292" s="36"/>
      <c r="M292" s="46"/>
      <c r="N292" s="6"/>
      <c r="O292" s="3"/>
      <c r="P292" s="2374"/>
    </row>
    <row r="293" spans="1:32" s="43" customFormat="1" ht="15.75" customHeight="1">
      <c r="A293" s="2710" t="s">
        <v>7117</v>
      </c>
      <c r="B293" s="2711"/>
      <c r="C293" s="2711"/>
      <c r="D293" s="2711"/>
      <c r="E293" s="2711"/>
      <c r="F293" s="2711"/>
      <c r="G293" s="2711"/>
      <c r="H293" s="2711"/>
      <c r="I293" s="2711"/>
      <c r="J293" s="2711"/>
      <c r="K293" s="2711"/>
      <c r="L293" s="2711"/>
      <c r="M293" s="2711"/>
      <c r="N293" s="2711"/>
      <c r="O293" s="2711"/>
      <c r="P293" s="2711"/>
      <c r="Q293" s="2712"/>
      <c r="R293" s="440" t="s">
        <v>1227</v>
      </c>
    </row>
    <row r="294" spans="1:32" s="43" customFormat="1" ht="11.25" customHeight="1">
      <c r="A294" s="35"/>
      <c r="B294" s="136" t="s">
        <v>1818</v>
      </c>
      <c r="C294" s="137"/>
      <c r="D294" s="2377"/>
      <c r="E294" s="2377"/>
      <c r="F294" s="2377"/>
      <c r="G294" s="2377"/>
      <c r="H294" s="2377"/>
      <c r="I294" s="2377"/>
      <c r="J294" s="2377"/>
      <c r="K294" s="2377"/>
      <c r="L294" s="2377"/>
      <c r="M294" s="2377"/>
      <c r="N294" s="2377"/>
      <c r="O294" s="2377"/>
      <c r="P294" s="2377"/>
      <c r="Q294" s="2377"/>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6"/>
      <c r="P296" s="3"/>
    </row>
    <row r="297" spans="1:32" ht="14.1" customHeight="1">
      <c r="A297" s="2370" t="s">
        <v>3783</v>
      </c>
      <c r="B297" s="2370" t="s">
        <v>2589</v>
      </c>
      <c r="C297" s="2372"/>
      <c r="D297" s="2382"/>
      <c r="E297" s="2377"/>
      <c r="F297" s="2377"/>
      <c r="G297" s="2377"/>
      <c r="H297" s="2377"/>
      <c r="I297" s="2377"/>
      <c r="J297" s="2377"/>
      <c r="K297" s="2377"/>
      <c r="L297" s="2377"/>
      <c r="M297" s="2377"/>
      <c r="O297" s="131" t="s">
        <v>1819</v>
      </c>
      <c r="P297" s="2721"/>
      <c r="Q297" s="2722"/>
    </row>
    <row r="298" spans="1:32" ht="12.75" customHeight="1">
      <c r="A298" s="138" t="s">
        <v>1934</v>
      </c>
      <c r="B298" s="179" t="s">
        <v>3798</v>
      </c>
    </row>
    <row r="299" spans="1:32" s="147" customFormat="1" ht="44.25" customHeight="1">
      <c r="A299" s="141"/>
      <c r="B299" s="1488" t="s">
        <v>1693</v>
      </c>
      <c r="C299" s="2713" t="s">
        <v>3674</v>
      </c>
      <c r="D299" s="2713"/>
      <c r="E299" s="2713"/>
      <c r="F299" s="2713"/>
      <c r="G299" s="2713"/>
      <c r="H299" s="2713"/>
      <c r="I299" s="2713"/>
      <c r="J299" s="2713"/>
      <c r="K299" s="2713"/>
      <c r="L299" s="2713"/>
      <c r="M299" s="2713"/>
      <c r="N299" s="2713"/>
      <c r="O299" s="160" t="s">
        <v>2641</v>
      </c>
      <c r="P299" s="2389" t="s">
        <v>2883</v>
      </c>
      <c r="Q299" s="1088"/>
      <c r="AE299" s="459"/>
      <c r="AF299" s="459"/>
    </row>
    <row r="300" spans="1:32" s="411" customFormat="1" ht="12" customHeight="1">
      <c r="A300" s="141"/>
      <c r="B300" s="1488" t="s">
        <v>1694</v>
      </c>
      <c r="C300" s="2713" t="s">
        <v>4743</v>
      </c>
      <c r="D300" s="2713"/>
      <c r="E300" s="2713"/>
      <c r="F300" s="2713"/>
      <c r="G300" s="2713"/>
      <c r="H300" s="2713"/>
      <c r="I300" s="2713"/>
      <c r="J300" s="2713"/>
      <c r="K300" s="2713"/>
      <c r="L300" s="2713"/>
      <c r="M300" s="2713"/>
      <c r="N300" s="2713"/>
      <c r="O300" s="148" t="s">
        <v>1694</v>
      </c>
      <c r="P300" s="2380" t="s">
        <v>2883</v>
      </c>
      <c r="Q300" s="2379"/>
      <c r="AE300" s="460"/>
      <c r="AF300" s="460"/>
    </row>
    <row r="301" spans="1:32" s="411" customFormat="1" ht="21.75" customHeight="1">
      <c r="A301" s="141"/>
      <c r="B301" s="468" t="s">
        <v>1695</v>
      </c>
      <c r="C301" s="2713" t="s">
        <v>3673</v>
      </c>
      <c r="D301" s="2713"/>
      <c r="E301" s="2713"/>
      <c r="F301" s="2713"/>
      <c r="G301" s="2713"/>
      <c r="H301" s="2713"/>
      <c r="I301" s="2713"/>
      <c r="J301" s="2713"/>
      <c r="K301" s="2713"/>
      <c r="L301" s="2713"/>
      <c r="M301" s="2713"/>
      <c r="N301" s="2713"/>
      <c r="O301" s="160" t="s">
        <v>1695</v>
      </c>
      <c r="P301" s="2388"/>
      <c r="Q301" s="2253"/>
      <c r="AE301" s="460"/>
      <c r="AF301" s="460"/>
    </row>
    <row r="302" spans="1:32" s="94" customFormat="1" ht="12.75" customHeight="1">
      <c r="A302" s="138" t="s">
        <v>1936</v>
      </c>
      <c r="B302" s="179" t="s">
        <v>3649</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1693</v>
      </c>
      <c r="C303" s="2713" t="s">
        <v>3560</v>
      </c>
      <c r="D303" s="2713"/>
      <c r="E303" s="2713"/>
      <c r="F303" s="2713"/>
      <c r="G303" s="2713"/>
      <c r="H303" s="2713"/>
      <c r="I303" s="139"/>
      <c r="J303" s="2743" t="s">
        <v>3599</v>
      </c>
      <c r="K303" s="2904"/>
      <c r="L303" s="2904"/>
      <c r="M303" s="2891" t="s">
        <v>3571</v>
      </c>
      <c r="N303" s="2891"/>
      <c r="AE303" s="461"/>
      <c r="AF303" s="461"/>
    </row>
    <row r="304" spans="1:32" s="293" customFormat="1" ht="10.5" customHeight="1">
      <c r="A304" s="304"/>
      <c r="B304" s="2344"/>
      <c r="C304" s="2713"/>
      <c r="D304" s="2713"/>
      <c r="E304" s="2713"/>
      <c r="F304" s="2713"/>
      <c r="G304" s="2713"/>
      <c r="H304" s="2713"/>
      <c r="I304" s="2355"/>
      <c r="J304" s="2904"/>
      <c r="K304" s="2904"/>
      <c r="L304" s="2904"/>
      <c r="M304" s="36" t="s">
        <v>3572</v>
      </c>
      <c r="N304" s="2398" t="s">
        <v>3598</v>
      </c>
      <c r="P304" s="302"/>
    </row>
    <row r="305" spans="1:33" s="293" customFormat="1" ht="13.35" customHeight="1">
      <c r="A305" s="304"/>
      <c r="B305" s="2344"/>
      <c r="C305" s="2713"/>
      <c r="D305" s="2713"/>
      <c r="E305" s="2713"/>
      <c r="F305" s="2713"/>
      <c r="G305" s="2713"/>
      <c r="H305" s="2713"/>
      <c r="I305" s="52" t="s">
        <v>3799</v>
      </c>
      <c r="K305" s="2271">
        <v>3</v>
      </c>
      <c r="L305" s="974" t="str">
        <f>IF(K305&lt;M305,"Check!!!","")</f>
        <v/>
      </c>
      <c r="M305" s="975">
        <f>ROUNDUP('Part VI-Revenues &amp; Expenses'!$P$67*'Part VIII-Threshold Criteria'!N305,0)</f>
        <v>2</v>
      </c>
      <c r="N305" s="1465">
        <f>'DCA Underwriting Assumptions'!$Q$154</f>
        <v>0.05</v>
      </c>
      <c r="O305" s="455" t="s">
        <v>3468</v>
      </c>
      <c r="P305" s="2256"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3561</v>
      </c>
      <c r="D306" s="2713"/>
      <c r="E306" s="2713"/>
      <c r="F306" s="2713"/>
      <c r="G306" s="2713"/>
      <c r="H306" s="2713"/>
      <c r="I306" s="843" t="s">
        <v>3800</v>
      </c>
      <c r="J306" s="293"/>
      <c r="K306" s="2271">
        <v>3</v>
      </c>
      <c r="L306" s="974" t="str">
        <f>IF(K306&lt;M306,"Check!!!","")</f>
        <v/>
      </c>
      <c r="M306" s="975">
        <f>ROUNDUP(K305*'Part VIII-Threshold Criteria'!N306,0)</f>
        <v>2</v>
      </c>
      <c r="N306" s="1465">
        <f>'DCA Underwriting Assumptions'!$Q$155</f>
        <v>0.4</v>
      </c>
      <c r="O306" s="455" t="s">
        <v>2065</v>
      </c>
      <c r="P306" s="2756" t="s">
        <v>2883</v>
      </c>
      <c r="Q306" s="2905"/>
      <c r="T306" s="139"/>
      <c r="U306" s="139"/>
      <c r="V306" s="139"/>
      <c r="W306" s="139"/>
      <c r="X306" s="139"/>
      <c r="Y306" s="139"/>
      <c r="Z306" s="139"/>
      <c r="AA306" s="139"/>
      <c r="AB306" s="139"/>
      <c r="AC306" s="139"/>
      <c r="AD306" s="139"/>
      <c r="AE306" s="139"/>
      <c r="AF306" s="139"/>
      <c r="AG306" s="139"/>
    </row>
    <row r="307" spans="1:33" s="293" customFormat="1" ht="10.5" customHeight="1">
      <c r="A307" s="304"/>
      <c r="B307" s="2344"/>
      <c r="C307" s="2713"/>
      <c r="D307" s="2713"/>
      <c r="E307" s="2713"/>
      <c r="F307" s="2713"/>
      <c r="G307" s="2713"/>
      <c r="H307" s="2713"/>
      <c r="O307" s="40"/>
      <c r="P307" s="2756"/>
      <c r="Q307" s="2905"/>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1694</v>
      </c>
      <c r="C308" s="2713" t="s">
        <v>3562</v>
      </c>
      <c r="D308" s="2713"/>
      <c r="E308" s="2713"/>
      <c r="F308" s="2713"/>
      <c r="G308" s="2713"/>
      <c r="H308" s="2713"/>
      <c r="I308" s="52" t="s">
        <v>3801</v>
      </c>
      <c r="J308" s="293"/>
      <c r="K308" s="2271">
        <v>1</v>
      </c>
      <c r="L308" s="974" t="str">
        <f>IF(K308&lt;M308,"Check!!!","")</f>
        <v/>
      </c>
      <c r="M308" s="975">
        <f>ROUNDUP('Part VI-Revenues &amp; Expenses'!$P$67*'Part VIII-Threshold Criteria'!N308,0)</f>
        <v>1</v>
      </c>
      <c r="N308" s="1465">
        <f>'DCA Underwriting Assumptions'!$Q$156</f>
        <v>0.02</v>
      </c>
      <c r="O308" s="455" t="s">
        <v>1694</v>
      </c>
      <c r="P308" s="2256"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730</v>
      </c>
      <c r="B311" s="179" t="s">
        <v>3650</v>
      </c>
      <c r="D311" s="2377"/>
      <c r="E311" s="2377"/>
      <c r="F311" s="2377"/>
      <c r="G311" s="2377"/>
      <c r="H311" s="2377"/>
      <c r="O311" s="40"/>
      <c r="P311" s="455"/>
      <c r="V311" s="36"/>
      <c r="W311" s="843"/>
      <c r="X311" s="36"/>
      <c r="Z311" s="974"/>
      <c r="AA311" s="974"/>
      <c r="AB311" s="974"/>
      <c r="AC311" s="974"/>
      <c r="AD311" s="974"/>
      <c r="AE311" s="974"/>
      <c r="AF311" s="974"/>
      <c r="AG311" s="974"/>
    </row>
    <row r="312" spans="1:33" s="94" customFormat="1" ht="21.75" customHeight="1">
      <c r="B312" s="2723" t="s">
        <v>3470</v>
      </c>
      <c r="C312" s="2723"/>
      <c r="D312" s="2723"/>
      <c r="E312" s="2723"/>
      <c r="F312" s="2723"/>
      <c r="G312" s="2723"/>
      <c r="H312" s="2723"/>
      <c r="I312" s="2723"/>
      <c r="J312" s="2723"/>
      <c r="K312" s="2723"/>
      <c r="L312" s="2723"/>
      <c r="M312" s="2723"/>
      <c r="N312" s="2723"/>
      <c r="O312" s="160" t="s">
        <v>730</v>
      </c>
      <c r="P312" s="2270" t="s">
        <v>2883</v>
      </c>
      <c r="Q312" s="1089"/>
      <c r="AE312" s="461"/>
      <c r="AF312" s="461"/>
    </row>
    <row r="313" spans="1:33" s="94" customFormat="1" ht="11.25" customHeight="1">
      <c r="B313" s="389" t="s">
        <v>3471</v>
      </c>
      <c r="D313" s="389"/>
      <c r="E313" s="389"/>
      <c r="F313" s="389"/>
      <c r="G313" s="389"/>
      <c r="H313" s="389"/>
      <c r="I313" s="389" t="s">
        <v>3570</v>
      </c>
      <c r="J313" s="389"/>
      <c r="K313" s="389"/>
      <c r="L313" s="2893" t="s">
        <v>7029</v>
      </c>
      <c r="M313" s="2894"/>
      <c r="N313" s="2894"/>
      <c r="O313" s="2895"/>
      <c r="P313" s="389"/>
      <c r="Q313" s="389"/>
      <c r="R313" s="389"/>
      <c r="AE313" s="461"/>
      <c r="AF313" s="461"/>
    </row>
    <row r="314" spans="1:33" s="411" customFormat="1" ht="44.25" customHeight="1">
      <c r="B314" s="1488" t="s">
        <v>1693</v>
      </c>
      <c r="C314" s="2713" t="s">
        <v>3469</v>
      </c>
      <c r="D314" s="2713"/>
      <c r="E314" s="2713"/>
      <c r="F314" s="2713"/>
      <c r="G314" s="2713"/>
      <c r="H314" s="2713"/>
      <c r="I314" s="2713"/>
      <c r="J314" s="2713"/>
      <c r="K314" s="2713"/>
      <c r="L314" s="2713"/>
      <c r="M314" s="2713"/>
      <c r="N314" s="2713"/>
      <c r="O314" s="160" t="s">
        <v>3474</v>
      </c>
      <c r="P314" s="2389" t="s">
        <v>2883</v>
      </c>
      <c r="Q314" s="1088"/>
      <c r="AE314" s="460"/>
      <c r="AF314" s="460"/>
    </row>
    <row r="315" spans="1:33" s="411" customFormat="1" ht="34.5" customHeight="1">
      <c r="B315" s="1488" t="s">
        <v>1694</v>
      </c>
      <c r="C315" s="2713" t="s">
        <v>4353</v>
      </c>
      <c r="D315" s="2713"/>
      <c r="E315" s="2713"/>
      <c r="F315" s="2713"/>
      <c r="G315" s="2713"/>
      <c r="H315" s="2713"/>
      <c r="I315" s="2713"/>
      <c r="J315" s="2713"/>
      <c r="K315" s="2713"/>
      <c r="L315" s="2713"/>
      <c r="M315" s="2713"/>
      <c r="N315" s="2713"/>
      <c r="O315" s="160" t="s">
        <v>3475</v>
      </c>
      <c r="P315" s="2389" t="s">
        <v>2883</v>
      </c>
      <c r="Q315" s="2379"/>
      <c r="AE315" s="460"/>
      <c r="AF315" s="460"/>
    </row>
    <row r="316" spans="1:33" s="411" customFormat="1" ht="22.5" customHeight="1">
      <c r="B316" s="468" t="s">
        <v>1695</v>
      </c>
      <c r="C316" s="2713" t="s">
        <v>3472</v>
      </c>
      <c r="D316" s="2713"/>
      <c r="E316" s="2713"/>
      <c r="F316" s="2713"/>
      <c r="G316" s="2713"/>
      <c r="H316" s="2713"/>
      <c r="I316" s="2713"/>
      <c r="J316" s="2713"/>
      <c r="K316" s="2713"/>
      <c r="L316" s="2713"/>
      <c r="M316" s="2713"/>
      <c r="N316" s="2713"/>
      <c r="O316" s="160" t="s">
        <v>3476</v>
      </c>
      <c r="P316" s="2389" t="s">
        <v>2883</v>
      </c>
      <c r="Q316" s="2379"/>
      <c r="AE316" s="460"/>
      <c r="AF316" s="460"/>
    </row>
    <row r="317" spans="1:33" s="411" customFormat="1" ht="32.25" customHeight="1">
      <c r="B317" s="468" t="s">
        <v>2303</v>
      </c>
      <c r="C317" s="2713" t="s">
        <v>3473</v>
      </c>
      <c r="D317" s="2713"/>
      <c r="E317" s="2713"/>
      <c r="F317" s="2713"/>
      <c r="G317" s="2713"/>
      <c r="H317" s="2713"/>
      <c r="I317" s="2713"/>
      <c r="J317" s="2713"/>
      <c r="K317" s="2713"/>
      <c r="L317" s="2713"/>
      <c r="M317" s="2713"/>
      <c r="N317" s="2713"/>
      <c r="O317" s="160" t="s">
        <v>3477</v>
      </c>
      <c r="P317" s="2389" t="s">
        <v>2883</v>
      </c>
      <c r="Q317" s="2253"/>
      <c r="AE317" s="460"/>
      <c r="AF317" s="460"/>
    </row>
    <row r="318" spans="1:33" ht="11.25" customHeight="1">
      <c r="B318" s="140" t="s">
        <v>3563</v>
      </c>
      <c r="D318" s="140"/>
      <c r="E318" s="140"/>
      <c r="F318" s="140"/>
      <c r="G318" s="140"/>
      <c r="H318" s="40"/>
      <c r="I318" s="2398"/>
      <c r="J318" s="2398"/>
      <c r="K318" s="2398"/>
      <c r="L318" s="2375"/>
      <c r="M318" s="2375"/>
      <c r="N318" s="2375"/>
      <c r="O318" s="2375"/>
      <c r="P318" s="2375"/>
      <c r="Q318" s="855"/>
    </row>
    <row r="319" spans="1:33" ht="22.5" customHeight="1">
      <c r="A319" s="2707" t="s">
        <v>7118</v>
      </c>
      <c r="B319" s="2708"/>
      <c r="C319" s="2708"/>
      <c r="D319" s="2708"/>
      <c r="E319" s="2708"/>
      <c r="F319" s="2708"/>
      <c r="G319" s="2708"/>
      <c r="H319" s="2708"/>
      <c r="I319" s="2708"/>
      <c r="J319" s="2708"/>
      <c r="K319" s="2708"/>
      <c r="L319" s="2708"/>
      <c r="M319" s="2708"/>
      <c r="N319" s="2708"/>
      <c r="O319" s="2708"/>
      <c r="P319" s="2708"/>
      <c r="Q319" s="2709"/>
      <c r="R319" s="440" t="s">
        <v>1227</v>
      </c>
      <c r="S319" s="441"/>
      <c r="U319" s="135"/>
      <c r="V319" s="135"/>
      <c r="W319" s="135"/>
      <c r="X319" s="135"/>
      <c r="Y319" s="135"/>
      <c r="Z319" s="135"/>
      <c r="AA319" s="135"/>
      <c r="AB319" s="135"/>
      <c r="AC319" s="135"/>
      <c r="AD319" s="135"/>
      <c r="AE319" s="457"/>
    </row>
    <row r="320" spans="1:33" ht="11.25" customHeight="1">
      <c r="B320" s="136" t="s">
        <v>1818</v>
      </c>
      <c r="C320" s="137"/>
      <c r="D320" s="2377"/>
      <c r="E320" s="2377"/>
      <c r="F320" s="2377"/>
      <c r="G320" s="2377"/>
      <c r="H320" s="2377"/>
      <c r="I320" s="2377"/>
      <c r="J320" s="2377"/>
      <c r="K320" s="2377"/>
      <c r="L320" s="2377"/>
      <c r="M320" s="2377"/>
      <c r="N320" s="2377"/>
      <c r="O320" s="2377"/>
      <c r="P320" s="2377"/>
      <c r="Q320" s="2377"/>
    </row>
    <row r="321" spans="1:256 1523:1523" ht="45.75" customHeight="1">
      <c r="A321" s="2879"/>
      <c r="B321" s="2880"/>
      <c r="C321" s="2880"/>
      <c r="D321" s="2880"/>
      <c r="E321" s="2880"/>
      <c r="F321" s="2880"/>
      <c r="G321" s="2880"/>
      <c r="H321" s="2880"/>
      <c r="I321" s="2880"/>
      <c r="J321" s="2880"/>
      <c r="K321" s="2880"/>
      <c r="L321" s="2880"/>
      <c r="M321" s="2880"/>
      <c r="N321" s="2880"/>
      <c r="O321" s="2880"/>
      <c r="P321" s="2880"/>
      <c r="Q321" s="2881"/>
    </row>
    <row r="322" spans="1:256 1523:1523" ht="14.1" customHeight="1">
      <c r="A322" s="2370" t="s">
        <v>3781</v>
      </c>
      <c r="B322" s="10" t="s">
        <v>2590</v>
      </c>
      <c r="C322" s="10"/>
      <c r="D322" s="10"/>
      <c r="E322" s="10"/>
      <c r="F322" s="10"/>
      <c r="G322" s="10"/>
      <c r="H322" s="2377"/>
      <c r="I322" s="2377"/>
      <c r="J322" s="2377"/>
      <c r="K322" s="2377"/>
      <c r="L322" s="2377"/>
      <c r="M322" s="2377"/>
      <c r="O322" s="131" t="s">
        <v>1819</v>
      </c>
      <c r="P322" s="2882"/>
      <c r="Q322" s="2883"/>
    </row>
    <row r="323" spans="1:256 1523:1523" ht="11.4" customHeight="1">
      <c r="B323" s="144" t="s">
        <v>2193</v>
      </c>
      <c r="P323" s="2256" t="s">
        <v>2886</v>
      </c>
      <c r="Q323" s="518"/>
    </row>
    <row r="324" spans="1:256 1523:1523" ht="12" customHeight="1">
      <c r="B324" s="842" t="s">
        <v>2153</v>
      </c>
      <c r="C324" s="842"/>
      <c r="D324" s="842"/>
      <c r="E324" s="842"/>
      <c r="F324" s="842"/>
      <c r="G324" s="842"/>
      <c r="H324" s="842"/>
      <c r="I324" s="842"/>
      <c r="J324" s="842"/>
      <c r="K324" s="842"/>
      <c r="L324" s="842"/>
      <c r="P324" s="2261" t="s">
        <v>2883</v>
      </c>
      <c r="Q324" s="520"/>
    </row>
    <row r="325" spans="1:256 1523:1523" ht="11.4" customHeight="1">
      <c r="A325" s="141" t="s">
        <v>1934</v>
      </c>
      <c r="B325" s="180" t="s">
        <v>450</v>
      </c>
      <c r="D325" s="856"/>
      <c r="E325" s="856"/>
      <c r="F325" s="856"/>
      <c r="G325" s="856"/>
      <c r="H325" s="856"/>
      <c r="I325" s="856"/>
      <c r="J325" s="856"/>
      <c r="K325" s="856"/>
      <c r="L325" s="856"/>
      <c r="M325" s="856"/>
      <c r="N325" s="160"/>
    </row>
    <row r="326" spans="1:256 1523:1523" ht="22.5" customHeight="1">
      <c r="B326" s="2713" t="s">
        <v>2778</v>
      </c>
      <c r="C326" s="2713"/>
      <c r="D326" s="2713"/>
      <c r="E326" s="2713"/>
      <c r="F326" s="2713"/>
      <c r="G326" s="2713"/>
      <c r="H326" s="2713"/>
      <c r="I326" s="2713"/>
      <c r="J326" s="2713"/>
      <c r="K326" s="2713"/>
      <c r="L326" s="2713"/>
      <c r="M326" s="2713"/>
      <c r="N326" s="2713"/>
      <c r="O326" s="160" t="s">
        <v>1934</v>
      </c>
      <c r="P326" s="2272" t="s">
        <v>2883</v>
      </c>
      <c r="Q326" s="4110"/>
    </row>
    <row r="327" spans="1:256 1523:1523" ht="12.6" customHeight="1">
      <c r="A327" s="141" t="s">
        <v>1936</v>
      </c>
      <c r="B327" s="213" t="s">
        <v>451</v>
      </c>
      <c r="D327" s="213"/>
      <c r="E327" s="213"/>
      <c r="F327" s="213"/>
      <c r="G327" s="213"/>
      <c r="H327" s="213"/>
      <c r="I327" s="213"/>
      <c r="J327" s="213"/>
      <c r="K327" s="213"/>
      <c r="L327" s="213"/>
      <c r="M327" s="213"/>
      <c r="O327" s="160" t="s">
        <v>1936</v>
      </c>
      <c r="P327" s="2375"/>
      <c r="Q327" s="855"/>
    </row>
    <row r="328" spans="1:256 1523:1523" ht="36" customHeight="1">
      <c r="B328" s="842" t="s">
        <v>1693</v>
      </c>
      <c r="C328" s="139" t="s">
        <v>1108</v>
      </c>
      <c r="E328" s="132"/>
      <c r="F328" s="132"/>
      <c r="G328" s="2924" t="s">
        <v>4361</v>
      </c>
      <c r="H328" s="2925"/>
      <c r="I328" s="2925"/>
      <c r="J328" s="2925"/>
      <c r="K328" s="2925"/>
      <c r="L328" s="2925"/>
      <c r="M328" s="2925"/>
      <c r="N328" s="2926"/>
      <c r="O328" s="215" t="s">
        <v>1693</v>
      </c>
      <c r="P328" s="2389" t="s">
        <v>2883</v>
      </c>
      <c r="Q328" s="1088"/>
      <c r="BFO328" s="147" t="s">
        <v>2642</v>
      </c>
    </row>
    <row r="329" spans="1:256 1523:1523" ht="23.25" customHeight="1">
      <c r="B329" s="842" t="s">
        <v>1694</v>
      </c>
      <c r="C329" s="2713" t="s">
        <v>1109</v>
      </c>
      <c r="D329" s="2713"/>
      <c r="E329" s="2713"/>
      <c r="F329" s="2884"/>
      <c r="G329" s="2737" t="s">
        <v>2576</v>
      </c>
      <c r="H329" s="2896"/>
      <c r="I329" s="2896"/>
      <c r="J329" s="2896"/>
      <c r="K329" s="2896"/>
      <c r="L329" s="2896"/>
      <c r="M329" s="2896"/>
      <c r="N329" s="2897"/>
      <c r="O329" s="215" t="s">
        <v>1694</v>
      </c>
      <c r="P329" s="2388" t="s">
        <v>2883</v>
      </c>
      <c r="Q329" s="2253"/>
    </row>
    <row r="330" spans="1:256 1523:1523" ht="3" customHeight="1">
      <c r="A330" s="2375"/>
      <c r="B330" s="1106"/>
      <c r="C330" s="2375"/>
      <c r="D330" s="2375"/>
      <c r="E330" s="2375"/>
      <c r="F330" s="2375"/>
      <c r="G330" s="2375"/>
      <c r="H330" s="2375"/>
      <c r="I330" s="2375"/>
      <c r="J330" s="2375"/>
      <c r="K330" s="2375"/>
      <c r="L330" s="2375"/>
      <c r="M330" s="2375"/>
      <c r="N330" s="2375"/>
      <c r="O330" s="2375"/>
      <c r="P330" s="2375"/>
      <c r="Q330" s="2375"/>
      <c r="R330" s="2375"/>
      <c r="S330" s="2375"/>
      <c r="T330" s="2375"/>
      <c r="U330" s="2375"/>
      <c r="V330" s="2375"/>
      <c r="W330" s="2375"/>
      <c r="X330" s="2375"/>
      <c r="Y330" s="2375"/>
      <c r="Z330" s="2375"/>
      <c r="AA330" s="2375"/>
      <c r="AB330" s="2375"/>
      <c r="AC330" s="2375"/>
      <c r="AD330" s="2375"/>
      <c r="AE330" s="855"/>
      <c r="AF330" s="855"/>
      <c r="AG330" s="2375"/>
      <c r="AH330" s="2375"/>
      <c r="AI330" s="2375"/>
      <c r="AJ330" s="2375"/>
      <c r="AK330" s="2375"/>
      <c r="AL330" s="2375"/>
      <c r="AM330" s="2375"/>
      <c r="AN330" s="2375"/>
      <c r="AO330" s="2375"/>
      <c r="AP330" s="2375"/>
      <c r="AQ330" s="2375"/>
      <c r="AR330" s="2375"/>
      <c r="AS330" s="2375"/>
      <c r="AT330" s="2375"/>
      <c r="AU330" s="2375"/>
      <c r="AV330" s="2375"/>
      <c r="AW330" s="2375"/>
      <c r="AX330" s="2375"/>
      <c r="AY330" s="2375"/>
      <c r="AZ330" s="2375"/>
      <c r="BA330" s="2375"/>
      <c r="BB330" s="2375"/>
      <c r="BC330" s="2375"/>
      <c r="BD330" s="2375"/>
      <c r="BE330" s="2375"/>
      <c r="BF330" s="2375"/>
      <c r="BG330" s="2375"/>
      <c r="BH330" s="2375"/>
      <c r="BI330" s="2375"/>
      <c r="BJ330" s="2375"/>
      <c r="BK330" s="2375"/>
      <c r="BL330" s="2375"/>
      <c r="BM330" s="2375"/>
      <c r="BN330" s="2375"/>
      <c r="BO330" s="2375"/>
      <c r="BP330" s="2375"/>
      <c r="BQ330" s="2375"/>
      <c r="BR330" s="2375"/>
      <c r="BS330" s="2375"/>
      <c r="BT330" s="2375"/>
      <c r="BU330" s="2375"/>
      <c r="BV330" s="2375"/>
      <c r="BW330" s="2375"/>
      <c r="BX330" s="2375"/>
      <c r="BY330" s="2375"/>
      <c r="BZ330" s="2375"/>
      <c r="CA330" s="2375"/>
      <c r="CB330" s="2375"/>
      <c r="CC330" s="2375"/>
      <c r="CD330" s="2375"/>
      <c r="CE330" s="2375"/>
      <c r="CF330" s="2375"/>
      <c r="CG330" s="2375"/>
      <c r="CH330" s="2375"/>
      <c r="CI330" s="2375"/>
      <c r="CJ330" s="2375"/>
      <c r="CK330" s="2375"/>
      <c r="CL330" s="2375"/>
      <c r="CM330" s="2375"/>
      <c r="CN330" s="2375"/>
      <c r="CO330" s="2375"/>
      <c r="CP330" s="2375"/>
      <c r="CQ330" s="2375"/>
      <c r="CR330" s="2375"/>
      <c r="CS330" s="2375"/>
      <c r="CT330" s="2375"/>
      <c r="CU330" s="2375"/>
      <c r="CV330" s="2375"/>
      <c r="CW330" s="2375"/>
      <c r="CX330" s="2375"/>
      <c r="CY330" s="2375"/>
      <c r="CZ330" s="2375"/>
      <c r="DA330" s="2375"/>
      <c r="DB330" s="2375"/>
      <c r="DC330" s="2375"/>
      <c r="DD330" s="2375"/>
      <c r="DE330" s="2375"/>
      <c r="DF330" s="2375"/>
      <c r="DG330" s="2375"/>
      <c r="DH330" s="2375"/>
      <c r="DI330" s="2375"/>
      <c r="DJ330" s="2375"/>
      <c r="DK330" s="2375"/>
      <c r="DL330" s="2375"/>
      <c r="DM330" s="2375"/>
      <c r="DN330" s="2375"/>
      <c r="DO330" s="2375"/>
      <c r="DP330" s="2375"/>
      <c r="DQ330" s="2375"/>
      <c r="DR330" s="2375"/>
      <c r="DS330" s="2375"/>
      <c r="DT330" s="2375"/>
      <c r="DU330" s="2375"/>
      <c r="DV330" s="2375"/>
      <c r="DW330" s="2375"/>
      <c r="DX330" s="2375"/>
      <c r="DY330" s="2375"/>
      <c r="DZ330" s="2375"/>
      <c r="EA330" s="2375"/>
      <c r="EB330" s="2375"/>
      <c r="EC330" s="2375"/>
      <c r="ED330" s="2375"/>
      <c r="EE330" s="2375"/>
      <c r="EF330" s="2375"/>
      <c r="EG330" s="2375"/>
      <c r="EH330" s="2375"/>
      <c r="EI330" s="2375"/>
      <c r="EJ330" s="2375"/>
      <c r="EK330" s="2375"/>
      <c r="EL330" s="2375"/>
      <c r="EM330" s="2375"/>
      <c r="EN330" s="2375"/>
      <c r="EO330" s="2375"/>
      <c r="EP330" s="2375"/>
      <c r="EQ330" s="2375"/>
      <c r="ER330" s="2375"/>
      <c r="ES330" s="2375"/>
      <c r="ET330" s="2375"/>
      <c r="EU330" s="2375"/>
      <c r="EV330" s="2375"/>
      <c r="EW330" s="2375"/>
      <c r="EX330" s="2375"/>
      <c r="EY330" s="2375"/>
      <c r="EZ330" s="2375"/>
      <c r="FA330" s="2375"/>
      <c r="FB330" s="2375"/>
      <c r="FC330" s="2375"/>
      <c r="FD330" s="2375"/>
      <c r="FE330" s="2375"/>
      <c r="FF330" s="2375"/>
      <c r="FG330" s="2375"/>
      <c r="FH330" s="2375"/>
      <c r="FI330" s="2375"/>
      <c r="FJ330" s="2375"/>
      <c r="FK330" s="2375"/>
      <c r="FL330" s="2375"/>
      <c r="FM330" s="2375"/>
      <c r="FN330" s="2375"/>
      <c r="FO330" s="2375"/>
      <c r="FP330" s="2375"/>
      <c r="FQ330" s="2375"/>
      <c r="FR330" s="2375"/>
      <c r="FS330" s="2375"/>
      <c r="FT330" s="2375"/>
      <c r="FU330" s="2375"/>
      <c r="FV330" s="2375"/>
      <c r="FW330" s="2375"/>
      <c r="FX330" s="2375"/>
      <c r="FY330" s="2375"/>
      <c r="FZ330" s="2375"/>
      <c r="GA330" s="2375"/>
      <c r="GB330" s="2375"/>
      <c r="GC330" s="2375"/>
      <c r="GD330" s="2375"/>
      <c r="GE330" s="2375"/>
      <c r="GF330" s="2375"/>
      <c r="GG330" s="2375"/>
      <c r="GH330" s="2375"/>
      <c r="GI330" s="2375"/>
      <c r="GJ330" s="2375"/>
      <c r="GK330" s="2375"/>
      <c r="GL330" s="2375"/>
      <c r="GM330" s="2375"/>
      <c r="GN330" s="2375"/>
      <c r="GO330" s="2375"/>
      <c r="GP330" s="2375"/>
      <c r="GQ330" s="2375"/>
      <c r="GR330" s="2375"/>
      <c r="GS330" s="2375"/>
      <c r="GT330" s="2375"/>
      <c r="GU330" s="2375"/>
      <c r="GV330" s="2375"/>
      <c r="GW330" s="2375"/>
      <c r="GX330" s="2375"/>
      <c r="GY330" s="2375"/>
      <c r="GZ330" s="2375"/>
      <c r="HA330" s="2375"/>
      <c r="HB330" s="2375"/>
      <c r="HC330" s="2375"/>
      <c r="HD330" s="2375"/>
      <c r="HE330" s="2375"/>
      <c r="HF330" s="2375"/>
      <c r="HG330" s="2375"/>
      <c r="HH330" s="2375"/>
      <c r="HI330" s="2375"/>
      <c r="HJ330" s="2375"/>
      <c r="HK330" s="2375"/>
      <c r="HL330" s="2375"/>
      <c r="HM330" s="2375"/>
      <c r="HN330" s="2375"/>
      <c r="HO330" s="2375"/>
      <c r="HP330" s="2375"/>
      <c r="HQ330" s="2375"/>
      <c r="HR330" s="2375"/>
      <c r="HS330" s="2375"/>
      <c r="HT330" s="2375"/>
      <c r="HU330" s="2375"/>
      <c r="HV330" s="2375"/>
      <c r="HW330" s="2375"/>
      <c r="HX330" s="2375"/>
      <c r="HY330" s="2375"/>
      <c r="HZ330" s="2375"/>
      <c r="IA330" s="2375"/>
      <c r="IB330" s="2375"/>
      <c r="IC330" s="2375"/>
      <c r="ID330" s="2375"/>
      <c r="IE330" s="2375"/>
      <c r="IF330" s="2375"/>
      <c r="IG330" s="2375"/>
      <c r="IH330" s="2375"/>
      <c r="II330" s="2375"/>
      <c r="IJ330" s="2375"/>
      <c r="IK330" s="2375"/>
      <c r="IL330" s="2375"/>
      <c r="IM330" s="2375"/>
      <c r="IN330" s="2375"/>
      <c r="IO330" s="2375"/>
      <c r="IP330" s="2375"/>
      <c r="IQ330" s="2375"/>
      <c r="IR330" s="2375"/>
      <c r="IS330" s="2375"/>
      <c r="IT330" s="2375"/>
      <c r="IU330" s="2375"/>
      <c r="IV330" s="2375"/>
    </row>
    <row r="331" spans="1:256 1523:1523" s="132" customFormat="1" ht="22.5" customHeight="1">
      <c r="A331" s="141" t="s">
        <v>730</v>
      </c>
      <c r="B331" s="2765" t="s">
        <v>2594</v>
      </c>
      <c r="C331" s="2765"/>
      <c r="D331" s="2765"/>
      <c r="E331" s="2765"/>
      <c r="F331" s="2765"/>
      <c r="G331" s="2765"/>
      <c r="H331" s="2765"/>
      <c r="I331" s="2765"/>
      <c r="J331" s="2765"/>
      <c r="K331" s="2765"/>
      <c r="L331" s="2765"/>
      <c r="M331" s="2765"/>
      <c r="N331" s="2765"/>
      <c r="O331" s="438" t="s">
        <v>730</v>
      </c>
      <c r="P331" s="2375"/>
      <c r="Q331" s="855"/>
      <c r="AE331" s="458"/>
      <c r="AF331" s="458"/>
    </row>
    <row r="332" spans="1:256 1523:1523" s="132" customFormat="1" ht="11.25" customHeight="1">
      <c r="A332" s="143"/>
      <c r="B332" s="842" t="s">
        <v>1693</v>
      </c>
      <c r="C332" s="2885"/>
      <c r="D332" s="2886"/>
      <c r="E332" s="2886"/>
      <c r="F332" s="2886"/>
      <c r="G332" s="2886"/>
      <c r="H332" s="2886"/>
      <c r="I332" s="2886"/>
      <c r="J332" s="2886"/>
      <c r="K332" s="2886"/>
      <c r="L332" s="2886"/>
      <c r="M332" s="2886"/>
      <c r="N332" s="2887"/>
      <c r="O332" s="215" t="s">
        <v>1693</v>
      </c>
      <c r="P332" s="2273"/>
      <c r="Q332" s="1088"/>
      <c r="AE332" s="458"/>
      <c r="AF332" s="458"/>
    </row>
    <row r="333" spans="1:256 1523:1523" s="132" customFormat="1" ht="11.25" customHeight="1">
      <c r="A333" s="143"/>
      <c r="B333" s="842" t="s">
        <v>1694</v>
      </c>
      <c r="C333" s="2734"/>
      <c r="D333" s="2735"/>
      <c r="E333" s="2735"/>
      <c r="F333" s="2735"/>
      <c r="G333" s="2735"/>
      <c r="H333" s="2735"/>
      <c r="I333" s="2735"/>
      <c r="J333" s="2735"/>
      <c r="K333" s="2735"/>
      <c r="L333" s="2735"/>
      <c r="M333" s="2735"/>
      <c r="N333" s="2736"/>
      <c r="O333" s="215" t="s">
        <v>1694</v>
      </c>
      <c r="P333" s="2388"/>
      <c r="Q333" s="2253"/>
      <c r="AE333" s="458"/>
      <c r="AF333" s="458"/>
    </row>
    <row r="334" spans="1:256 1523:1523" ht="3" customHeight="1">
      <c r="A334" s="2375"/>
      <c r="B334" s="2375"/>
      <c r="C334" s="2375"/>
      <c r="D334" s="2375"/>
      <c r="E334" s="2375"/>
      <c r="F334" s="2375"/>
      <c r="G334" s="2375"/>
      <c r="H334" s="2375"/>
      <c r="I334" s="2375"/>
      <c r="J334" s="2375"/>
      <c r="K334" s="2375"/>
      <c r="L334" s="2375"/>
      <c r="M334" s="2375"/>
      <c r="N334" s="2375"/>
      <c r="O334" s="2375"/>
      <c r="P334" s="2375"/>
      <c r="Q334" s="2375"/>
      <c r="R334" s="2375"/>
      <c r="S334" s="2375"/>
      <c r="T334" s="2375"/>
      <c r="U334" s="2375"/>
      <c r="V334" s="2375"/>
      <c r="W334" s="2375"/>
      <c r="X334" s="2375"/>
      <c r="Y334" s="2375"/>
      <c r="Z334" s="2375"/>
      <c r="AA334" s="2375"/>
      <c r="AB334" s="2375"/>
      <c r="AC334" s="2375"/>
      <c r="AD334" s="2375"/>
      <c r="AE334" s="855"/>
      <c r="AF334" s="855"/>
      <c r="AG334" s="2375"/>
      <c r="AH334" s="2375"/>
      <c r="AI334" s="2375"/>
      <c r="AJ334" s="2375"/>
      <c r="AK334" s="2375"/>
      <c r="AL334" s="2375"/>
      <c r="AM334" s="2375"/>
      <c r="AN334" s="2375"/>
      <c r="AO334" s="2375"/>
      <c r="AP334" s="2375"/>
      <c r="AQ334" s="2375"/>
      <c r="AR334" s="2375"/>
      <c r="AS334" s="2375"/>
      <c r="AT334" s="2375"/>
      <c r="AU334" s="2375"/>
      <c r="AV334" s="2375"/>
      <c r="AW334" s="2375"/>
      <c r="AX334" s="2375"/>
      <c r="AY334" s="2375"/>
      <c r="AZ334" s="2375"/>
      <c r="BA334" s="2375"/>
      <c r="BB334" s="2375"/>
      <c r="BC334" s="2375"/>
      <c r="BD334" s="2375"/>
      <c r="BE334" s="2375"/>
      <c r="BF334" s="2375"/>
      <c r="BG334" s="2375"/>
      <c r="BH334" s="2375"/>
      <c r="BI334" s="2375"/>
      <c r="BJ334" s="2375"/>
      <c r="BK334" s="2375"/>
      <c r="BL334" s="2375"/>
      <c r="BM334" s="2375"/>
      <c r="BN334" s="2375"/>
      <c r="BO334" s="2375"/>
      <c r="BP334" s="2375"/>
      <c r="BQ334" s="2375"/>
      <c r="BR334" s="2375"/>
      <c r="BS334" s="2375"/>
      <c r="BT334" s="2375"/>
      <c r="BU334" s="2375"/>
      <c r="BV334" s="2375"/>
      <c r="BW334" s="2375"/>
      <c r="BX334" s="2375"/>
      <c r="BY334" s="2375"/>
      <c r="BZ334" s="2375"/>
      <c r="CA334" s="2375"/>
      <c r="CB334" s="2375"/>
      <c r="CC334" s="2375"/>
      <c r="CD334" s="2375"/>
      <c r="CE334" s="2375"/>
      <c r="CF334" s="2375"/>
      <c r="CG334" s="2375"/>
      <c r="CH334" s="2375"/>
      <c r="CI334" s="2375"/>
      <c r="CJ334" s="2375"/>
      <c r="CK334" s="2375"/>
      <c r="CL334" s="2375"/>
      <c r="CM334" s="2375"/>
      <c r="CN334" s="2375"/>
      <c r="CO334" s="2375"/>
      <c r="CP334" s="2375"/>
      <c r="CQ334" s="2375"/>
      <c r="CR334" s="2375"/>
      <c r="CS334" s="2375"/>
      <c r="CT334" s="2375"/>
      <c r="CU334" s="2375"/>
      <c r="CV334" s="2375"/>
      <c r="CW334" s="2375"/>
      <c r="CX334" s="2375"/>
      <c r="CY334" s="2375"/>
      <c r="CZ334" s="2375"/>
      <c r="DA334" s="2375"/>
      <c r="DB334" s="2375"/>
      <c r="DC334" s="2375"/>
      <c r="DD334" s="2375"/>
      <c r="DE334" s="2375"/>
      <c r="DF334" s="2375"/>
      <c r="DG334" s="2375"/>
      <c r="DH334" s="2375"/>
      <c r="DI334" s="2375"/>
      <c r="DJ334" s="2375"/>
      <c r="DK334" s="2375"/>
      <c r="DL334" s="2375"/>
      <c r="DM334" s="2375"/>
      <c r="DN334" s="2375"/>
      <c r="DO334" s="2375"/>
      <c r="DP334" s="2375"/>
      <c r="DQ334" s="2375"/>
      <c r="DR334" s="2375"/>
      <c r="DS334" s="2375"/>
      <c r="DT334" s="2375"/>
      <c r="DU334" s="2375"/>
      <c r="DV334" s="2375"/>
      <c r="DW334" s="2375"/>
      <c r="DX334" s="2375"/>
      <c r="DY334" s="2375"/>
      <c r="DZ334" s="2375"/>
      <c r="EA334" s="2375"/>
      <c r="EB334" s="2375"/>
      <c r="EC334" s="2375"/>
      <c r="ED334" s="2375"/>
      <c r="EE334" s="2375"/>
      <c r="EF334" s="2375"/>
      <c r="EG334" s="2375"/>
      <c r="EH334" s="2375"/>
      <c r="EI334" s="2375"/>
      <c r="EJ334" s="2375"/>
      <c r="EK334" s="2375"/>
      <c r="EL334" s="2375"/>
      <c r="EM334" s="2375"/>
      <c r="EN334" s="2375"/>
      <c r="EO334" s="2375"/>
      <c r="EP334" s="2375"/>
      <c r="EQ334" s="2375"/>
      <c r="ER334" s="2375"/>
      <c r="ES334" s="2375"/>
      <c r="ET334" s="2375"/>
      <c r="EU334" s="2375"/>
      <c r="EV334" s="2375"/>
      <c r="EW334" s="2375"/>
      <c r="EX334" s="2375"/>
      <c r="EY334" s="2375"/>
      <c r="EZ334" s="2375"/>
      <c r="FA334" s="2375"/>
      <c r="FB334" s="2375"/>
      <c r="FC334" s="2375"/>
      <c r="FD334" s="2375"/>
      <c r="FE334" s="2375"/>
      <c r="FF334" s="2375"/>
      <c r="FG334" s="2375"/>
      <c r="FH334" s="2375"/>
      <c r="FI334" s="2375"/>
      <c r="FJ334" s="2375"/>
      <c r="FK334" s="2375"/>
      <c r="FL334" s="2375"/>
      <c r="FM334" s="2375"/>
      <c r="FN334" s="2375"/>
      <c r="FO334" s="2375"/>
      <c r="FP334" s="2375"/>
      <c r="FQ334" s="2375"/>
      <c r="FR334" s="2375"/>
      <c r="FS334" s="2375"/>
      <c r="FT334" s="2375"/>
      <c r="FU334" s="2375"/>
      <c r="FV334" s="2375"/>
      <c r="FW334" s="2375"/>
      <c r="FX334" s="2375"/>
      <c r="FY334" s="2375"/>
      <c r="FZ334" s="2375"/>
      <c r="GA334" s="2375"/>
      <c r="GB334" s="2375"/>
      <c r="GC334" s="2375"/>
      <c r="GD334" s="2375"/>
      <c r="GE334" s="2375"/>
      <c r="GF334" s="2375"/>
      <c r="GG334" s="2375"/>
      <c r="GH334" s="2375"/>
      <c r="GI334" s="2375"/>
      <c r="GJ334" s="2375"/>
      <c r="GK334" s="2375"/>
      <c r="GL334" s="2375"/>
      <c r="GM334" s="2375"/>
      <c r="GN334" s="2375"/>
      <c r="GO334" s="2375"/>
      <c r="GP334" s="2375"/>
      <c r="GQ334" s="2375"/>
      <c r="GR334" s="2375"/>
      <c r="GS334" s="2375"/>
      <c r="GT334" s="2375"/>
      <c r="GU334" s="2375"/>
      <c r="GV334" s="2375"/>
      <c r="GW334" s="2375"/>
      <c r="GX334" s="2375"/>
      <c r="GY334" s="2375"/>
      <c r="GZ334" s="2375"/>
      <c r="HA334" s="2375"/>
      <c r="HB334" s="2375"/>
      <c r="HC334" s="2375"/>
      <c r="HD334" s="2375"/>
      <c r="HE334" s="2375"/>
      <c r="HF334" s="2375"/>
      <c r="HG334" s="2375"/>
      <c r="HH334" s="2375"/>
      <c r="HI334" s="2375"/>
      <c r="HJ334" s="2375"/>
      <c r="HK334" s="2375"/>
      <c r="HL334" s="2375"/>
      <c r="HM334" s="2375"/>
      <c r="HN334" s="2375"/>
      <c r="HO334" s="2375"/>
      <c r="HP334" s="2375"/>
      <c r="HQ334" s="2375"/>
      <c r="HR334" s="2375"/>
      <c r="HS334" s="2375"/>
      <c r="HT334" s="2375"/>
      <c r="HU334" s="2375"/>
      <c r="HV334" s="2375"/>
      <c r="HW334" s="2375"/>
      <c r="HX334" s="2375"/>
      <c r="HY334" s="2375"/>
      <c r="HZ334" s="2375"/>
      <c r="IA334" s="2375"/>
      <c r="IB334" s="2375"/>
      <c r="IC334" s="2375"/>
      <c r="ID334" s="2375"/>
      <c r="IE334" s="2375"/>
      <c r="IF334" s="2375"/>
      <c r="IG334" s="2375"/>
      <c r="IH334" s="2375"/>
      <c r="II334" s="2375"/>
      <c r="IJ334" s="2375"/>
      <c r="IK334" s="2375"/>
      <c r="IL334" s="2375"/>
      <c r="IM334" s="2375"/>
      <c r="IN334" s="2375"/>
      <c r="IO334" s="2375"/>
      <c r="IP334" s="2375"/>
      <c r="IQ334" s="2375"/>
      <c r="IR334" s="2375"/>
      <c r="IS334" s="2375"/>
      <c r="IT334" s="2375"/>
      <c r="IU334" s="2375"/>
      <c r="IV334" s="2375"/>
    </row>
    <row r="335" spans="1:256 1523:1523" ht="11.25" customHeight="1">
      <c r="B335" s="140" t="s">
        <v>3563</v>
      </c>
      <c r="D335" s="140"/>
      <c r="E335" s="140"/>
      <c r="F335" s="140"/>
      <c r="G335" s="140"/>
      <c r="H335" s="40"/>
      <c r="I335" s="2398"/>
      <c r="J335" s="2398"/>
      <c r="K335" s="2398"/>
      <c r="L335" s="2375"/>
      <c r="M335" s="2375"/>
      <c r="N335" s="2375"/>
      <c r="O335" s="2375"/>
      <c r="P335" s="2375"/>
      <c r="Q335" s="855"/>
    </row>
    <row r="336" spans="1:256 1523:1523" ht="11.4" customHeight="1">
      <c r="A336" s="2707" t="s">
        <v>7030</v>
      </c>
      <c r="B336" s="2708"/>
      <c r="C336" s="2708"/>
      <c r="D336" s="2708"/>
      <c r="E336" s="2708"/>
      <c r="F336" s="2708"/>
      <c r="G336" s="2708"/>
      <c r="H336" s="2708"/>
      <c r="I336" s="2708"/>
      <c r="J336" s="2708"/>
      <c r="K336" s="2708"/>
      <c r="L336" s="2708"/>
      <c r="M336" s="2708"/>
      <c r="N336" s="2708"/>
      <c r="O336" s="2708"/>
      <c r="P336" s="2708"/>
      <c r="Q336" s="2709"/>
      <c r="R336" s="456" t="s">
        <v>1227</v>
      </c>
      <c r="S336" s="121"/>
      <c r="U336" s="135"/>
      <c r="V336" s="135"/>
      <c r="W336" s="135"/>
      <c r="X336" s="135"/>
      <c r="Y336" s="135"/>
      <c r="Z336" s="135"/>
      <c r="AA336" s="135"/>
      <c r="AB336" s="135"/>
      <c r="AC336" s="135"/>
      <c r="AD336" s="135"/>
      <c r="AE336" s="457"/>
    </row>
    <row r="337" spans="1:31" ht="11.25" customHeight="1">
      <c r="B337" s="136" t="s">
        <v>1818</v>
      </c>
      <c r="C337" s="137"/>
      <c r="D337" s="2377"/>
      <c r="E337" s="2377"/>
      <c r="F337" s="2377"/>
      <c r="G337" s="2377"/>
      <c r="H337" s="2377"/>
      <c r="I337" s="2377"/>
      <c r="J337" s="2377"/>
      <c r="K337" s="2377"/>
      <c r="L337" s="2377"/>
      <c r="M337" s="2377"/>
      <c r="N337" s="2377"/>
      <c r="O337" s="2377"/>
      <c r="P337" s="2377"/>
      <c r="Q337" s="2377"/>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0" t="s">
        <v>3784</v>
      </c>
      <c r="B339" s="2370" t="s">
        <v>3805</v>
      </c>
      <c r="C339" s="2370"/>
      <c r="D339" s="2377"/>
      <c r="E339" s="2377"/>
      <c r="F339" s="2377"/>
      <c r="G339" s="2377"/>
      <c r="H339" s="2377"/>
      <c r="O339" s="131" t="s">
        <v>1819</v>
      </c>
      <c r="P339" s="2721"/>
      <c r="Q339" s="2722"/>
    </row>
    <row r="340" spans="1:31" ht="11.4" customHeight="1">
      <c r="A340" s="47" t="s">
        <v>1934</v>
      </c>
      <c r="B340" s="55" t="s">
        <v>4709</v>
      </c>
      <c r="O340" s="160" t="s">
        <v>1934</v>
      </c>
      <c r="P340" s="2256" t="s">
        <v>2883</v>
      </c>
      <c r="Q340" s="518"/>
    </row>
    <row r="341" spans="1:31" ht="11.4" customHeight="1">
      <c r="A341" s="141" t="s">
        <v>1936</v>
      </c>
      <c r="B341" s="55" t="s">
        <v>3772</v>
      </c>
      <c r="O341" s="160" t="s">
        <v>1936</v>
      </c>
      <c r="P341" s="2265" t="s">
        <v>2883</v>
      </c>
      <c r="Q341" s="519"/>
    </row>
    <row r="342" spans="1:31" ht="11.4" customHeight="1">
      <c r="A342" s="141" t="s">
        <v>730</v>
      </c>
      <c r="B342" s="144" t="s">
        <v>2289</v>
      </c>
      <c r="O342" s="160" t="s">
        <v>730</v>
      </c>
      <c r="P342" s="2265" t="s">
        <v>2886</v>
      </c>
      <c r="Q342" s="519"/>
    </row>
    <row r="343" spans="1:31" ht="11.4" customHeight="1">
      <c r="A343" s="47" t="s">
        <v>2063</v>
      </c>
      <c r="B343" s="55" t="s">
        <v>3625</v>
      </c>
      <c r="O343" s="455" t="s">
        <v>2063</v>
      </c>
      <c r="P343" s="2261" t="s">
        <v>2886</v>
      </c>
      <c r="Q343" s="520"/>
    </row>
    <row r="344" spans="1:31" ht="11.4" customHeight="1">
      <c r="A344" s="141" t="s">
        <v>1691</v>
      </c>
      <c r="B344" s="55" t="s">
        <v>2779</v>
      </c>
      <c r="N344" s="160" t="s">
        <v>1691</v>
      </c>
      <c r="O344" s="2888" t="s">
        <v>4732</v>
      </c>
      <c r="P344" s="2889"/>
      <c r="Q344" s="2890"/>
    </row>
    <row r="345" spans="1:31" ht="11.4" customHeight="1">
      <c r="A345" s="141" t="s">
        <v>1692</v>
      </c>
      <c r="B345" s="407" t="s">
        <v>2290</v>
      </c>
      <c r="N345" s="160" t="s">
        <v>1692</v>
      </c>
      <c r="O345" s="4111" t="s">
        <v>2780</v>
      </c>
      <c r="P345" s="4112"/>
      <c r="Q345" s="4113"/>
    </row>
    <row r="346" spans="1:31" ht="11.25" customHeight="1">
      <c r="B346" s="140" t="s">
        <v>3563</v>
      </c>
      <c r="D346" s="140"/>
      <c r="E346" s="140"/>
      <c r="F346" s="140"/>
      <c r="G346" s="140"/>
      <c r="H346" s="40"/>
      <c r="I346" s="2398"/>
      <c r="J346" s="2398"/>
      <c r="K346" s="2398"/>
      <c r="L346" s="2375"/>
      <c r="M346" s="2375"/>
      <c r="N346" s="2375"/>
      <c r="O346" s="2375"/>
      <c r="P346" s="2375"/>
      <c r="Q346" s="855"/>
    </row>
    <row r="347" spans="1:31" ht="25.5" customHeight="1">
      <c r="A347" s="2707" t="s">
        <v>7132</v>
      </c>
      <c r="B347" s="2708"/>
      <c r="C347" s="2708"/>
      <c r="D347" s="2708"/>
      <c r="E347" s="2708"/>
      <c r="F347" s="2708"/>
      <c r="G347" s="2708"/>
      <c r="H347" s="2708"/>
      <c r="I347" s="2708"/>
      <c r="J347" s="2708"/>
      <c r="K347" s="2708"/>
      <c r="L347" s="2708"/>
      <c r="M347" s="2708"/>
      <c r="N347" s="2708"/>
      <c r="O347" s="2708"/>
      <c r="P347" s="2708"/>
      <c r="Q347" s="2709"/>
      <c r="R347" s="440" t="s">
        <v>1227</v>
      </c>
      <c r="S347" s="441"/>
      <c r="U347" s="135"/>
      <c r="V347" s="135"/>
      <c r="W347" s="135"/>
      <c r="X347" s="135"/>
      <c r="Y347" s="135"/>
      <c r="Z347" s="135"/>
      <c r="AA347" s="135"/>
      <c r="AB347" s="135"/>
      <c r="AC347" s="135"/>
      <c r="AD347" s="135"/>
      <c r="AE347" s="457"/>
    </row>
    <row r="348" spans="1:31" ht="11.25" customHeight="1">
      <c r="B348" s="136" t="s">
        <v>1818</v>
      </c>
      <c r="C348" s="137"/>
      <c r="D348" s="2377"/>
      <c r="E348" s="2377"/>
      <c r="F348" s="2377"/>
      <c r="G348" s="2377"/>
      <c r="H348" s="2377"/>
      <c r="I348" s="2377"/>
      <c r="J348" s="2377"/>
      <c r="K348" s="2377"/>
      <c r="L348" s="2377"/>
      <c r="M348" s="2377"/>
      <c r="N348" s="2377"/>
      <c r="O348" s="2377"/>
      <c r="P348" s="2377"/>
      <c r="Q348" s="2377"/>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5"/>
      <c r="B350" s="2398"/>
      <c r="C350" s="2377"/>
      <c r="D350" s="2377"/>
      <c r="E350" s="2377"/>
      <c r="F350" s="2377"/>
      <c r="G350" s="2377"/>
      <c r="H350" s="2377"/>
      <c r="I350" s="2377"/>
      <c r="J350" s="2377"/>
      <c r="K350" s="2377"/>
      <c r="L350" s="2377"/>
      <c r="M350" s="2377"/>
      <c r="N350" s="2377"/>
      <c r="O350" s="2377"/>
      <c r="P350" s="2377"/>
      <c r="Q350" s="855"/>
      <c r="R350" s="8"/>
      <c r="S350" s="8"/>
    </row>
    <row r="351" spans="1:31" ht="14.1" customHeight="1">
      <c r="A351" s="2370" t="s">
        <v>3785</v>
      </c>
      <c r="B351" s="4" t="s">
        <v>3763</v>
      </c>
      <c r="C351" s="4"/>
      <c r="D351" s="4"/>
      <c r="E351" s="4"/>
      <c r="F351" s="4"/>
      <c r="G351" s="4"/>
      <c r="H351" s="2377"/>
      <c r="I351" s="2377"/>
      <c r="J351" s="2377"/>
      <c r="K351" s="2377"/>
      <c r="L351" s="2377"/>
      <c r="M351" s="2377"/>
      <c r="O351" s="131" t="s">
        <v>1819</v>
      </c>
      <c r="P351" s="4114"/>
      <c r="Q351" s="2722"/>
    </row>
    <row r="352" spans="1:31" ht="10.5" customHeight="1">
      <c r="A352" s="47" t="s">
        <v>1934</v>
      </c>
      <c r="B352" s="134" t="s">
        <v>3764</v>
      </c>
      <c r="D352" s="149"/>
      <c r="E352" s="149"/>
      <c r="F352" s="149"/>
      <c r="G352" s="149"/>
      <c r="H352" s="455" t="s">
        <v>1934</v>
      </c>
      <c r="I352" s="2698" t="s">
        <v>947</v>
      </c>
      <c r="J352" s="2699"/>
      <c r="K352" s="2699"/>
      <c r="L352" s="2699"/>
      <c r="M352" s="2699"/>
      <c r="N352" s="2699"/>
      <c r="O352" s="2699"/>
      <c r="P352" s="2700"/>
      <c r="Q352" s="516"/>
    </row>
    <row r="353" spans="1:32" ht="10.5" customHeight="1">
      <c r="A353" s="141" t="s">
        <v>1936</v>
      </c>
      <c r="B353" s="134" t="s">
        <v>3765</v>
      </c>
      <c r="D353" s="149"/>
      <c r="E353" s="149"/>
      <c r="F353" s="149"/>
      <c r="G353" s="149"/>
      <c r="H353" s="160" t="s">
        <v>1936</v>
      </c>
      <c r="I353" s="2698"/>
      <c r="J353" s="2699"/>
      <c r="K353" s="2699"/>
      <c r="L353" s="2699"/>
      <c r="M353" s="2699"/>
      <c r="N353" s="2699"/>
      <c r="O353" s="2699"/>
      <c r="P353" s="2700"/>
      <c r="Q353" s="516"/>
    </row>
    <row r="354" spans="1:32" ht="21.75" customHeight="1">
      <c r="A354" s="141" t="s">
        <v>730</v>
      </c>
      <c r="B354" s="2892" t="s">
        <v>3756</v>
      </c>
      <c r="C354" s="2892"/>
      <c r="D354" s="2892"/>
      <c r="E354" s="2892"/>
      <c r="F354" s="2892"/>
      <c r="G354" s="2892"/>
      <c r="H354" s="2892"/>
      <c r="I354" s="2892"/>
      <c r="J354" s="2892"/>
      <c r="K354" s="2892"/>
      <c r="L354" s="2892"/>
      <c r="M354" s="2892"/>
      <c r="N354" s="2892"/>
      <c r="O354" s="160" t="s">
        <v>730</v>
      </c>
      <c r="P354" s="2274"/>
      <c r="Q354" s="1088"/>
    </row>
    <row r="355" spans="1:32" ht="21.75" customHeight="1">
      <c r="A355" s="141" t="s">
        <v>2063</v>
      </c>
      <c r="B355" s="2713" t="s">
        <v>3757</v>
      </c>
      <c r="C355" s="2713"/>
      <c r="D355" s="2713"/>
      <c r="E355" s="2713"/>
      <c r="F355" s="2713"/>
      <c r="G355" s="2713"/>
      <c r="H355" s="2713"/>
      <c r="I355" s="2713"/>
      <c r="J355" s="2713"/>
      <c r="K355" s="2713"/>
      <c r="L355" s="2713"/>
      <c r="M355" s="2713"/>
      <c r="N355" s="2713"/>
      <c r="O355" s="455" t="s">
        <v>2063</v>
      </c>
      <c r="P355" s="2380"/>
      <c r="Q355" s="2379"/>
    </row>
    <row r="356" spans="1:32" ht="10.5" customHeight="1">
      <c r="A356" s="141" t="s">
        <v>1691</v>
      </c>
      <c r="B356" s="52" t="s">
        <v>3758</v>
      </c>
      <c r="D356" s="52"/>
      <c r="E356" s="52"/>
      <c r="F356" s="52"/>
      <c r="G356" s="52"/>
      <c r="H356" s="52"/>
      <c r="I356" s="52"/>
      <c r="J356" s="52"/>
      <c r="K356" s="52"/>
      <c r="L356" s="52"/>
      <c r="M356" s="52"/>
      <c r="O356" s="160" t="s">
        <v>1691</v>
      </c>
      <c r="P356" s="2265"/>
      <c r="Q356" s="519"/>
    </row>
    <row r="357" spans="1:32" s="132" customFormat="1" ht="21.75" customHeight="1">
      <c r="A357" s="141" t="s">
        <v>1692</v>
      </c>
      <c r="B357" s="2713" t="s">
        <v>3759</v>
      </c>
      <c r="C357" s="2713"/>
      <c r="D357" s="2713"/>
      <c r="E357" s="2713"/>
      <c r="F357" s="2713"/>
      <c r="G357" s="2713"/>
      <c r="H357" s="2713"/>
      <c r="I357" s="2713"/>
      <c r="J357" s="2713"/>
      <c r="K357" s="2713"/>
      <c r="L357" s="2713"/>
      <c r="M357" s="2713"/>
      <c r="N357" s="2713"/>
      <c r="O357" s="160" t="s">
        <v>1692</v>
      </c>
      <c r="P357" s="2275"/>
      <c r="Q357" s="4115"/>
      <c r="AE357" s="458"/>
      <c r="AF357" s="458"/>
    </row>
    <row r="358" spans="1:32" s="132" customFormat="1" ht="10.5" customHeight="1">
      <c r="A358" s="141" t="s">
        <v>1898</v>
      </c>
      <c r="B358" s="139" t="s">
        <v>3760</v>
      </c>
      <c r="D358" s="857"/>
      <c r="E358" s="857"/>
      <c r="F358" s="857"/>
      <c r="G358" s="857"/>
      <c r="H358" s="857"/>
      <c r="I358" s="857"/>
      <c r="J358" s="857"/>
      <c r="K358" s="857"/>
      <c r="L358" s="857"/>
      <c r="M358" s="857"/>
      <c r="N358" s="857"/>
      <c r="O358" s="160" t="s">
        <v>1898</v>
      </c>
      <c r="P358" s="2273"/>
      <c r="Q358" s="1088"/>
      <c r="AE358" s="458"/>
      <c r="AF358" s="458"/>
    </row>
    <row r="359" spans="1:32" s="132" customFormat="1" ht="10.5" customHeight="1">
      <c r="C359" s="842" t="s">
        <v>4418</v>
      </c>
      <c r="E359" s="2377"/>
      <c r="F359" s="2377"/>
      <c r="G359" s="2377"/>
      <c r="H359" s="2377"/>
      <c r="I359" s="2377"/>
      <c r="J359" s="2377"/>
      <c r="K359" s="2377"/>
      <c r="L359" s="2377"/>
      <c r="M359" s="2377"/>
      <c r="N359" s="2377"/>
      <c r="P359" s="2388"/>
      <c r="Q359" s="2253"/>
      <c r="AE359" s="458"/>
      <c r="AF359" s="458"/>
    </row>
    <row r="360" spans="1:32" ht="21.75" customHeight="1">
      <c r="A360" s="141" t="s">
        <v>3261</v>
      </c>
      <c r="B360" s="2713" t="s">
        <v>3761</v>
      </c>
      <c r="C360" s="2713"/>
      <c r="D360" s="2713"/>
      <c r="E360" s="2713"/>
      <c r="F360" s="2713"/>
      <c r="G360" s="2713"/>
      <c r="H360" s="2713"/>
      <c r="I360" s="2713"/>
      <c r="J360" s="2713"/>
      <c r="K360" s="2713"/>
      <c r="L360" s="2713"/>
      <c r="M360" s="2713"/>
      <c r="N360" s="2713"/>
      <c r="O360" s="160" t="s">
        <v>3261</v>
      </c>
      <c r="P360" s="2273"/>
      <c r="Q360" s="1088"/>
    </row>
    <row r="361" spans="1:32" ht="33" customHeight="1">
      <c r="A361" s="141" t="s">
        <v>597</v>
      </c>
      <c r="B361" s="2713" t="s">
        <v>3762</v>
      </c>
      <c r="C361" s="2713"/>
      <c r="D361" s="2713"/>
      <c r="E361" s="2713"/>
      <c r="F361" s="2713"/>
      <c r="G361" s="2713"/>
      <c r="H361" s="2713"/>
      <c r="I361" s="2713"/>
      <c r="J361" s="2713"/>
      <c r="K361" s="2713"/>
      <c r="L361" s="2713"/>
      <c r="M361" s="2713"/>
      <c r="N361" s="2713"/>
      <c r="O361" s="160" t="s">
        <v>597</v>
      </c>
      <c r="P361" s="2388"/>
      <c r="Q361" s="2253"/>
    </row>
    <row r="362" spans="1:32" ht="10.5" customHeight="1">
      <c r="B362" s="140" t="s">
        <v>3563</v>
      </c>
      <c r="D362" s="140"/>
      <c r="E362" s="140"/>
      <c r="F362" s="140"/>
      <c r="G362" s="140"/>
      <c r="H362" s="40"/>
      <c r="I362" s="2398"/>
      <c r="J362" s="2398"/>
      <c r="K362" s="2398"/>
      <c r="L362" s="2375"/>
      <c r="M362" s="2375"/>
      <c r="N362" s="2375"/>
      <c r="O362" s="2375"/>
      <c r="P362" s="2375"/>
      <c r="Q362" s="855"/>
    </row>
    <row r="363" spans="1:32" ht="12.75" customHeight="1">
      <c r="A363" s="2707" t="s">
        <v>7031</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1818</v>
      </c>
      <c r="C364" s="137"/>
      <c r="D364" s="2377"/>
      <c r="E364" s="2377"/>
      <c r="F364" s="2377"/>
      <c r="G364" s="2377"/>
      <c r="H364" s="2377"/>
      <c r="I364" s="2377"/>
      <c r="J364" s="2377"/>
      <c r="K364" s="2377"/>
      <c r="L364" s="2377"/>
      <c r="M364" s="2377"/>
      <c r="N364" s="2377"/>
      <c r="O364" s="2377"/>
      <c r="P364" s="2377"/>
      <c r="Q364" s="2377"/>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5"/>
      <c r="B366" s="2398"/>
      <c r="C366" s="2377"/>
      <c r="D366" s="2377"/>
      <c r="E366" s="2377"/>
      <c r="F366" s="2377"/>
      <c r="G366" s="2377"/>
      <c r="H366" s="2377"/>
      <c r="I366" s="2377"/>
      <c r="J366" s="2377"/>
      <c r="K366" s="2377"/>
      <c r="L366" s="2377"/>
      <c r="M366" s="2377"/>
      <c r="Q366" s="855"/>
    </row>
    <row r="367" spans="1:32" ht="14.1" customHeight="1">
      <c r="A367" s="2370" t="s">
        <v>3788</v>
      </c>
      <c r="B367" s="4" t="s">
        <v>4693</v>
      </c>
      <c r="C367" s="4"/>
      <c r="D367" s="4"/>
      <c r="E367" s="4"/>
      <c r="F367" s="4"/>
      <c r="G367" s="4"/>
      <c r="H367" s="2377"/>
      <c r="I367" s="2377"/>
      <c r="J367" s="2377"/>
      <c r="O367" s="131" t="s">
        <v>1819</v>
      </c>
      <c r="P367" s="2721"/>
      <c r="Q367" s="2722"/>
    </row>
    <row r="368" spans="1:32" s="42" customFormat="1" ht="10.5" customHeight="1">
      <c r="A368" s="47" t="s">
        <v>1934</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1693</v>
      </c>
      <c r="C369" s="2747" t="s">
        <v>4360</v>
      </c>
      <c r="D369" s="2747"/>
      <c r="E369" s="2747"/>
      <c r="F369" s="2747"/>
      <c r="G369" s="50"/>
      <c r="H369" s="36" t="s">
        <v>598</v>
      </c>
      <c r="J369" s="2917" t="s">
        <v>7121</v>
      </c>
      <c r="K369" s="2918"/>
      <c r="L369" s="2918"/>
      <c r="M369" s="2919"/>
      <c r="N369" s="2846" t="s">
        <v>3676</v>
      </c>
      <c r="O369" s="2779"/>
      <c r="P369" s="2907" t="s">
        <v>7084</v>
      </c>
      <c r="Q369" s="2908"/>
      <c r="AE369" s="50"/>
      <c r="AF369" s="50"/>
    </row>
    <row r="370" spans="1:32" s="42" customFormat="1" ht="11.25" customHeight="1">
      <c r="B370" s="40"/>
      <c r="C370" s="2391"/>
      <c r="D370" s="2391"/>
      <c r="E370" s="2391"/>
      <c r="F370" s="2391"/>
      <c r="G370" s="2391"/>
      <c r="H370" s="40" t="s">
        <v>4485</v>
      </c>
      <c r="I370" s="2391"/>
      <c r="J370" s="2698" t="s">
        <v>7120</v>
      </c>
      <c r="K370" s="2699"/>
      <c r="L370" s="2699"/>
      <c r="M370" s="2699"/>
      <c r="N370" s="2699"/>
      <c r="O370" s="2699"/>
      <c r="P370" s="2699"/>
      <c r="Q370" s="2700"/>
      <c r="AE370" s="50"/>
      <c r="AF370" s="50"/>
    </row>
    <row r="371" spans="1:32" s="42" customFormat="1" ht="11.25" customHeight="1">
      <c r="B371" s="40" t="s">
        <v>1694</v>
      </c>
      <c r="C371" s="52" t="s">
        <v>3678</v>
      </c>
      <c r="J371" s="2911">
        <v>36631</v>
      </c>
      <c r="K371" s="2912"/>
      <c r="O371" s="455"/>
      <c r="AE371" s="50"/>
      <c r="AF371" s="50"/>
    </row>
    <row r="372" spans="1:32" s="42" customFormat="1" ht="11.25" customHeight="1">
      <c r="A372" s="47"/>
      <c r="B372" s="40" t="s">
        <v>1695</v>
      </c>
      <c r="C372" s="52" t="s">
        <v>3679</v>
      </c>
      <c r="D372" s="46"/>
      <c r="E372" s="133"/>
      <c r="I372" s="133"/>
      <c r="J372" s="2920" t="str">
        <f>'Part I-Project Information'!K40</f>
        <v>Rural</v>
      </c>
      <c r="K372" s="2921"/>
      <c r="L372" s="2381" t="s">
        <v>3680</v>
      </c>
      <c r="M372" s="133"/>
      <c r="N372" s="133"/>
      <c r="O372" s="455" t="s">
        <v>1695</v>
      </c>
      <c r="P372" s="2262" t="s">
        <v>2883</v>
      </c>
      <c r="Q372" s="517"/>
      <c r="AE372" s="50"/>
      <c r="AF372" s="50"/>
    </row>
    <row r="373" spans="1:32" s="42" customFormat="1" ht="11.25" customHeight="1">
      <c r="A373" s="47"/>
      <c r="B373" s="40" t="s">
        <v>2303</v>
      </c>
      <c r="C373" s="52" t="s">
        <v>4354</v>
      </c>
      <c r="E373" s="133"/>
      <c r="F373" s="133"/>
      <c r="G373" s="133"/>
      <c r="H373" s="52" t="s">
        <v>4355</v>
      </c>
      <c r="I373" s="133"/>
      <c r="J373" s="2909">
        <v>696509</v>
      </c>
      <c r="K373" s="2910"/>
      <c r="L373" s="4116"/>
      <c r="M373" s="4117"/>
      <c r="O373" s="455"/>
      <c r="AE373" s="50"/>
      <c r="AF373" s="50"/>
    </row>
    <row r="374" spans="1:32" s="42" customFormat="1" ht="11.25" customHeight="1">
      <c r="A374" s="47"/>
      <c r="B374" s="40"/>
      <c r="C374" s="52"/>
      <c r="E374" s="133"/>
      <c r="F374" s="133"/>
      <c r="G374" s="133"/>
      <c r="H374" s="52" t="s">
        <v>4356</v>
      </c>
      <c r="I374" s="133"/>
      <c r="J374" s="2714" t="s">
        <v>2883</v>
      </c>
      <c r="K374" s="2716"/>
      <c r="L374" s="4118"/>
      <c r="M374" s="4119"/>
      <c r="N374" s="52"/>
      <c r="O374" s="455"/>
      <c r="AE374" s="50"/>
      <c r="AF374" s="50"/>
    </row>
    <row r="375" spans="1:32" s="42" customFormat="1" ht="11.25" customHeight="1">
      <c r="A375" s="47"/>
      <c r="B375" s="40" t="s">
        <v>1515</v>
      </c>
      <c r="C375" s="52" t="s">
        <v>3681</v>
      </c>
      <c r="E375" s="52"/>
      <c r="F375" s="2913">
        <f>'Part IV-A-Uses of Funds'!J182</f>
        <v>375000</v>
      </c>
      <c r="G375" s="2914"/>
      <c r="H375" s="52" t="s">
        <v>3682</v>
      </c>
      <c r="I375" s="52"/>
      <c r="J375" s="1466" t="str">
        <f>IF(F375&gt;'DCA Underwriting Assumptions'!$Q$146, "Request exceeds DCA per project maximum for set aside!!!","")</f>
        <v/>
      </c>
      <c r="K375" s="856"/>
      <c r="L375" s="52"/>
      <c r="O375" s="455" t="s">
        <v>1515</v>
      </c>
      <c r="P375" s="2262" t="s">
        <v>2883</v>
      </c>
      <c r="Q375" s="517"/>
      <c r="AE375" s="50"/>
      <c r="AF375" s="50"/>
    </row>
    <row r="376" spans="1:32" s="42" customFormat="1" ht="11.25" customHeight="1">
      <c r="A376" s="47"/>
      <c r="B376" s="40" t="s">
        <v>1516</v>
      </c>
      <c r="C376" s="52" t="s">
        <v>4562</v>
      </c>
      <c r="E376" s="52"/>
      <c r="F376" s="52"/>
      <c r="G376" s="52"/>
      <c r="H376" s="52" t="s">
        <v>4357</v>
      </c>
      <c r="I376" s="52"/>
      <c r="J376" s="2922">
        <v>500000</v>
      </c>
      <c r="K376" s="2923"/>
      <c r="L376" s="4120"/>
      <c r="M376" s="4121"/>
      <c r="AE376" s="50"/>
      <c r="AF376" s="50"/>
    </row>
    <row r="377" spans="1:32" s="42" customFormat="1" ht="11.25" customHeight="1">
      <c r="B377" s="40" t="s">
        <v>96</v>
      </c>
      <c r="C377" s="52" t="s">
        <v>3683</v>
      </c>
      <c r="E377" s="133"/>
      <c r="F377" s="133"/>
      <c r="G377" s="133"/>
      <c r="H377" s="133"/>
      <c r="I377" s="133"/>
      <c r="J377" s="133"/>
      <c r="K377" s="133"/>
      <c r="L377" s="133"/>
      <c r="O377" s="455" t="s">
        <v>96</v>
      </c>
      <c r="P377" s="2262" t="s">
        <v>2883</v>
      </c>
      <c r="Q377" s="517"/>
      <c r="AE377" s="50"/>
      <c r="AF377" s="50"/>
    </row>
    <row r="378" spans="1:32" s="42" customFormat="1" ht="11.25" customHeight="1">
      <c r="A378" s="47" t="s">
        <v>1936</v>
      </c>
      <c r="B378" s="589" t="s">
        <v>3684</v>
      </c>
      <c r="D378" s="133"/>
      <c r="E378" s="133"/>
      <c r="F378" s="133"/>
      <c r="G378" s="133"/>
      <c r="H378" s="133"/>
      <c r="P378" s="133"/>
      <c r="Q378" s="133"/>
      <c r="R378" s="133"/>
      <c r="AE378" s="50"/>
      <c r="AF378" s="50"/>
    </row>
    <row r="379" spans="1:32" s="42" customFormat="1" ht="11.25" customHeight="1">
      <c r="B379" s="40" t="s">
        <v>1693</v>
      </c>
      <c r="C379" s="856" t="s">
        <v>4392</v>
      </c>
      <c r="E379" s="2381"/>
      <c r="F379" s="2381"/>
      <c r="G379" s="2381"/>
      <c r="H379" s="2381"/>
      <c r="P379" s="2262" t="s">
        <v>2886</v>
      </c>
      <c r="Q379" s="517"/>
      <c r="AE379" s="50"/>
      <c r="AF379" s="50"/>
    </row>
    <row r="380" spans="1:32" s="42" customFormat="1" ht="11.25" customHeight="1">
      <c r="B380" s="40"/>
      <c r="C380" s="856"/>
      <c r="E380" s="2381"/>
      <c r="F380" s="2381"/>
      <c r="G380" s="2381"/>
      <c r="H380" s="2381"/>
      <c r="J380" s="2746" t="s">
        <v>3688</v>
      </c>
      <c r="K380" s="2746"/>
      <c r="L380" s="2746"/>
      <c r="M380" s="2746"/>
      <c r="N380" s="2697" t="s">
        <v>3686</v>
      </c>
      <c r="O380" s="2697"/>
      <c r="AE380" s="50"/>
      <c r="AF380" s="50"/>
    </row>
    <row r="381" spans="1:32" s="42" customFormat="1" ht="11.25" customHeight="1">
      <c r="A381" s="1476"/>
      <c r="B381" s="40" t="s">
        <v>1694</v>
      </c>
      <c r="C381" s="856" t="s">
        <v>3685</v>
      </c>
      <c r="E381" s="133"/>
      <c r="F381" s="133"/>
      <c r="G381" s="133"/>
      <c r="H381" s="133"/>
      <c r="I381" s="455" t="s">
        <v>1694</v>
      </c>
      <c r="J381" s="2915">
        <v>1015331</v>
      </c>
      <c r="K381" s="2916"/>
      <c r="L381" s="4122"/>
      <c r="M381" s="4123"/>
      <c r="N381" s="1056">
        <f>IF(J381="","",(J381-J373)/J381)</f>
        <v>0.314007944207357</v>
      </c>
      <c r="O381" s="1057" t="str">
        <f>IF(L381="","",(L381-L373)/L381)</f>
        <v/>
      </c>
      <c r="P381" s="2256" t="s">
        <v>2883</v>
      </c>
      <c r="Q381" s="1553"/>
      <c r="AE381" s="50"/>
      <c r="AF381" s="50"/>
    </row>
    <row r="382" spans="1:32" s="42" customFormat="1" ht="11.25" customHeight="1">
      <c r="A382" s="1476"/>
      <c r="B382" s="40" t="s">
        <v>1695</v>
      </c>
      <c r="C382" s="52" t="s">
        <v>3687</v>
      </c>
      <c r="E382" s="133"/>
      <c r="F382" s="133"/>
      <c r="G382" s="133"/>
      <c r="H382" s="133"/>
      <c r="N382" s="133"/>
      <c r="O382" s="455" t="s">
        <v>1695</v>
      </c>
      <c r="P382" s="2276">
        <v>30</v>
      </c>
      <c r="Q382" s="4124"/>
      <c r="AE382" s="50"/>
      <c r="AF382" s="50"/>
    </row>
    <row r="383" spans="1:32" s="42" customFormat="1" ht="11.25" customHeight="1">
      <c r="B383" s="40" t="s">
        <v>2303</v>
      </c>
      <c r="C383" s="52" t="s">
        <v>3689</v>
      </c>
      <c r="E383" s="133"/>
      <c r="F383" s="133"/>
      <c r="G383" s="133"/>
      <c r="H383" s="133"/>
      <c r="M383" s="133"/>
      <c r="N383" s="133"/>
      <c r="O383" s="455" t="s">
        <v>2303</v>
      </c>
      <c r="P383" s="2261" t="s">
        <v>2883</v>
      </c>
      <c r="Q383" s="520"/>
      <c r="AE383" s="50"/>
      <c r="AF383" s="50"/>
    </row>
    <row r="384" spans="1:32" ht="10.5" customHeight="1">
      <c r="B384" s="140" t="s">
        <v>3563</v>
      </c>
      <c r="D384" s="140"/>
      <c r="E384" s="140"/>
      <c r="F384" s="140"/>
      <c r="G384" s="140"/>
      <c r="H384" s="40"/>
      <c r="I384" s="2398"/>
      <c r="J384" s="2398"/>
      <c r="K384" s="2398"/>
      <c r="L384" s="2375"/>
      <c r="M384" s="2375"/>
      <c r="N384" s="2375"/>
      <c r="O384" s="2375"/>
      <c r="P384" s="2375"/>
      <c r="Q384" s="855"/>
    </row>
    <row r="385" spans="1:31" ht="14.25" customHeight="1">
      <c r="A385" s="2710" t="s">
        <v>7119</v>
      </c>
      <c r="B385" s="2711"/>
      <c r="C385" s="2711"/>
      <c r="D385" s="2711"/>
      <c r="E385" s="2711"/>
      <c r="F385" s="2711"/>
      <c r="G385" s="2711"/>
      <c r="H385" s="2711"/>
      <c r="I385" s="2711"/>
      <c r="J385" s="2711"/>
      <c r="K385" s="2711"/>
      <c r="L385" s="2711"/>
      <c r="M385" s="2711"/>
      <c r="N385" s="2711"/>
      <c r="O385" s="2711"/>
      <c r="P385" s="2711"/>
      <c r="Q385" s="2712"/>
      <c r="U385" s="135"/>
      <c r="V385" s="135"/>
      <c r="W385" s="135"/>
      <c r="X385" s="135"/>
      <c r="Y385" s="135"/>
      <c r="Z385" s="135"/>
      <c r="AA385" s="135"/>
      <c r="AB385" s="135"/>
      <c r="AC385" s="135"/>
      <c r="AD385" s="135"/>
      <c r="AE385" s="457"/>
    </row>
    <row r="386" spans="1:31" ht="11.25" customHeight="1">
      <c r="B386" s="136" t="s">
        <v>1818</v>
      </c>
      <c r="C386" s="137"/>
      <c r="D386" s="2377"/>
      <c r="E386" s="2377"/>
      <c r="F386" s="2377"/>
      <c r="G386" s="2377"/>
      <c r="H386" s="2377"/>
      <c r="I386" s="2377"/>
      <c r="J386" s="2377"/>
      <c r="K386" s="2377"/>
      <c r="L386" s="2377"/>
      <c r="M386" s="2377"/>
      <c r="N386" s="2377"/>
      <c r="O386" s="2377"/>
      <c r="P386" s="2377"/>
      <c r="Q386" s="2377"/>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5"/>
      <c r="B388" s="2398"/>
      <c r="C388" s="2377"/>
      <c r="D388" s="2377"/>
      <c r="E388" s="2377"/>
      <c r="F388" s="2377"/>
      <c r="G388" s="2377"/>
      <c r="H388" s="2377"/>
      <c r="I388" s="2377"/>
      <c r="J388" s="2377"/>
      <c r="K388" s="2377"/>
      <c r="L388" s="2377"/>
      <c r="M388" s="2377"/>
      <c r="Q388" s="855"/>
    </row>
    <row r="389" spans="1:31" ht="3" customHeight="1">
      <c r="A389" s="2375"/>
      <c r="B389" s="2398"/>
      <c r="C389" s="2377"/>
      <c r="D389" s="2377"/>
      <c r="E389" s="2377"/>
      <c r="F389" s="2377"/>
      <c r="G389" s="2377"/>
      <c r="H389" s="2377"/>
      <c r="I389" s="2377"/>
      <c r="J389" s="2377"/>
      <c r="K389" s="2377"/>
      <c r="L389" s="2377"/>
      <c r="M389" s="2377"/>
      <c r="Q389" s="855"/>
    </row>
    <row r="390" spans="1:31" ht="14.1" customHeight="1">
      <c r="A390" s="2370" t="s">
        <v>3789</v>
      </c>
      <c r="B390" s="4" t="s">
        <v>2606</v>
      </c>
      <c r="C390" s="4"/>
      <c r="D390" s="4"/>
      <c r="E390" s="4"/>
      <c r="F390" s="4"/>
      <c r="G390" s="4"/>
      <c r="H390" s="2377"/>
      <c r="I390" s="2377"/>
      <c r="J390" s="2377"/>
      <c r="O390" s="131" t="s">
        <v>1819</v>
      </c>
      <c r="P390" s="2721"/>
      <c r="Q390" s="2722"/>
    </row>
    <row r="391" spans="1:31" ht="11.4" customHeight="1">
      <c r="A391" s="47" t="s">
        <v>1934</v>
      </c>
      <c r="B391" s="117" t="s">
        <v>1011</v>
      </c>
      <c r="E391" s="2698" t="s">
        <v>947</v>
      </c>
      <c r="F391" s="2699"/>
      <c r="G391" s="2699"/>
      <c r="H391" s="2699"/>
      <c r="I391" s="2700"/>
      <c r="J391" s="2777" t="s">
        <v>2593</v>
      </c>
      <c r="K391" s="2778"/>
      <c r="L391" s="2779"/>
      <c r="M391" s="2780"/>
      <c r="N391" s="2781"/>
      <c r="O391" s="2781"/>
      <c r="P391" s="2781"/>
      <c r="Q391" s="2782"/>
    </row>
    <row r="392" spans="1:31" ht="11.4" customHeight="1">
      <c r="A392" s="47" t="s">
        <v>1936</v>
      </c>
      <c r="B392" s="52" t="s">
        <v>3344</v>
      </c>
      <c r="D392" s="52"/>
      <c r="E392" s="52"/>
      <c r="F392" s="52"/>
      <c r="G392" s="52"/>
      <c r="H392" s="52"/>
      <c r="I392" s="52"/>
      <c r="J392" s="52"/>
      <c r="K392" s="52"/>
      <c r="L392" s="856"/>
      <c r="M392" s="856"/>
      <c r="O392" s="455" t="s">
        <v>1936</v>
      </c>
      <c r="P392" s="2266"/>
      <c r="Q392" s="518"/>
    </row>
    <row r="393" spans="1:31" ht="22.5" customHeight="1">
      <c r="A393" s="141" t="s">
        <v>730</v>
      </c>
      <c r="B393" s="2713" t="s">
        <v>3353</v>
      </c>
      <c r="C393" s="2713"/>
      <c r="D393" s="2713"/>
      <c r="E393" s="2713"/>
      <c r="F393" s="2713"/>
      <c r="G393" s="2713"/>
      <c r="H393" s="2713"/>
      <c r="I393" s="2713"/>
      <c r="J393" s="2713"/>
      <c r="K393" s="2713"/>
      <c r="L393" s="2713"/>
      <c r="M393" s="2713"/>
      <c r="N393" s="2713"/>
      <c r="O393" s="160" t="s">
        <v>730</v>
      </c>
      <c r="P393" s="2380"/>
      <c r="Q393" s="2379"/>
    </row>
    <row r="394" spans="1:31">
      <c r="A394" s="47" t="s">
        <v>2063</v>
      </c>
      <c r="B394" s="55" t="s">
        <v>3516</v>
      </c>
      <c r="G394" s="2381"/>
      <c r="H394" s="2381"/>
      <c r="I394" s="2381"/>
      <c r="J394" s="856" t="s">
        <v>3517</v>
      </c>
      <c r="L394" s="2381"/>
      <c r="M394" s="2754">
        <f>'Part III-Sources of Funds'!H5</f>
        <v>0</v>
      </c>
      <c r="N394" s="2755"/>
      <c r="O394" s="455" t="s">
        <v>2063</v>
      </c>
      <c r="P394" s="2261"/>
      <c r="Q394" s="520"/>
    </row>
    <row r="395" spans="1:31" ht="11.25" customHeight="1">
      <c r="B395" s="140" t="s">
        <v>3563</v>
      </c>
      <c r="D395" s="140"/>
      <c r="E395" s="140"/>
      <c r="F395" s="140"/>
      <c r="G395" s="140"/>
      <c r="H395" s="40"/>
      <c r="I395" s="2398"/>
      <c r="J395" s="2398"/>
      <c r="K395" s="2398"/>
      <c r="L395" s="2375"/>
      <c r="M395" s="2375"/>
      <c r="N395" s="2375"/>
      <c r="O395" s="2375"/>
      <c r="P395" s="2375"/>
      <c r="Q395" s="855"/>
    </row>
    <row r="396" spans="1:31" ht="11.4" customHeight="1">
      <c r="A396" s="2707" t="s">
        <v>7032</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1818</v>
      </c>
      <c r="C397" s="137"/>
      <c r="D397" s="2377"/>
      <c r="E397" s="2377"/>
      <c r="F397" s="2377"/>
      <c r="G397" s="2377"/>
      <c r="H397" s="2377"/>
      <c r="I397" s="2377"/>
      <c r="J397" s="2377"/>
      <c r="K397" s="2377"/>
      <c r="L397" s="2377"/>
      <c r="M397" s="2377"/>
      <c r="N397" s="2377"/>
      <c r="O397" s="2377"/>
      <c r="P397" s="2377"/>
      <c r="Q397" s="2377"/>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5"/>
      <c r="B399" s="2398"/>
      <c r="C399" s="2377"/>
      <c r="D399" s="2377"/>
      <c r="E399" s="2377"/>
      <c r="F399" s="2377"/>
      <c r="G399" s="2377"/>
      <c r="H399" s="2377"/>
      <c r="I399" s="2377"/>
      <c r="J399" s="2377"/>
      <c r="K399" s="2377"/>
      <c r="L399" s="2377"/>
      <c r="M399" s="2377"/>
      <c r="Q399" s="855"/>
    </row>
    <row r="400" spans="1:31" ht="14.1" customHeight="1">
      <c r="A400" s="2370" t="s">
        <v>3790</v>
      </c>
      <c r="B400" s="4" t="s">
        <v>2591</v>
      </c>
      <c r="C400" s="4"/>
      <c r="D400" s="4"/>
      <c r="E400" s="2377"/>
      <c r="G400" s="139" t="s">
        <v>682</v>
      </c>
      <c r="H400" s="2377"/>
      <c r="I400" s="2377"/>
      <c r="J400" s="2377"/>
      <c r="K400" s="2377"/>
      <c r="L400" s="2377"/>
      <c r="M400" s="2377"/>
      <c r="O400" s="131" t="s">
        <v>1819</v>
      </c>
      <c r="P400" s="2721"/>
      <c r="Q400" s="4125"/>
    </row>
    <row r="401" spans="1:31" ht="12" customHeight="1">
      <c r="A401" s="47" t="s">
        <v>1934</v>
      </c>
      <c r="B401" s="52" t="s">
        <v>2595</v>
      </c>
      <c r="D401" s="857"/>
      <c r="E401" s="857"/>
      <c r="O401" s="455" t="s">
        <v>1934</v>
      </c>
      <c r="P401" s="2256" t="s">
        <v>2883</v>
      </c>
      <c r="Q401" s="518"/>
    </row>
    <row r="402" spans="1:31" ht="12" customHeight="1">
      <c r="A402" s="47" t="s">
        <v>1936</v>
      </c>
      <c r="B402" s="52" t="s">
        <v>3440</v>
      </c>
      <c r="D402" s="857"/>
      <c r="E402" s="857"/>
      <c r="O402" s="455" t="s">
        <v>1936</v>
      </c>
      <c r="P402" s="2265" t="s">
        <v>2886</v>
      </c>
      <c r="Q402" s="519"/>
    </row>
    <row r="403" spans="1:31" ht="12" customHeight="1">
      <c r="A403" s="47" t="s">
        <v>730</v>
      </c>
      <c r="B403" s="52" t="s">
        <v>4710</v>
      </c>
      <c r="D403" s="857"/>
      <c r="E403" s="857"/>
      <c r="O403" s="455" t="s">
        <v>730</v>
      </c>
      <c r="P403" s="2265" t="s">
        <v>2886</v>
      </c>
      <c r="Q403" s="519"/>
    </row>
    <row r="404" spans="1:31" ht="12" customHeight="1">
      <c r="A404" s="47" t="s">
        <v>2063</v>
      </c>
      <c r="B404" s="52" t="s">
        <v>3441</v>
      </c>
      <c r="E404" s="139"/>
      <c r="O404" s="455" t="s">
        <v>2063</v>
      </c>
      <c r="P404" s="2265" t="s">
        <v>2886</v>
      </c>
      <c r="Q404" s="519"/>
    </row>
    <row r="405" spans="1:31" ht="12" customHeight="1">
      <c r="A405" s="47" t="s">
        <v>1691</v>
      </c>
      <c r="B405" s="52" t="s">
        <v>2029</v>
      </c>
      <c r="E405" s="139"/>
      <c r="G405" s="455" t="s">
        <v>1691</v>
      </c>
      <c r="H405" s="2748"/>
      <c r="I405" s="2749"/>
      <c r="J405" s="2749"/>
      <c r="K405" s="2749"/>
      <c r="L405" s="2749"/>
      <c r="M405" s="2749"/>
      <c r="N405" s="2749"/>
      <c r="O405" s="2750"/>
      <c r="P405" s="2261"/>
      <c r="Q405" s="520"/>
    </row>
    <row r="406" spans="1:31" ht="11.25" customHeight="1">
      <c r="B406" s="140" t="s">
        <v>3563</v>
      </c>
      <c r="D406" s="140"/>
      <c r="E406" s="140"/>
      <c r="F406" s="140"/>
      <c r="G406" s="140"/>
      <c r="H406" s="40"/>
      <c r="I406" s="2398"/>
      <c r="J406" s="2398"/>
      <c r="K406" s="2398"/>
      <c r="L406" s="2375"/>
      <c r="M406" s="2375"/>
      <c r="N406" s="2375"/>
      <c r="O406" s="2375"/>
      <c r="P406" s="2375"/>
      <c r="Q406" s="855"/>
    </row>
    <row r="407" spans="1:31" ht="12.75" customHeight="1">
      <c r="A407" s="2707" t="s">
        <v>7131</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1818</v>
      </c>
      <c r="C408" s="137"/>
      <c r="D408" s="2377"/>
      <c r="E408" s="2377"/>
      <c r="F408" s="2377"/>
      <c r="G408" s="2377"/>
      <c r="H408" s="2377"/>
      <c r="I408" s="2377"/>
      <c r="J408" s="2377"/>
      <c r="K408" s="2377"/>
      <c r="L408" s="2377"/>
      <c r="M408" s="2377"/>
      <c r="N408" s="2377"/>
      <c r="O408" s="2377"/>
      <c r="P408" s="2377"/>
      <c r="Q408" s="2377"/>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5"/>
      <c r="B410" s="2398"/>
      <c r="C410" s="2377"/>
      <c r="D410" s="2377"/>
      <c r="E410" s="2377"/>
      <c r="F410" s="2377"/>
      <c r="G410" s="2377"/>
      <c r="H410" s="2377"/>
      <c r="I410" s="2377"/>
      <c r="J410" s="2377"/>
      <c r="K410" s="2377"/>
      <c r="L410" s="2377"/>
      <c r="M410" s="2377"/>
      <c r="N410" s="2377"/>
      <c r="O410" s="2377"/>
      <c r="P410" s="2377"/>
      <c r="Q410" s="2375"/>
    </row>
    <row r="411" spans="1:31" ht="14.1" customHeight="1">
      <c r="A411" s="2370" t="s">
        <v>3791</v>
      </c>
      <c r="B411" s="4" t="s">
        <v>4532</v>
      </c>
      <c r="C411" s="4"/>
      <c r="D411" s="4"/>
      <c r="E411" s="4"/>
      <c r="F411" s="4"/>
      <c r="G411" s="4"/>
      <c r="H411" s="2377"/>
      <c r="I411" s="2377"/>
      <c r="J411" s="2377"/>
      <c r="K411" s="2377"/>
      <c r="L411" s="2377"/>
      <c r="M411" s="2377"/>
      <c r="O411" s="131" t="s">
        <v>1819</v>
      </c>
      <c r="P411" s="4126"/>
      <c r="Q411" s="4127"/>
    </row>
    <row r="412" spans="1:31" ht="12" customHeight="1">
      <c r="A412" s="47" t="s">
        <v>1934</v>
      </c>
      <c r="B412" s="86" t="s">
        <v>4531</v>
      </c>
      <c r="D412" s="42"/>
      <c r="E412" s="42"/>
      <c r="F412" s="42"/>
      <c r="G412" s="42"/>
      <c r="H412" s="42"/>
      <c r="I412" s="42"/>
      <c r="J412" s="42"/>
      <c r="K412" s="42"/>
      <c r="L412" s="42"/>
      <c r="M412" s="42"/>
      <c r="N412" s="42"/>
      <c r="O412" s="42"/>
      <c r="P412" s="42"/>
      <c r="Q412" s="42"/>
    </row>
    <row r="413" spans="1:31" ht="12" customHeight="1">
      <c r="A413" s="47"/>
      <c r="B413" s="1593" t="s">
        <v>1937</v>
      </c>
      <c r="C413" s="55" t="s">
        <v>733</v>
      </c>
      <c r="D413" s="42"/>
      <c r="E413" s="42"/>
      <c r="F413" s="42"/>
      <c r="G413" s="42"/>
      <c r="H413" s="42"/>
      <c r="I413" s="42"/>
      <c r="J413" s="42"/>
      <c r="K413" s="42"/>
      <c r="L413" s="42"/>
      <c r="M413" s="42"/>
      <c r="N413" s="42"/>
      <c r="O413" s="455">
        <v>1</v>
      </c>
      <c r="P413" s="2256" t="s">
        <v>2886</v>
      </c>
      <c r="Q413" s="518"/>
    </row>
    <row r="414" spans="1:31" ht="12" customHeight="1">
      <c r="C414" s="36" t="s">
        <v>4711</v>
      </c>
      <c r="D414" s="55" t="s">
        <v>4712</v>
      </c>
      <c r="E414" s="42"/>
      <c r="F414" s="42"/>
      <c r="G414" s="42"/>
      <c r="H414" s="42"/>
      <c r="I414" s="42"/>
      <c r="J414" s="42"/>
      <c r="K414" s="42"/>
      <c r="L414" s="42"/>
      <c r="M414" s="42"/>
      <c r="N414" s="42"/>
      <c r="O414" s="455" t="s">
        <v>2370</v>
      </c>
      <c r="P414" s="2265" t="s">
        <v>2883</v>
      </c>
      <c r="Q414" s="519"/>
    </row>
    <row r="415" spans="1:31" ht="12" customHeight="1">
      <c r="B415" s="52"/>
      <c r="C415" s="52" t="s">
        <v>2371</v>
      </c>
      <c r="D415" s="55" t="s">
        <v>4713</v>
      </c>
      <c r="E415" s="42"/>
      <c r="F415" s="42"/>
      <c r="G415" s="42"/>
      <c r="H415" s="42"/>
      <c r="I415" s="42"/>
      <c r="J415" s="42"/>
      <c r="K415" s="42"/>
      <c r="L415" s="42"/>
      <c r="M415" s="42"/>
      <c r="N415" s="42"/>
      <c r="O415" s="64" t="s">
        <v>2371</v>
      </c>
      <c r="P415" s="2261" t="s">
        <v>2886</v>
      </c>
      <c r="Q415" s="520"/>
    </row>
    <row r="416" spans="1:31" ht="12" customHeight="1">
      <c r="A416" s="47"/>
      <c r="D416" s="52" t="s">
        <v>1451</v>
      </c>
      <c r="E416" s="52"/>
      <c r="F416" s="52"/>
      <c r="G416" s="52"/>
      <c r="H416" s="52"/>
      <c r="I416" s="52"/>
      <c r="J416" s="52"/>
      <c r="K416" s="52"/>
      <c r="L416" s="52"/>
      <c r="M416" s="52"/>
      <c r="N416" s="42"/>
      <c r="O416" s="1714"/>
    </row>
    <row r="417" spans="1:32" ht="12" customHeight="1">
      <c r="C417" s="52" t="s">
        <v>4539</v>
      </c>
      <c r="D417" s="52" t="s">
        <v>3354</v>
      </c>
      <c r="E417" s="52"/>
      <c r="F417" s="52"/>
      <c r="G417" s="52"/>
      <c r="H417" s="52"/>
      <c r="I417" s="52"/>
      <c r="J417" s="52"/>
      <c r="K417" s="52"/>
      <c r="L417" s="52"/>
      <c r="M417" s="52"/>
      <c r="N417" s="42"/>
      <c r="O417" s="64" t="s">
        <v>2372</v>
      </c>
      <c r="P417" s="2266"/>
      <c r="Q417" s="518"/>
    </row>
    <row r="418" spans="1:32" s="147" customFormat="1" ht="12" customHeight="1">
      <c r="A418" s="47"/>
      <c r="C418" s="64" t="s">
        <v>2373</v>
      </c>
      <c r="D418" s="52" t="s">
        <v>3435</v>
      </c>
      <c r="E418" s="52"/>
      <c r="F418" s="52"/>
      <c r="G418" s="52"/>
      <c r="H418" s="52"/>
      <c r="I418" s="52"/>
      <c r="J418" s="52"/>
      <c r="K418" s="52"/>
      <c r="L418" s="52"/>
      <c r="M418" s="52"/>
      <c r="N418" s="94"/>
      <c r="O418" s="64" t="s">
        <v>2373</v>
      </c>
      <c r="P418" s="2265" t="s">
        <v>2886</v>
      </c>
      <c r="Q418" s="519"/>
      <c r="AE418" s="459"/>
      <c r="AF418" s="459"/>
    </row>
    <row r="419" spans="1:32" ht="12" customHeight="1">
      <c r="A419" s="47"/>
      <c r="B419" s="1593" t="s">
        <v>1939</v>
      </c>
      <c r="C419" s="52" t="s">
        <v>2149</v>
      </c>
      <c r="E419" s="52"/>
      <c r="F419" s="52"/>
      <c r="G419" s="52"/>
      <c r="H419" s="52"/>
      <c r="I419" s="52"/>
      <c r="J419" s="52"/>
      <c r="K419" s="52"/>
      <c r="L419" s="52"/>
      <c r="M419" s="52"/>
      <c r="N419" s="52"/>
      <c r="O419" s="455">
        <v>2</v>
      </c>
      <c r="P419" s="2265" t="s">
        <v>2883</v>
      </c>
      <c r="Q419" s="519"/>
    </row>
    <row r="420" spans="1:32" ht="12" customHeight="1">
      <c r="A420" s="47"/>
      <c r="B420" s="1593" t="s">
        <v>2466</v>
      </c>
      <c r="C420" s="2713" t="s">
        <v>2717</v>
      </c>
      <c r="D420" s="2713"/>
      <c r="E420" s="2713"/>
      <c r="F420" s="2713"/>
      <c r="G420" s="134" t="s">
        <v>4540</v>
      </c>
      <c r="J420" s="2277">
        <v>8</v>
      </c>
      <c r="K420" s="4128"/>
      <c r="M420" s="134" t="s">
        <v>4541</v>
      </c>
      <c r="P420" s="2278">
        <v>0</v>
      </c>
      <c r="Q420" s="4129"/>
    </row>
    <row r="421" spans="1:32" ht="12" customHeight="1">
      <c r="A421" s="47"/>
      <c r="C421" s="2713"/>
      <c r="D421" s="2713"/>
      <c r="E421" s="2713"/>
      <c r="F421" s="2713"/>
      <c r="G421" s="134" t="s">
        <v>4542</v>
      </c>
      <c r="J421" s="2278">
        <v>21</v>
      </c>
      <c r="K421" s="4129"/>
      <c r="M421" s="134" t="s">
        <v>4543</v>
      </c>
      <c r="P421" s="2279">
        <v>0</v>
      </c>
      <c r="Q421" s="4130"/>
    </row>
    <row r="422" spans="1:32" ht="12" customHeight="1">
      <c r="A422" s="47"/>
      <c r="C422" s="2713"/>
      <c r="D422" s="2713"/>
      <c r="E422" s="2713"/>
      <c r="F422" s="2713"/>
      <c r="G422" s="134" t="s">
        <v>4544</v>
      </c>
      <c r="J422" s="2279">
        <v>6</v>
      </c>
      <c r="K422" s="4130"/>
      <c r="L422" s="856"/>
      <c r="M422" s="42"/>
      <c r="N422" s="455"/>
    </row>
    <row r="423" spans="1:32" ht="12" customHeight="1">
      <c r="A423" s="47"/>
      <c r="B423" s="1593" t="s">
        <v>1197</v>
      </c>
      <c r="C423" s="856" t="s">
        <v>4366</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66" t="s">
        <v>2883</v>
      </c>
      <c r="K424" s="518"/>
      <c r="L424" s="856"/>
      <c r="M424" s="427" t="s">
        <v>4538</v>
      </c>
    </row>
    <row r="425" spans="1:32" ht="12" customHeight="1">
      <c r="A425" s="42"/>
      <c r="G425" s="427" t="s">
        <v>4534</v>
      </c>
      <c r="H425" s="856"/>
      <c r="I425" s="856"/>
      <c r="J425" s="2265" t="s">
        <v>2883</v>
      </c>
      <c r="K425" s="519"/>
      <c r="M425" s="2759" t="s">
        <v>7122</v>
      </c>
      <c r="N425" s="2760"/>
      <c r="O425" s="2760"/>
      <c r="P425" s="2760"/>
      <c r="Q425" s="2761"/>
    </row>
    <row r="426" spans="1:32" ht="63.75" customHeight="1">
      <c r="A426" s="42"/>
      <c r="G426" s="427" t="s">
        <v>4535</v>
      </c>
      <c r="H426" s="856"/>
      <c r="J426" s="2261" t="s">
        <v>2883</v>
      </c>
      <c r="K426" s="520"/>
      <c r="M426" s="2762"/>
      <c r="N426" s="2763"/>
      <c r="O426" s="2763"/>
      <c r="P426" s="2763"/>
      <c r="Q426" s="2764"/>
    </row>
    <row r="427" spans="1:32" ht="12" customHeight="1">
      <c r="A427" s="47"/>
      <c r="B427" s="427"/>
      <c r="C427" s="856" t="s">
        <v>4546</v>
      </c>
      <c r="D427" s="147"/>
      <c r="E427" s="856"/>
      <c r="F427" s="856"/>
      <c r="L427" s="856"/>
      <c r="M427" s="856"/>
      <c r="O427" s="455" t="s">
        <v>1694</v>
      </c>
      <c r="P427" s="2262" t="s">
        <v>7123</v>
      </c>
      <c r="Q427" s="517" t="s">
        <v>1726</v>
      </c>
    </row>
    <row r="428" spans="1:32" ht="12" customHeight="1">
      <c r="A428" s="42"/>
      <c r="B428" s="147"/>
      <c r="D428" s="1438" t="s">
        <v>2393</v>
      </c>
      <c r="E428" s="427" t="s">
        <v>3641</v>
      </c>
      <c r="F428" s="856"/>
      <c r="G428" s="2771" t="s">
        <v>7124</v>
      </c>
      <c r="H428" s="2772"/>
      <c r="I428" s="2772"/>
      <c r="J428" s="2772"/>
      <c r="K428" s="2773"/>
      <c r="L428" s="1438"/>
    </row>
    <row r="429" spans="1:32" ht="12" customHeight="1">
      <c r="B429" s="147"/>
      <c r="D429" s="1438" t="s">
        <v>4536</v>
      </c>
      <c r="E429" s="427" t="s">
        <v>4537</v>
      </c>
      <c r="F429" s="1438"/>
      <c r="G429" s="2774" t="s">
        <v>7125</v>
      </c>
      <c r="H429" s="2775"/>
      <c r="I429" s="2776"/>
      <c r="J429" s="427" t="s">
        <v>4273</v>
      </c>
      <c r="K429" s="147"/>
      <c r="M429" s="2771"/>
      <c r="N429" s="2772"/>
      <c r="O429" s="2772"/>
      <c r="P429" s="2772"/>
      <c r="Q429" s="2773"/>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118.5" customHeight="1">
      <c r="B431" s="2751" t="s">
        <v>7126</v>
      </c>
      <c r="C431" s="2752"/>
      <c r="D431" s="2752"/>
      <c r="E431" s="2752"/>
      <c r="F431" s="2752"/>
      <c r="G431" s="2752"/>
      <c r="H431" s="2752"/>
      <c r="I431" s="2752"/>
      <c r="J431" s="2752"/>
      <c r="K431" s="2752"/>
      <c r="L431" s="2752"/>
      <c r="M431" s="2752"/>
      <c r="N431" s="2752"/>
      <c r="O431" s="2752"/>
      <c r="P431" s="2752"/>
      <c r="Q431" s="2753"/>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65" t="s">
        <v>4714</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4547</v>
      </c>
      <c r="C434" s="2377"/>
      <c r="D434" s="2377"/>
      <c r="E434" s="2377"/>
      <c r="F434" s="2377"/>
      <c r="G434" s="2377"/>
      <c r="H434" s="2377"/>
      <c r="I434" s="2377"/>
      <c r="J434" s="2377"/>
      <c r="K434" s="2377"/>
      <c r="L434" s="2377"/>
      <c r="M434" s="2377"/>
      <c r="N434" s="2377"/>
      <c r="T434" s="459"/>
      <c r="AE434" s="459"/>
      <c r="AF434" s="459"/>
    </row>
    <row r="435" spans="1:32" s="147" customFormat="1" ht="48" customHeight="1">
      <c r="B435" s="2713" t="s">
        <v>4548</v>
      </c>
      <c r="C435" s="2713"/>
      <c r="D435" s="2713"/>
      <c r="E435" s="2713"/>
      <c r="F435" s="2713"/>
      <c r="G435" s="2713"/>
      <c r="H435" s="2713"/>
      <c r="I435" s="2713"/>
      <c r="J435" s="2713"/>
      <c r="K435" s="2713"/>
      <c r="L435" s="2713"/>
      <c r="M435" s="2713"/>
      <c r="N435" s="2713"/>
      <c r="O435" s="160" t="s">
        <v>1936</v>
      </c>
      <c r="P435" s="2280" t="s">
        <v>7019</v>
      </c>
      <c r="Q435" s="4131"/>
      <c r="T435" s="459"/>
      <c r="AE435" s="459"/>
      <c r="AF435" s="459"/>
    </row>
    <row r="436" spans="1:32" ht="12" customHeight="1">
      <c r="B436" s="140" t="s">
        <v>3563</v>
      </c>
      <c r="D436" s="140"/>
      <c r="E436" s="140"/>
      <c r="F436" s="140"/>
      <c r="G436" s="140"/>
      <c r="H436" s="40"/>
      <c r="I436" s="2398"/>
      <c r="J436" s="2398"/>
      <c r="K436" s="2398"/>
    </row>
    <row r="437" spans="1:32" ht="25.5" customHeight="1">
      <c r="A437" s="2710" t="s">
        <v>7127</v>
      </c>
      <c r="B437" s="2711"/>
      <c r="C437" s="2711"/>
      <c r="D437" s="2711"/>
      <c r="E437" s="2711"/>
      <c r="F437" s="2711"/>
      <c r="G437" s="2711"/>
      <c r="H437" s="2711"/>
      <c r="I437" s="2711"/>
      <c r="J437" s="2711"/>
      <c r="K437" s="2711"/>
      <c r="L437" s="2711"/>
      <c r="M437" s="2711"/>
      <c r="N437" s="2711"/>
      <c r="O437" s="2711"/>
      <c r="P437" s="2711"/>
      <c r="Q437" s="2712"/>
      <c r="U437" s="135"/>
      <c r="V437" s="135"/>
      <c r="W437" s="135"/>
      <c r="X437" s="135"/>
      <c r="Y437" s="135"/>
      <c r="Z437" s="135"/>
      <c r="AA437" s="135"/>
      <c r="AB437" s="135"/>
      <c r="AC437" s="135"/>
      <c r="AD437" s="135"/>
      <c r="AE437" s="457"/>
    </row>
    <row r="438" spans="1:32" ht="12" customHeight="1">
      <c r="B438" s="136" t="s">
        <v>1818</v>
      </c>
      <c r="C438" s="137"/>
      <c r="D438" s="2377"/>
      <c r="E438" s="2377"/>
      <c r="F438" s="2377"/>
      <c r="G438" s="2377"/>
      <c r="H438" s="2377"/>
      <c r="I438" s="2377"/>
      <c r="J438" s="2377"/>
      <c r="K438" s="2377"/>
      <c r="L438" s="2377"/>
      <c r="M438" s="2377"/>
      <c r="N438" s="2377"/>
      <c r="O438" s="2377"/>
      <c r="P438" s="2377"/>
      <c r="Q438" s="2377"/>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5"/>
      <c r="B440" s="2398"/>
      <c r="C440" s="2377"/>
      <c r="D440" s="2377"/>
      <c r="E440" s="2377"/>
      <c r="F440" s="2377"/>
      <c r="G440" s="2377"/>
      <c r="H440" s="2377"/>
      <c r="I440" s="2377"/>
      <c r="J440" s="2377"/>
      <c r="K440" s="2377"/>
      <c r="L440" s="2377"/>
      <c r="M440" s="2377"/>
      <c r="Q440" s="855"/>
    </row>
    <row r="441" spans="1:32" ht="14.1" customHeight="1">
      <c r="A441" s="2370" t="s">
        <v>3792</v>
      </c>
      <c r="B441" s="4" t="s">
        <v>2718</v>
      </c>
      <c r="C441" s="4"/>
      <c r="D441" s="86"/>
      <c r="E441" s="2377"/>
      <c r="F441" s="2377"/>
      <c r="G441" s="2377"/>
      <c r="H441" s="2377"/>
      <c r="O441" s="131" t="s">
        <v>1819</v>
      </c>
      <c r="P441" s="2721"/>
      <c r="Q441" s="2722"/>
    </row>
    <row r="442" spans="1:32" ht="14.1" customHeight="1">
      <c r="B442" s="86" t="s">
        <v>4458</v>
      </c>
      <c r="C442" s="4"/>
      <c r="D442" s="86"/>
      <c r="E442" s="2377"/>
      <c r="F442" s="2377"/>
      <c r="G442" s="2377"/>
      <c r="H442" s="2377"/>
    </row>
    <row r="443" spans="1:32" s="132" customFormat="1" ht="21.75" customHeight="1">
      <c r="A443" s="141" t="s">
        <v>1934</v>
      </c>
      <c r="B443" s="2723" t="s">
        <v>3691</v>
      </c>
      <c r="C443" s="2723"/>
      <c r="D443" s="2723"/>
      <c r="E443" s="2723"/>
      <c r="F443" s="2723"/>
      <c r="G443" s="2723"/>
      <c r="H443" s="2723"/>
      <c r="I443" s="2723"/>
      <c r="J443" s="2723"/>
      <c r="K443" s="2723"/>
      <c r="L443" s="2723"/>
      <c r="M443" s="2723"/>
      <c r="N443" s="2723"/>
      <c r="O443" s="160" t="s">
        <v>1934</v>
      </c>
      <c r="P443" s="2389" t="s">
        <v>7019</v>
      </c>
      <c r="Q443" s="1088"/>
      <c r="AE443" s="458"/>
      <c r="AF443" s="458"/>
    </row>
    <row r="444" spans="1:32" s="132" customFormat="1" ht="22.5" customHeight="1">
      <c r="A444" s="141" t="s">
        <v>1936</v>
      </c>
      <c r="B444" s="2723" t="s">
        <v>3690</v>
      </c>
      <c r="C444" s="2723"/>
      <c r="D444" s="2723"/>
      <c r="E444" s="2723"/>
      <c r="F444" s="2723"/>
      <c r="G444" s="2723"/>
      <c r="H444" s="2723"/>
      <c r="I444" s="2723"/>
      <c r="J444" s="2723"/>
      <c r="K444" s="2723"/>
      <c r="L444" s="2723"/>
      <c r="M444" s="2723"/>
      <c r="N444" s="2723"/>
      <c r="O444" s="160" t="s">
        <v>1936</v>
      </c>
      <c r="P444" s="2389" t="s">
        <v>7019</v>
      </c>
      <c r="Q444" s="2379"/>
      <c r="AE444" s="458"/>
      <c r="AF444" s="458"/>
    </row>
    <row r="445" spans="1:32" s="132" customFormat="1" ht="22.5" customHeight="1">
      <c r="B445" s="1488" t="s">
        <v>1693</v>
      </c>
      <c r="C445" s="2723" t="s">
        <v>4414</v>
      </c>
      <c r="D445" s="2723"/>
      <c r="E445" s="2723"/>
      <c r="F445" s="2723"/>
      <c r="G445" s="2723"/>
      <c r="H445" s="2723"/>
      <c r="I445" s="2723"/>
      <c r="J445" s="2723"/>
      <c r="K445" s="2723"/>
      <c r="L445" s="2723"/>
      <c r="M445" s="2723"/>
      <c r="N445" s="2723"/>
      <c r="O445" s="160" t="s">
        <v>1693</v>
      </c>
      <c r="P445" s="2389" t="s">
        <v>7019</v>
      </c>
      <c r="Q445" s="2379"/>
      <c r="AE445" s="458"/>
      <c r="AF445" s="458"/>
    </row>
    <row r="446" spans="1:32" s="42" customFormat="1" ht="12" customHeight="1">
      <c r="B446" s="1488" t="s">
        <v>1694</v>
      </c>
      <c r="C446" s="36" t="s">
        <v>4415</v>
      </c>
      <c r="D446" s="1065"/>
      <c r="E446" s="1065"/>
      <c r="F446" s="1065"/>
      <c r="G446" s="1065"/>
      <c r="H446" s="1065"/>
      <c r="I446" s="1065"/>
      <c r="J446" s="1065"/>
      <c r="K446" s="1065"/>
      <c r="L446" s="1065"/>
      <c r="M446" s="1065"/>
      <c r="N446" s="1065"/>
      <c r="O446" s="455" t="s">
        <v>1694</v>
      </c>
      <c r="P446" s="2389" t="s">
        <v>7019</v>
      </c>
      <c r="Q446" s="519"/>
      <c r="AE446" s="50"/>
      <c r="AF446" s="50"/>
    </row>
    <row r="447" spans="1:32" s="132" customFormat="1" ht="33" customHeight="1">
      <c r="B447" s="468" t="s">
        <v>1695</v>
      </c>
      <c r="C447" s="2723" t="s">
        <v>4416</v>
      </c>
      <c r="D447" s="2723"/>
      <c r="E447" s="2723"/>
      <c r="F447" s="2723"/>
      <c r="G447" s="2723"/>
      <c r="H447" s="2723"/>
      <c r="I447" s="2723"/>
      <c r="J447" s="2723"/>
      <c r="K447" s="2723"/>
      <c r="L447" s="2723"/>
      <c r="M447" s="2723"/>
      <c r="N447" s="2723"/>
      <c r="O447" s="160" t="s">
        <v>1695</v>
      </c>
      <c r="P447" s="2389" t="s">
        <v>7019</v>
      </c>
      <c r="Q447" s="2379"/>
      <c r="AE447" s="458"/>
      <c r="AF447" s="458"/>
    </row>
    <row r="448" spans="1:32" s="132" customFormat="1" ht="22.5" customHeight="1">
      <c r="B448" s="468" t="s">
        <v>2303</v>
      </c>
      <c r="C448" s="2723" t="s">
        <v>4417</v>
      </c>
      <c r="D448" s="2723"/>
      <c r="E448" s="2723"/>
      <c r="F448" s="2723"/>
      <c r="G448" s="2723"/>
      <c r="H448" s="2723"/>
      <c r="I448" s="2723"/>
      <c r="J448" s="2723"/>
      <c r="K448" s="2723"/>
      <c r="L448" s="2723"/>
      <c r="M448" s="2723"/>
      <c r="N448" s="2723"/>
      <c r="O448" s="160" t="s">
        <v>2303</v>
      </c>
      <c r="P448" s="2389" t="s">
        <v>7019</v>
      </c>
      <c r="Q448" s="2379"/>
      <c r="AE448" s="458"/>
      <c r="AF448" s="458"/>
    </row>
    <row r="449" spans="1:32" s="132" customFormat="1" ht="22.5" customHeight="1">
      <c r="A449" s="141" t="s">
        <v>730</v>
      </c>
      <c r="B449" s="2723" t="s">
        <v>3692</v>
      </c>
      <c r="C449" s="2723"/>
      <c r="D449" s="2723"/>
      <c r="E449" s="2723"/>
      <c r="F449" s="2723"/>
      <c r="G449" s="2723"/>
      <c r="H449" s="2723"/>
      <c r="I449" s="2723"/>
      <c r="J449" s="2723"/>
      <c r="K449" s="2723"/>
      <c r="L449" s="2723"/>
      <c r="M449" s="2723"/>
      <c r="N449" s="2723"/>
      <c r="O449" s="160" t="s">
        <v>730</v>
      </c>
      <c r="P449" s="2389" t="s">
        <v>7019</v>
      </c>
      <c r="Q449" s="2379"/>
      <c r="AE449" s="458"/>
      <c r="AF449" s="458"/>
    </row>
    <row r="450" spans="1:32" s="132" customFormat="1" ht="22.5" customHeight="1">
      <c r="A450" s="141" t="s">
        <v>2063</v>
      </c>
      <c r="B450" s="2723" t="s">
        <v>4499</v>
      </c>
      <c r="C450" s="2723"/>
      <c r="D450" s="2723"/>
      <c r="E450" s="2723"/>
      <c r="F450" s="2723"/>
      <c r="G450" s="2723"/>
      <c r="H450" s="2723"/>
      <c r="I450" s="2723"/>
      <c r="J450" s="2723"/>
      <c r="K450" s="2723"/>
      <c r="L450" s="2723"/>
      <c r="M450" s="2723"/>
      <c r="N450" s="2723"/>
      <c r="O450" s="160" t="s">
        <v>2063</v>
      </c>
      <c r="P450" s="2389" t="s">
        <v>7019</v>
      </c>
      <c r="Q450" s="2379"/>
      <c r="AE450" s="458"/>
      <c r="AF450" s="458"/>
    </row>
    <row r="451" spans="1:32" s="132" customFormat="1" ht="21.75" customHeight="1">
      <c r="A451" s="141" t="s">
        <v>1691</v>
      </c>
      <c r="B451" s="2723" t="s">
        <v>4500</v>
      </c>
      <c r="C451" s="2723"/>
      <c r="D451" s="2723"/>
      <c r="E451" s="2723"/>
      <c r="F451" s="2723"/>
      <c r="G451" s="2723"/>
      <c r="H451" s="2723"/>
      <c r="I451" s="2723"/>
      <c r="J451" s="2723"/>
      <c r="K451" s="2723"/>
      <c r="L451" s="2723"/>
      <c r="M451" s="2723"/>
      <c r="N451" s="2723"/>
      <c r="O451" s="160" t="s">
        <v>1691</v>
      </c>
      <c r="P451" s="2389" t="s">
        <v>7019</v>
      </c>
      <c r="Q451" s="2379"/>
      <c r="AE451" s="458"/>
      <c r="AF451" s="458"/>
    </row>
    <row r="452" spans="1:32" s="411" customFormat="1" ht="21.75" customHeight="1">
      <c r="A452" s="141" t="s">
        <v>1692</v>
      </c>
      <c r="B452" s="2723" t="s">
        <v>4563</v>
      </c>
      <c r="C452" s="2723"/>
      <c r="D452" s="2723"/>
      <c r="E452" s="2723"/>
      <c r="F452" s="2723"/>
      <c r="G452" s="2723"/>
      <c r="H452" s="2723"/>
      <c r="I452" s="2723"/>
      <c r="J452" s="2723"/>
      <c r="K452" s="2723"/>
      <c r="L452" s="2723"/>
      <c r="M452" s="2723"/>
      <c r="N452" s="2723"/>
      <c r="O452" s="160" t="s">
        <v>1692</v>
      </c>
      <c r="P452" s="2389" t="s">
        <v>7019</v>
      </c>
      <c r="Q452" s="2253"/>
      <c r="AE452" s="460"/>
      <c r="AF452" s="460"/>
    </row>
    <row r="453" spans="1:32" ht="11.25" customHeight="1">
      <c r="B453" s="140" t="s">
        <v>3563</v>
      </c>
      <c r="D453" s="140"/>
      <c r="E453" s="140"/>
      <c r="F453" s="140"/>
      <c r="G453" s="140"/>
      <c r="H453" s="40"/>
      <c r="I453" s="2398"/>
      <c r="J453" s="2398"/>
      <c r="K453" s="2398"/>
      <c r="L453" s="2375"/>
      <c r="M453" s="2375"/>
      <c r="N453" s="2375"/>
      <c r="O453" s="2375"/>
      <c r="P453" s="2375"/>
      <c r="Q453" s="855"/>
    </row>
    <row r="454" spans="1:32" ht="13.5" customHeight="1">
      <c r="A454" s="2710" t="s">
        <v>7033</v>
      </c>
      <c r="B454" s="2711"/>
      <c r="C454" s="2711"/>
      <c r="D454" s="2711"/>
      <c r="E454" s="2711"/>
      <c r="F454" s="2711"/>
      <c r="G454" s="2711"/>
      <c r="H454" s="2711"/>
      <c r="I454" s="2711"/>
      <c r="J454" s="2711"/>
      <c r="K454" s="2711"/>
      <c r="L454" s="2711"/>
      <c r="M454" s="2711"/>
      <c r="N454" s="2711"/>
      <c r="O454" s="2711"/>
      <c r="P454" s="2711"/>
      <c r="Q454" s="2712"/>
      <c r="R454" s="440" t="s">
        <v>1227</v>
      </c>
      <c r="S454" s="441"/>
      <c r="U454" s="135"/>
      <c r="V454" s="135"/>
      <c r="W454" s="135"/>
      <c r="X454" s="135"/>
      <c r="Y454" s="135"/>
      <c r="Z454" s="135"/>
      <c r="AA454" s="135"/>
      <c r="AB454" s="135"/>
      <c r="AC454" s="135"/>
      <c r="AD454" s="135"/>
      <c r="AE454" s="457"/>
    </row>
    <row r="455" spans="1:32" ht="11.25" customHeight="1">
      <c r="B455" s="136" t="s">
        <v>1818</v>
      </c>
      <c r="C455" s="137"/>
      <c r="D455" s="2377"/>
      <c r="E455" s="2377"/>
      <c r="F455" s="2377"/>
      <c r="G455" s="2377"/>
      <c r="H455" s="2377"/>
      <c r="I455" s="2377"/>
      <c r="J455" s="2377"/>
      <c r="K455" s="2377"/>
      <c r="L455" s="2377"/>
      <c r="M455" s="2377"/>
      <c r="N455" s="2377"/>
      <c r="O455" s="2377"/>
      <c r="P455" s="2377"/>
      <c r="Q455" s="2377"/>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5"/>
      <c r="B457" s="2398"/>
      <c r="C457" s="2377"/>
      <c r="D457" s="2377"/>
      <c r="E457" s="2377"/>
      <c r="F457" s="2377"/>
      <c r="G457" s="2377"/>
      <c r="H457" s="2377"/>
      <c r="I457" s="2377"/>
      <c r="J457" s="2377"/>
      <c r="K457" s="2377"/>
      <c r="L457" s="2377"/>
      <c r="M457" s="2377"/>
      <c r="Q457" s="855"/>
    </row>
    <row r="458" spans="1:32" s="43" customFormat="1" ht="12.75" customHeight="1" thickBot="1">
      <c r="A458" s="2370" t="s">
        <v>3793</v>
      </c>
      <c r="C458" s="10" t="s">
        <v>2637</v>
      </c>
      <c r="D458" s="58"/>
      <c r="E458" s="52"/>
      <c r="J458" s="61"/>
      <c r="M458" s="2374"/>
      <c r="N458" s="6"/>
      <c r="O458" s="131" t="s">
        <v>1819</v>
      </c>
      <c r="P458" s="2721"/>
      <c r="Q458" s="2722"/>
    </row>
    <row r="459" spans="1:32" s="409" customFormat="1" ht="15" customHeight="1" thickBot="1">
      <c r="A459" s="141" t="s">
        <v>1934</v>
      </c>
      <c r="B459" s="2723" t="s">
        <v>4583</v>
      </c>
      <c r="C459" s="2723"/>
      <c r="D459" s="2723"/>
      <c r="E459" s="2723"/>
      <c r="F459" s="2723"/>
      <c r="G459" s="2723"/>
      <c r="H459" s="2723"/>
      <c r="I459" s="2723"/>
      <c r="J459" s="2743" t="s">
        <v>4454</v>
      </c>
      <c r="K459" s="2744"/>
      <c r="L459" s="1599" t="s">
        <v>4585</v>
      </c>
      <c r="M459" s="1517"/>
      <c r="N459" s="1513">
        <f>ROUNDUP('Part VI-Revenues &amp; Expenses'!$P$63*0.1,0)</f>
        <v>4</v>
      </c>
      <c r="O459" s="388" t="s">
        <v>1934</v>
      </c>
      <c r="P459" s="2758" t="s">
        <v>7019</v>
      </c>
      <c r="Q459" s="4132"/>
      <c r="R459" s="1512"/>
      <c r="S459" s="1512"/>
    </row>
    <row r="460" spans="1:32" s="409" customFormat="1" ht="15" customHeight="1">
      <c r="B460" s="2723"/>
      <c r="C460" s="2723"/>
      <c r="D460" s="2723"/>
      <c r="E460" s="2723"/>
      <c r="F460" s="2723"/>
      <c r="G460" s="2723"/>
      <c r="H460" s="2723"/>
      <c r="I460" s="2723"/>
      <c r="J460" s="2745">
        <f>'Part VI-Revenues &amp; Expenses'!$P$100</f>
        <v>0</v>
      </c>
      <c r="K460" s="2745"/>
      <c r="L460" s="1597" t="s">
        <v>4455</v>
      </c>
      <c r="M460" s="92"/>
      <c r="N460" s="1600">
        <f>'Part VI-Revenues &amp; Expenses'!$P$63</f>
        <v>40</v>
      </c>
      <c r="P460" s="2756"/>
      <c r="Q460" s="2905"/>
      <c r="R460" s="1512"/>
      <c r="S460" s="1512"/>
    </row>
    <row r="461" spans="1:32" s="409" customFormat="1" ht="15" customHeight="1">
      <c r="A461" s="141"/>
      <c r="B461" s="2723"/>
      <c r="C461" s="2723"/>
      <c r="D461" s="2723"/>
      <c r="E461" s="2723"/>
      <c r="F461" s="2723"/>
      <c r="G461" s="2723"/>
      <c r="H461" s="2723"/>
      <c r="I461" s="2723"/>
      <c r="J461" s="563"/>
      <c r="L461" s="856" t="s">
        <v>1748</v>
      </c>
      <c r="M461" s="92"/>
      <c r="N461" s="1602">
        <f>'Part VI-Revenues &amp; Expenses'!$P$67</f>
        <v>40</v>
      </c>
      <c r="P461" s="2756"/>
      <c r="Q461" s="2905"/>
    </row>
    <row r="462" spans="1:32" s="431" customFormat="1" ht="22.5" customHeight="1">
      <c r="A462" s="141" t="s">
        <v>1936</v>
      </c>
      <c r="B462" s="2723" t="s">
        <v>4589</v>
      </c>
      <c r="C462" s="2723"/>
      <c r="D462" s="2723"/>
      <c r="E462" s="2723"/>
      <c r="F462" s="2723"/>
      <c r="G462" s="2723"/>
      <c r="H462" s="2723"/>
      <c r="I462" s="2723"/>
      <c r="J462" s="2769" t="s">
        <v>4584</v>
      </c>
      <c r="K462" s="2697"/>
      <c r="L462" s="2766" t="s">
        <v>7128</v>
      </c>
      <c r="M462" s="2767"/>
      <c r="N462" s="2768"/>
      <c r="O462" s="388" t="s">
        <v>1936</v>
      </c>
      <c r="P462" s="2380" t="s">
        <v>2883</v>
      </c>
      <c r="Q462" s="2379"/>
    </row>
    <row r="463" spans="1:32" s="431" customFormat="1" ht="12" customHeight="1" thickBot="1">
      <c r="A463" s="141" t="s">
        <v>730</v>
      </c>
      <c r="B463" s="2723" t="s">
        <v>4358</v>
      </c>
      <c r="C463" s="2723"/>
      <c r="D463" s="2723"/>
      <c r="E463" s="2723"/>
      <c r="F463" s="2723"/>
      <c r="G463" s="2723"/>
      <c r="H463" s="2723"/>
      <c r="I463" s="2723"/>
      <c r="J463" s="1065" t="s">
        <v>4277</v>
      </c>
      <c r="K463" s="1467">
        <f>'Part VI-Revenues &amp; Expenses'!$P$115</f>
        <v>0</v>
      </c>
      <c r="L463" s="1598" t="s">
        <v>4276</v>
      </c>
      <c r="M463" s="92"/>
      <c r="N463" s="1601">
        <f>ROUNDUP(N461*0.1,0)</f>
        <v>4</v>
      </c>
      <c r="O463" s="388" t="s">
        <v>730</v>
      </c>
      <c r="P463" s="2756" t="s">
        <v>2883</v>
      </c>
      <c r="Q463" s="2905"/>
      <c r="R463" s="1512"/>
      <c r="S463" s="1512"/>
    </row>
    <row r="464" spans="1:32" s="431" customFormat="1" ht="12" customHeight="1" thickBot="1">
      <c r="B464" s="2723"/>
      <c r="C464" s="2723"/>
      <c r="D464" s="2723"/>
      <c r="E464" s="2723"/>
      <c r="F464" s="2723"/>
      <c r="G464" s="2723"/>
      <c r="H464" s="2723"/>
      <c r="I464" s="2723"/>
      <c r="J464" s="1065" t="s">
        <v>4278</v>
      </c>
      <c r="K464" s="1468">
        <f>IF(N461=0,"",K463/N461)</f>
        <v>0</v>
      </c>
      <c r="L464" s="1515" t="s">
        <v>4453</v>
      </c>
      <c r="M464" s="1516"/>
      <c r="N464" s="1514">
        <f>'Part VI-Revenues &amp; Expenses'!$L$67/'Part VI-Revenues &amp; Expenses'!$P$67</f>
        <v>0.3</v>
      </c>
      <c r="O464" s="388" t="str">
        <f>IF(AND(N464&lt;0.1,P463="Yes"), "Check!","")</f>
        <v/>
      </c>
      <c r="P464" s="2757"/>
      <c r="Q464" s="4133"/>
      <c r="R464" s="1512"/>
      <c r="S464" s="1512"/>
    </row>
    <row r="465" spans="1:32" s="94" customFormat="1" ht="12" customHeight="1">
      <c r="A465" s="47" t="s">
        <v>2063</v>
      </c>
      <c r="B465" s="554" t="s">
        <v>1937</v>
      </c>
      <c r="C465" s="1596" t="s">
        <v>4279</v>
      </c>
      <c r="D465" s="1596"/>
      <c r="E465" s="1596"/>
      <c r="F465" s="1596"/>
      <c r="G465" s="1596"/>
      <c r="H465" s="1596"/>
      <c r="I465" s="1596"/>
      <c r="J465" s="1596"/>
      <c r="K465" s="1596"/>
      <c r="L465" s="1596"/>
      <c r="M465" s="1596"/>
      <c r="N465" s="1596"/>
      <c r="O465" s="1603" t="s">
        <v>4586</v>
      </c>
      <c r="P465" s="2256" t="s">
        <v>2886</v>
      </c>
      <c r="Q465" s="518"/>
      <c r="AE465" s="461"/>
      <c r="AF465" s="461"/>
    </row>
    <row r="466" spans="1:32" s="94" customFormat="1">
      <c r="B466" s="554" t="s">
        <v>1939</v>
      </c>
      <c r="C466" s="1596" t="s">
        <v>4587</v>
      </c>
      <c r="D466" s="1596"/>
      <c r="E466" s="1596"/>
      <c r="F466" s="1596"/>
      <c r="G466" s="1596"/>
      <c r="H466" s="1596"/>
      <c r="I466" s="1596"/>
      <c r="J466" s="1596"/>
      <c r="K466" s="1596"/>
      <c r="L466" s="1596"/>
      <c r="M466" s="1596"/>
      <c r="N466" s="1596"/>
      <c r="O466" s="1603" t="s">
        <v>4588</v>
      </c>
      <c r="P466" s="2261" t="s">
        <v>6996</v>
      </c>
      <c r="Q466" s="520"/>
      <c r="AE466" s="461"/>
      <c r="AF466" s="461"/>
    </row>
    <row r="467" spans="1:32" s="43" customFormat="1" ht="11.25" customHeight="1">
      <c r="A467" s="42"/>
      <c r="B467" s="95" t="s">
        <v>3563</v>
      </c>
      <c r="C467" s="42"/>
      <c r="D467" s="48"/>
      <c r="E467" s="48"/>
      <c r="F467" s="48"/>
      <c r="G467" s="48"/>
      <c r="H467" s="36"/>
      <c r="I467" s="36"/>
      <c r="J467" s="36"/>
      <c r="K467" s="36"/>
      <c r="M467" s="46"/>
      <c r="N467" s="62"/>
      <c r="O467" s="3"/>
      <c r="P467" s="2376"/>
    </row>
    <row r="468" spans="1:32" s="43" customFormat="1" ht="11.25" customHeight="1">
      <c r="A468" s="2710" t="s">
        <v>7129</v>
      </c>
      <c r="B468" s="2711"/>
      <c r="C468" s="2711"/>
      <c r="D468" s="2711"/>
      <c r="E468" s="2711"/>
      <c r="F468" s="2711"/>
      <c r="G468" s="2711"/>
      <c r="H468" s="2711"/>
      <c r="I468" s="2711"/>
      <c r="J468" s="2711"/>
      <c r="K468" s="2711"/>
      <c r="L468" s="2711"/>
      <c r="M468" s="2711"/>
      <c r="N468" s="2711"/>
      <c r="O468" s="2711"/>
      <c r="P468" s="2711"/>
      <c r="Q468" s="2712"/>
      <c r="R468" s="1027" t="s">
        <v>1227</v>
      </c>
    </row>
    <row r="469" spans="1:32" s="43" customFormat="1" ht="10.5" customHeight="1">
      <c r="B469" s="85" t="s">
        <v>1818</v>
      </c>
      <c r="C469" s="98"/>
      <c r="D469" s="85"/>
      <c r="E469" s="99"/>
      <c r="F469" s="2377"/>
      <c r="G469" s="2377"/>
      <c r="H469" s="2377"/>
      <c r="I469" s="2377"/>
      <c r="J469" s="2377"/>
      <c r="K469" s="2377"/>
      <c r="L469" s="2377"/>
      <c r="M469" s="2377"/>
      <c r="N469" s="74"/>
      <c r="O469" s="70"/>
      <c r="P469" s="2374"/>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5"/>
      <c r="B471" s="2398"/>
      <c r="C471" s="2377"/>
      <c r="D471" s="2377"/>
      <c r="E471" s="2377"/>
      <c r="F471" s="2377"/>
      <c r="G471" s="2377"/>
      <c r="H471" s="2377"/>
      <c r="I471" s="2377"/>
      <c r="J471" s="2377"/>
      <c r="K471" s="2377"/>
      <c r="L471" s="2377"/>
      <c r="M471" s="2377"/>
      <c r="N471" s="2377"/>
      <c r="O471" s="2377"/>
      <c r="P471" s="2377"/>
      <c r="Q471" s="2375"/>
    </row>
    <row r="472" spans="1:32" ht="14.1" customHeight="1">
      <c r="A472" s="2370" t="s">
        <v>4274</v>
      </c>
      <c r="B472" s="4"/>
      <c r="C472" s="4" t="s">
        <v>2592</v>
      </c>
      <c r="D472" s="86"/>
      <c r="E472" s="2377"/>
      <c r="F472" s="2377"/>
      <c r="G472" s="2377"/>
      <c r="H472" s="2377"/>
      <c r="J472" s="2377"/>
      <c r="K472" s="2377"/>
      <c r="L472" s="2377"/>
      <c r="M472" s="2377"/>
      <c r="O472" s="131" t="s">
        <v>1819</v>
      </c>
      <c r="P472" s="2721"/>
      <c r="Q472" s="2722"/>
    </row>
    <row r="473" spans="1:32" ht="11.25" customHeight="1">
      <c r="A473" s="2370"/>
      <c r="B473" s="140" t="s">
        <v>3563</v>
      </c>
      <c r="D473" s="140"/>
      <c r="E473" s="140"/>
      <c r="F473" s="140"/>
      <c r="G473" s="140"/>
      <c r="H473" s="40"/>
      <c r="I473" s="2398"/>
      <c r="J473" s="2398"/>
      <c r="K473" s="2398"/>
      <c r="L473" s="2375"/>
      <c r="M473" s="2375"/>
      <c r="N473" s="2375"/>
      <c r="O473" s="2375"/>
      <c r="P473" s="2375"/>
      <c r="Q473" s="855"/>
    </row>
    <row r="474" spans="1:32" ht="22.5" customHeight="1">
      <c r="A474" s="2710" t="s">
        <v>7130</v>
      </c>
      <c r="B474" s="2711"/>
      <c r="C474" s="2711"/>
      <c r="D474" s="2711"/>
      <c r="E474" s="2711"/>
      <c r="F474" s="2711"/>
      <c r="G474" s="2711"/>
      <c r="H474" s="2711"/>
      <c r="I474" s="2711"/>
      <c r="J474" s="2711"/>
      <c r="K474" s="2711"/>
      <c r="L474" s="2711"/>
      <c r="M474" s="2711"/>
      <c r="N474" s="2711"/>
      <c r="O474" s="2711"/>
      <c r="P474" s="2711"/>
      <c r="Q474" s="2712"/>
      <c r="R474" s="440" t="s">
        <v>1227</v>
      </c>
      <c r="S474" s="441"/>
      <c r="U474" s="135"/>
      <c r="V474" s="135"/>
      <c r="W474" s="135"/>
      <c r="X474" s="135"/>
      <c r="Y474" s="135"/>
      <c r="Z474" s="135"/>
      <c r="AA474" s="135"/>
      <c r="AB474" s="135"/>
      <c r="AC474" s="135"/>
      <c r="AD474" s="135"/>
      <c r="AE474" s="457"/>
    </row>
    <row r="475" spans="1:32" ht="11.25" customHeight="1">
      <c r="B475" s="136" t="s">
        <v>1818</v>
      </c>
      <c r="C475" s="137"/>
      <c r="D475" s="2377"/>
      <c r="E475" s="2377"/>
      <c r="F475" s="2377"/>
      <c r="G475" s="2377"/>
      <c r="H475" s="2377"/>
      <c r="I475" s="2377"/>
      <c r="J475" s="2377"/>
      <c r="K475" s="2377"/>
      <c r="L475" s="2377"/>
      <c r="M475" s="2377"/>
      <c r="N475" s="2377"/>
      <c r="O475" s="2377"/>
      <c r="P475" s="2377"/>
      <c r="Q475" s="2377"/>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5"/>
      <c r="B477" s="2398"/>
      <c r="C477" s="2377"/>
      <c r="D477" s="2377"/>
      <c r="E477" s="2377"/>
      <c r="F477" s="2377"/>
      <c r="G477" s="2377"/>
      <c r="H477" s="2377"/>
      <c r="I477" s="2377"/>
      <c r="J477" s="2377"/>
      <c r="K477" s="2377"/>
      <c r="L477" s="2377"/>
      <c r="M477" s="2377"/>
      <c r="N477" s="2377"/>
      <c r="O477" s="2377"/>
      <c r="P477" s="2377"/>
      <c r="Q477" s="2375"/>
    </row>
    <row r="478" spans="1:32" ht="3" customHeight="1">
      <c r="A478" s="2375"/>
      <c r="B478" s="2398"/>
      <c r="C478" s="2377"/>
      <c r="D478" s="2377"/>
      <c r="E478" s="2377"/>
      <c r="F478" s="2377"/>
      <c r="G478" s="2377"/>
      <c r="H478" s="2377"/>
      <c r="I478" s="2377"/>
      <c r="J478" s="2377"/>
      <c r="K478" s="2377"/>
      <c r="L478" s="2377"/>
      <c r="M478" s="2377"/>
      <c r="N478" s="2377"/>
      <c r="O478" s="2377"/>
      <c r="P478" s="2377"/>
      <c r="Q478" s="2375"/>
    </row>
    <row r="479" spans="1:32" ht="14.1" customHeight="1">
      <c r="A479" s="2370" t="s">
        <v>4275</v>
      </c>
      <c r="B479" s="4"/>
      <c r="C479" s="4" t="s">
        <v>4694</v>
      </c>
      <c r="D479" s="86"/>
      <c r="E479" s="2377"/>
      <c r="F479" s="2377"/>
      <c r="G479" s="2377"/>
      <c r="H479" s="2377"/>
      <c r="I479" s="2377"/>
      <c r="J479" s="2377"/>
      <c r="K479" s="2377"/>
      <c r="L479" s="2377"/>
      <c r="M479" s="2377"/>
      <c r="O479" s="131" t="s">
        <v>1819</v>
      </c>
      <c r="P479" s="2721"/>
      <c r="Q479" s="2722"/>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62"/>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1726</v>
      </c>
      <c r="D483" s="997"/>
      <c r="E483" s="997"/>
      <c r="F483" s="997"/>
      <c r="G483" s="997"/>
      <c r="H483" s="997"/>
      <c r="I483" s="997"/>
      <c r="J483" s="1469" t="s">
        <v>1618</v>
      </c>
      <c r="K483" s="997"/>
      <c r="N483" s="999"/>
      <c r="O483" s="1469" t="s">
        <v>4730</v>
      </c>
      <c r="P483" s="1000"/>
      <c r="AE483" s="1721"/>
      <c r="AF483" s="1721"/>
    </row>
    <row r="484" spans="1:32" s="998" customFormat="1" ht="10.199999999999999">
      <c r="C484" s="1001" t="s">
        <v>1362</v>
      </c>
      <c r="D484" s="997"/>
      <c r="E484" s="997"/>
      <c r="F484" s="997"/>
      <c r="G484" s="997"/>
      <c r="H484" s="997"/>
      <c r="I484" s="997"/>
      <c r="J484" s="1469" t="s">
        <v>2054</v>
      </c>
      <c r="K484" s="997"/>
      <c r="N484" s="999"/>
      <c r="O484" s="1469" t="s">
        <v>4731</v>
      </c>
      <c r="P484" s="1000"/>
      <c r="AE484" s="1721"/>
      <c r="AF484" s="1721"/>
    </row>
    <row r="485" spans="1:32" s="998" customFormat="1" ht="10.199999999999999">
      <c r="C485" s="1001" t="s">
        <v>1363</v>
      </c>
      <c r="D485" s="997"/>
      <c r="E485" s="997"/>
      <c r="F485" s="997"/>
      <c r="G485" s="997"/>
      <c r="H485" s="997"/>
      <c r="I485" s="997"/>
      <c r="J485" s="1469" t="s">
        <v>1611</v>
      </c>
      <c r="K485" s="997"/>
      <c r="N485" s="999"/>
      <c r="O485" s="1469" t="s">
        <v>4732</v>
      </c>
      <c r="P485" s="1000"/>
      <c r="AE485" s="1721"/>
      <c r="AF485" s="1721"/>
    </row>
    <row r="486" spans="1:32" s="998" customFormat="1" ht="10.199999999999999">
      <c r="C486" s="1470" t="s">
        <v>2081</v>
      </c>
      <c r="D486" s="997"/>
      <c r="E486" s="997"/>
      <c r="F486" s="997"/>
      <c r="G486" s="997"/>
      <c r="H486" s="997"/>
      <c r="I486" s="997"/>
      <c r="J486" s="1469" t="s">
        <v>1167</v>
      </c>
      <c r="K486" s="997"/>
      <c r="N486" s="999"/>
      <c r="O486" s="1469" t="s">
        <v>4736</v>
      </c>
      <c r="P486" s="1000"/>
      <c r="AE486" s="1721"/>
      <c r="AF486" s="1721"/>
    </row>
    <row r="487" spans="1:32" s="998" customFormat="1" ht="10.199999999999999">
      <c r="C487" s="1470" t="s">
        <v>1359</v>
      </c>
      <c r="D487" s="997"/>
      <c r="E487" s="997"/>
      <c r="F487" s="997"/>
      <c r="G487" s="997"/>
      <c r="H487" s="997"/>
      <c r="I487" s="997"/>
      <c r="J487" s="1469" t="s">
        <v>573</v>
      </c>
      <c r="K487" s="997"/>
      <c r="N487" s="999"/>
      <c r="O487" s="1469" t="s">
        <v>4733</v>
      </c>
      <c r="P487" s="1000"/>
      <c r="AE487" s="1721"/>
      <c r="AF487" s="1721"/>
    </row>
    <row r="488" spans="1:32" s="998" customFormat="1" ht="10.199999999999999">
      <c r="C488" s="1470" t="s">
        <v>1360</v>
      </c>
      <c r="D488" s="997"/>
      <c r="E488" s="997"/>
      <c r="F488" s="997"/>
      <c r="G488" s="997"/>
      <c r="H488" s="997"/>
      <c r="I488" s="997"/>
      <c r="J488" s="1469" t="s">
        <v>1617</v>
      </c>
      <c r="K488" s="997"/>
      <c r="N488" s="999"/>
      <c r="O488" s="1469" t="s">
        <v>4734</v>
      </c>
      <c r="P488" s="1000"/>
      <c r="AE488" s="1721"/>
      <c r="AF488" s="1721"/>
    </row>
    <row r="489" spans="1:32" s="998" customFormat="1" ht="10.199999999999999">
      <c r="C489" s="1001" t="s">
        <v>2076</v>
      </c>
      <c r="D489" s="997"/>
      <c r="E489" s="997"/>
      <c r="F489" s="997"/>
      <c r="G489" s="997"/>
      <c r="H489" s="997"/>
      <c r="I489" s="997"/>
      <c r="J489" s="1469" t="s">
        <v>1162</v>
      </c>
      <c r="K489" s="997"/>
      <c r="N489" s="999"/>
      <c r="O489" s="1469" t="s">
        <v>4735</v>
      </c>
      <c r="P489" s="1000"/>
      <c r="AE489" s="1721"/>
      <c r="AF489" s="1721"/>
    </row>
    <row r="490" spans="1:32" s="998" customFormat="1" ht="10.199999999999999">
      <c r="C490" s="1001" t="s">
        <v>2077</v>
      </c>
      <c r="D490" s="997"/>
      <c r="E490" s="997"/>
      <c r="F490" s="997"/>
      <c r="G490" s="997"/>
      <c r="H490" s="997"/>
      <c r="I490" s="997"/>
      <c r="J490" s="1469" t="s">
        <v>1161</v>
      </c>
      <c r="N490" s="999"/>
      <c r="O490" s="998" t="s">
        <v>3623</v>
      </c>
      <c r="P490" s="1000"/>
      <c r="AE490" s="1721"/>
      <c r="AF490" s="1721"/>
    </row>
    <row r="491" spans="1:32" s="998" customFormat="1" ht="10.199999999999999">
      <c r="C491" s="1001" t="s">
        <v>2078</v>
      </c>
      <c r="J491" s="1469" t="s">
        <v>1681</v>
      </c>
      <c r="N491" s="999"/>
      <c r="O491" s="998" t="s">
        <v>3624</v>
      </c>
      <c r="P491" s="1000"/>
      <c r="AE491" s="1721"/>
      <c r="AF491" s="1721"/>
    </row>
    <row r="492" spans="1:32" s="998" customFormat="1" ht="10.199999999999999">
      <c r="C492" s="1001" t="s">
        <v>2079</v>
      </c>
      <c r="J492" s="1469" t="s">
        <v>1620</v>
      </c>
      <c r="N492" s="999"/>
      <c r="O492" s="1469"/>
      <c r="P492" s="1000"/>
      <c r="AE492" s="1721"/>
      <c r="AF492" s="1721"/>
    </row>
    <row r="493" spans="1:32" s="998" customFormat="1" ht="10.199999999999999">
      <c r="C493" s="1001" t="s">
        <v>2080</v>
      </c>
      <c r="J493" s="1469" t="s">
        <v>1612</v>
      </c>
      <c r="N493" s="999"/>
      <c r="O493" s="1000"/>
      <c r="P493" s="1000"/>
      <c r="AE493" s="1721"/>
      <c r="AF493" s="1721"/>
    </row>
    <row r="494" spans="1:32" s="998" customFormat="1" ht="10.199999999999999">
      <c r="C494" s="1001" t="s">
        <v>1361</v>
      </c>
      <c r="J494" s="1469" t="s">
        <v>2053</v>
      </c>
      <c r="N494" s="999"/>
      <c r="O494" s="1469"/>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1555</v>
      </c>
      <c r="J497" s="1003" t="s">
        <v>3585</v>
      </c>
      <c r="O497" s="1000"/>
      <c r="AE497" s="1006"/>
      <c r="AF497" s="1006"/>
    </row>
    <row r="498" spans="3:32" s="997" customFormat="1" ht="10.199999999999999">
      <c r="C498" s="997" t="s">
        <v>1726</v>
      </c>
      <c r="J498" s="997" t="s">
        <v>4267</v>
      </c>
      <c r="AE498" s="1006"/>
      <c r="AF498" s="1006"/>
    </row>
    <row r="499" spans="3:32" s="997" customFormat="1" ht="10.199999999999999">
      <c r="C499" s="997" t="s">
        <v>2039</v>
      </c>
      <c r="E499" s="998"/>
      <c r="F499" s="998"/>
      <c r="G499" s="998"/>
      <c r="H499" s="998"/>
      <c r="I499" s="998"/>
      <c r="J499" s="998" t="s">
        <v>3578</v>
      </c>
      <c r="K499" s="998"/>
      <c r="L499" s="998"/>
      <c r="M499" s="998"/>
      <c r="AE499" s="1006"/>
      <c r="AF499" s="1006"/>
    </row>
    <row r="500" spans="3:32" s="997" customFormat="1" ht="10.199999999999999">
      <c r="C500" s="997" t="s">
        <v>2476</v>
      </c>
      <c r="D500" s="998"/>
      <c r="E500" s="998"/>
      <c r="F500" s="998"/>
      <c r="G500" s="998"/>
      <c r="I500" s="998"/>
      <c r="J500" s="998" t="s">
        <v>3579</v>
      </c>
      <c r="K500" s="998"/>
      <c r="L500" s="998"/>
      <c r="M500" s="998"/>
      <c r="AE500" s="1006"/>
      <c r="AF500" s="1006"/>
    </row>
    <row r="501" spans="3:32" s="997" customFormat="1" ht="10.199999999999999">
      <c r="C501" s="997" t="s">
        <v>2040</v>
      </c>
      <c r="D501" s="998"/>
      <c r="E501" s="998"/>
      <c r="F501" s="998"/>
      <c r="G501" s="998"/>
      <c r="H501" s="998"/>
      <c r="I501" s="998"/>
      <c r="J501" s="998" t="s">
        <v>4265</v>
      </c>
      <c r="K501" s="998"/>
      <c r="L501" s="998"/>
      <c r="M501" s="998"/>
      <c r="AE501" s="1006"/>
      <c r="AF501" s="1006"/>
    </row>
    <row r="502" spans="3:32" s="997" customFormat="1" ht="10.199999999999999">
      <c r="C502" s="997" t="s">
        <v>1610</v>
      </c>
      <c r="D502" s="998"/>
      <c r="E502" s="998"/>
      <c r="F502" s="998"/>
      <c r="G502" s="998"/>
      <c r="I502" s="998"/>
      <c r="J502" s="997" t="s">
        <v>3719</v>
      </c>
      <c r="K502" s="998"/>
      <c r="L502" s="998"/>
      <c r="M502" s="998"/>
      <c r="AE502" s="1006"/>
      <c r="AF502" s="1006"/>
    </row>
    <row r="503" spans="3:32" s="997" customFormat="1" ht="10.199999999999999">
      <c r="C503" s="1005" t="s">
        <v>1962</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1611</v>
      </c>
      <c r="D505" s="998"/>
      <c r="E505" s="998"/>
      <c r="F505" s="998"/>
      <c r="G505" s="998"/>
      <c r="I505" s="998"/>
      <c r="J505" s="998"/>
      <c r="K505" s="998"/>
      <c r="L505" s="998"/>
      <c r="M505" s="998"/>
      <c r="AE505" s="1006"/>
      <c r="AF505" s="1006"/>
    </row>
    <row r="506" spans="3:32" s="997" customFormat="1" ht="10.199999999999999">
      <c r="C506" s="997" t="s">
        <v>1612</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1556</v>
      </c>
      <c r="D508" s="998"/>
      <c r="E508" s="998"/>
      <c r="F508" s="998"/>
      <c r="G508" s="998"/>
      <c r="H508" s="998"/>
      <c r="I508" s="998"/>
      <c r="K508" s="998"/>
      <c r="L508" s="998"/>
      <c r="M508" s="998"/>
      <c r="AE508" s="1006"/>
      <c r="AF508" s="1006"/>
    </row>
    <row r="509" spans="3:32" s="997" customFormat="1" ht="10.199999999999999">
      <c r="C509" s="997" t="s">
        <v>1614</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1616</v>
      </c>
      <c r="D511" s="998"/>
      <c r="E511" s="998"/>
      <c r="F511" s="998"/>
      <c r="G511" s="998"/>
      <c r="H511" s="998"/>
      <c r="I511" s="998"/>
      <c r="K511" s="998"/>
      <c r="L511" s="998"/>
      <c r="M511" s="998"/>
      <c r="N511" s="997" t="s">
        <v>2439</v>
      </c>
      <c r="AE511" s="1006"/>
      <c r="AF511" s="1006"/>
    </row>
    <row r="512" spans="3:32" s="997" customFormat="1" ht="10.199999999999999">
      <c r="C512" s="997" t="s">
        <v>1617</v>
      </c>
      <c r="D512" s="998"/>
      <c r="E512" s="998"/>
      <c r="F512" s="998"/>
      <c r="G512" s="998"/>
      <c r="H512" s="998"/>
      <c r="I512" s="998"/>
      <c r="J512" s="998"/>
      <c r="K512" s="998"/>
      <c r="L512" s="998"/>
      <c r="M512" s="998"/>
      <c r="AE512" s="1006"/>
      <c r="AF512" s="1006"/>
    </row>
    <row r="513" spans="3:32" s="997" customFormat="1" ht="10.199999999999999">
      <c r="C513" s="997" t="s">
        <v>1618</v>
      </c>
      <c r="D513" s="998"/>
      <c r="E513" s="998"/>
      <c r="F513" s="998"/>
      <c r="G513" s="998"/>
      <c r="H513" s="998"/>
      <c r="I513" s="998"/>
      <c r="J513" s="998"/>
      <c r="K513" s="998"/>
      <c r="L513" s="998"/>
      <c r="M513" s="998"/>
      <c r="AE513" s="1006"/>
      <c r="AF513" s="1006"/>
    </row>
    <row r="514" spans="3:32" s="997" customFormat="1" ht="10.199999999999999">
      <c r="C514" s="997" t="s">
        <v>573</v>
      </c>
      <c r="D514" s="998"/>
      <c r="E514" s="998"/>
      <c r="F514" s="998"/>
      <c r="G514" s="998"/>
      <c r="H514" s="998"/>
      <c r="I514" s="998"/>
      <c r="J514" s="998"/>
      <c r="K514" s="998"/>
      <c r="L514" s="998"/>
      <c r="M514" s="998"/>
      <c r="AE514" s="1006"/>
      <c r="AF514" s="1006"/>
    </row>
    <row r="515" spans="3:32" s="997" customFormat="1" ht="10.199999999999999">
      <c r="C515" s="997" t="s">
        <v>1619</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1744</v>
      </c>
      <c r="AE519" s="1006"/>
      <c r="AF519" s="1006"/>
    </row>
    <row r="520" spans="3:32" s="997" customFormat="1" ht="10.199999999999999">
      <c r="C520" s="997" t="s">
        <v>905</v>
      </c>
      <c r="AE520" s="1006"/>
      <c r="AF520" s="1006"/>
    </row>
    <row r="521" spans="3:32" s="997" customFormat="1" ht="10.199999999999999">
      <c r="C521" s="1001" t="s">
        <v>1595</v>
      </c>
      <c r="AE521" s="1006"/>
      <c r="AF521" s="1006"/>
    </row>
    <row r="522" spans="3:32" s="997" customFormat="1" ht="10.199999999999999">
      <c r="C522" s="1001" t="s">
        <v>700</v>
      </c>
      <c r="L522" s="1001"/>
      <c r="AE522" s="1006"/>
      <c r="AF522" s="1006"/>
    </row>
    <row r="523" spans="3:32" s="997" customFormat="1" ht="10.199999999999999">
      <c r="C523" s="1001" t="s">
        <v>701</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924</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1354</v>
      </c>
      <c r="L535" s="1001"/>
      <c r="AE535" s="1006"/>
      <c r="AF535" s="1006"/>
    </row>
    <row r="536" spans="3:32" s="997" customFormat="1" ht="10.199999999999999">
      <c r="C536" s="1006" t="s">
        <v>1554</v>
      </c>
      <c r="K536" s="1002" t="s">
        <v>452</v>
      </c>
      <c r="L536" s="1001"/>
      <c r="AE536" s="1006"/>
      <c r="AF536" s="1006"/>
    </row>
    <row r="537" spans="3:32" s="997" customFormat="1" ht="10.199999999999999">
      <c r="C537" s="1006" t="s">
        <v>2598</v>
      </c>
      <c r="K537" s="997" t="s">
        <v>1060</v>
      </c>
      <c r="L537" s="1001"/>
      <c r="AE537" s="1006"/>
      <c r="AF537" s="1006"/>
    </row>
    <row r="538" spans="3:32" s="997" customFormat="1" ht="10.199999999999999">
      <c r="C538" s="1006" t="s">
        <v>2599</v>
      </c>
      <c r="K538" s="997" t="s">
        <v>3573</v>
      </c>
      <c r="AE538" s="1006"/>
      <c r="AF538" s="1006"/>
    </row>
    <row r="539" spans="3:32" s="997" customFormat="1" ht="10.199999999999999">
      <c r="C539" s="1001" t="s">
        <v>1177</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1061</v>
      </c>
      <c r="K542" s="997" t="s">
        <v>2266</v>
      </c>
      <c r="AE542" s="1006"/>
      <c r="AF542" s="1006"/>
    </row>
    <row r="543" spans="3:32" s="997" customFormat="1" ht="10.199999999999999">
      <c r="C543" s="997" t="s">
        <v>166</v>
      </c>
      <c r="K543" s="1471" t="s">
        <v>4361</v>
      </c>
      <c r="AE543" s="1006"/>
      <c r="AF543" s="1006"/>
    </row>
    <row r="544" spans="3:32" s="997" customFormat="1" ht="10.199999999999999">
      <c r="C544" s="997" t="s">
        <v>1493</v>
      </c>
      <c r="K544" s="997" t="s">
        <v>3675</v>
      </c>
      <c r="AE544" s="1006"/>
      <c r="AF544" s="1006"/>
    </row>
    <row r="545" spans="3:32" s="997" customFormat="1" ht="10.199999999999999">
      <c r="C545" s="997" t="s">
        <v>2066</v>
      </c>
      <c r="K545" s="997" t="s">
        <v>4362</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1059</v>
      </c>
      <c r="AE548" s="1006"/>
      <c r="AF548" s="1006"/>
    </row>
    <row r="549" spans="3:32" s="997" customFormat="1" ht="10.199999999999999">
      <c r="K549" s="997" t="s">
        <v>1707</v>
      </c>
      <c r="AE549" s="1006"/>
      <c r="AF549" s="1006"/>
    </row>
    <row r="550" spans="3:32" s="997" customFormat="1" ht="10.199999999999999">
      <c r="K550" s="997" t="s">
        <v>1110</v>
      </c>
      <c r="AE550" s="1006"/>
      <c r="AF550" s="1006"/>
    </row>
    <row r="551" spans="3:32" s="997" customFormat="1" ht="10.199999999999999">
      <c r="K551" s="997" t="s">
        <v>1708</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992</v>
      </c>
      <c r="M554" s="1003" t="s">
        <v>4398</v>
      </c>
      <c r="AE554" s="1006"/>
      <c r="AF554" s="1006"/>
    </row>
    <row r="555" spans="3:32" s="997" customFormat="1" ht="10.199999999999999">
      <c r="C555" s="997" t="s">
        <v>991</v>
      </c>
      <c r="M555" s="997" t="s">
        <v>991</v>
      </c>
      <c r="AE555" s="1006"/>
      <c r="AF555" s="1006"/>
    </row>
    <row r="556" spans="3:32" s="997" customFormat="1" ht="10.199999999999999">
      <c r="C556" s="997" t="s">
        <v>2039</v>
      </c>
      <c r="M556" s="997" t="s">
        <v>4395</v>
      </c>
      <c r="AE556" s="1006"/>
      <c r="AF556" s="1006"/>
    </row>
    <row r="557" spans="3:32" s="997" customFormat="1" ht="10.199999999999999">
      <c r="C557" s="997" t="s">
        <v>2476</v>
      </c>
      <c r="M557" s="997" t="s">
        <v>4430</v>
      </c>
      <c r="AE557" s="1006"/>
      <c r="AF557" s="1006"/>
    </row>
    <row r="558" spans="3:32" s="997" customFormat="1" ht="10.199999999999999">
      <c r="C558" s="997" t="s">
        <v>2040</v>
      </c>
      <c r="M558" s="997" t="s">
        <v>1614</v>
      </c>
      <c r="AE558" s="1006"/>
      <c r="AF558" s="1006"/>
    </row>
    <row r="559" spans="3:32" s="997" customFormat="1" ht="10.199999999999999">
      <c r="C559" s="997" t="s">
        <v>1900</v>
      </c>
      <c r="M559" s="997" t="s">
        <v>4396</v>
      </c>
      <c r="AE559" s="1006"/>
      <c r="AF559" s="1006"/>
    </row>
    <row r="560" spans="3:32" s="997" customFormat="1" ht="10.199999999999999">
      <c r="C560" s="997" t="s">
        <v>572</v>
      </c>
      <c r="M560" s="1471" t="s">
        <v>4474</v>
      </c>
      <c r="AE560" s="1006"/>
      <c r="AF560" s="1006"/>
    </row>
    <row r="561" spans="3:32" s="997" customFormat="1" ht="10.199999999999999">
      <c r="C561" s="997" t="s">
        <v>2143</v>
      </c>
      <c r="M561" s="1471" t="s">
        <v>4475</v>
      </c>
      <c r="AE561" s="1006"/>
      <c r="AF561" s="1006"/>
    </row>
    <row r="562" spans="3:32" s="997" customFormat="1" ht="10.199999999999999">
      <c r="C562" s="1005" t="s">
        <v>31</v>
      </c>
      <c r="M562" s="997" t="s">
        <v>4397</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S84MyPcG9JrijJ7xQQRB1yUAGfyXhj8O0/ZhjwmnSepLDPrwqFsxNF5RO+Dwy3M6FS6RyNqxXrMzan16D4Ow9g==" saltValue="JxspMXUW5jKVtSVHUsQXq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9" priority="5" stopIfTrue="1" operator="greaterThan">
      <formula>0</formula>
    </cfRule>
  </conditionalFormatting>
  <conditionalFormatting sqref="R40:R42">
    <cfRule type="cellIs" dxfId="138" priority="4" stopIfTrue="1" operator="greaterThan">
      <formula>0</formula>
    </cfRule>
  </conditionalFormatting>
  <conditionalFormatting sqref="L480:R480">
    <cfRule type="cellIs" dxfId="137"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10" zoomScaleNormal="11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9"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2020-050 Twin Oaks Commons, Ludowici, Long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4"/>
      <c r="P2" s="2374"/>
      <c r="Q2" s="1485"/>
      <c r="R2" s="1485"/>
      <c r="S2" s="1485"/>
    </row>
    <row r="3" spans="1:22" s="42" customFormat="1" ht="12" customHeight="1">
      <c r="A3" s="3058" t="s">
        <v>4378</v>
      </c>
      <c r="B3" s="3058"/>
      <c r="C3" s="3058"/>
      <c r="D3" s="3058"/>
      <c r="E3" s="3058"/>
      <c r="F3" s="3058"/>
      <c r="G3" s="3058"/>
      <c r="H3" s="3058"/>
      <c r="I3" s="3058"/>
      <c r="J3" s="3058"/>
      <c r="K3" s="3058"/>
      <c r="L3" s="3058"/>
      <c r="M3" s="1096" t="s">
        <v>2161</v>
      </c>
      <c r="N3" s="73"/>
      <c r="O3" s="83" t="s">
        <v>2160</v>
      </c>
      <c r="P3" s="1097" t="s">
        <v>251</v>
      </c>
      <c r="Q3" s="1485"/>
      <c r="R3" s="1485"/>
      <c r="S3" s="1485"/>
    </row>
    <row r="4" spans="1:22" s="44" customFormat="1" ht="12" customHeight="1">
      <c r="A4" s="3058"/>
      <c r="B4" s="3058"/>
      <c r="C4" s="3058"/>
      <c r="D4" s="3058"/>
      <c r="E4" s="3058"/>
      <c r="F4" s="3058"/>
      <c r="G4" s="3058"/>
      <c r="H4" s="3058"/>
      <c r="I4" s="3058"/>
      <c r="J4" s="3058"/>
      <c r="K4" s="3058"/>
      <c r="L4" s="3058"/>
      <c r="M4" s="1098" t="s">
        <v>91</v>
      </c>
      <c r="N4" s="84"/>
      <c r="O4" s="173" t="s">
        <v>2161</v>
      </c>
      <c r="P4" s="173" t="s">
        <v>2161</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0" t="str">
        <f>'Part I-Project Information'!$B$6</f>
        <v>May 26, 2020 Version</v>
      </c>
      <c r="C6" s="3080"/>
      <c r="D6" s="3080"/>
      <c r="E6" s="3080"/>
      <c r="F6" s="3080"/>
      <c r="G6" s="461"/>
      <c r="H6" s="42"/>
      <c r="I6" s="42"/>
      <c r="J6" s="42"/>
      <c r="L6" s="69" t="s">
        <v>1199</v>
      </c>
      <c r="M6" s="267">
        <f>M443</f>
        <v>95</v>
      </c>
      <c r="N6" s="9"/>
      <c r="O6" s="1084">
        <f>O443</f>
        <v>20</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4289</v>
      </c>
      <c r="D8" s="52"/>
      <c r="E8" s="52"/>
      <c r="F8" s="52"/>
      <c r="G8" s="66"/>
      <c r="H8" s="172" t="s">
        <v>4349</v>
      </c>
      <c r="I8" s="66"/>
      <c r="J8" s="66"/>
      <c r="K8" s="66"/>
      <c r="L8" s="66"/>
      <c r="M8" s="1426" t="s">
        <v>4348</v>
      </c>
      <c r="N8" s="66"/>
      <c r="O8" s="2281"/>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077" t="s">
        <v>3823</v>
      </c>
      <c r="G10" s="3077"/>
      <c r="H10" s="3077"/>
      <c r="I10" s="3077"/>
      <c r="J10" s="3077"/>
      <c r="K10" s="3077"/>
      <c r="L10" s="3077"/>
      <c r="M10" s="3077"/>
      <c r="N10" s="3077"/>
      <c r="O10" s="1461" t="s">
        <v>4287</v>
      </c>
      <c r="P10" s="1462">
        <f>SUM(P11:P23)</f>
        <v>0</v>
      </c>
      <c r="Q10" s="3006" t="s">
        <v>4439</v>
      </c>
      <c r="R10" s="3006"/>
      <c r="S10" s="3006"/>
      <c r="T10" s="3006"/>
      <c r="U10" s="3006"/>
      <c r="V10" s="3006"/>
    </row>
    <row r="11" spans="1:22" s="42" customFormat="1" ht="11.25" customHeight="1">
      <c r="A11" s="1113" t="s">
        <v>723</v>
      </c>
      <c r="B11" s="1114" t="s">
        <v>3810</v>
      </c>
      <c r="C11" s="1115"/>
      <c r="D11" s="1116"/>
      <c r="E11" s="1452">
        <f>$O$64</f>
        <v>0</v>
      </c>
      <c r="F11" s="3078" t="str">
        <f>$A$70</f>
        <v>This criteria is not being elected by applicant.</v>
      </c>
      <c r="G11" s="3079"/>
      <c r="H11" s="3079"/>
      <c r="I11" s="3079"/>
      <c r="J11" s="3079"/>
      <c r="K11" s="3079"/>
      <c r="L11" s="3079"/>
      <c r="M11" s="3079"/>
      <c r="N11" s="3079"/>
      <c r="O11" s="3079"/>
      <c r="P11" s="4134"/>
      <c r="Q11" s="3006"/>
      <c r="R11" s="3006"/>
      <c r="S11" s="3006"/>
      <c r="T11" s="3006"/>
      <c r="U11" s="3006"/>
      <c r="V11" s="3006"/>
    </row>
    <row r="12" spans="1:22" s="42" customFormat="1" ht="11.25" customHeight="1">
      <c r="A12" s="1117" t="s">
        <v>1747</v>
      </c>
      <c r="B12" s="923" t="s">
        <v>4718</v>
      </c>
      <c r="C12" s="1036"/>
      <c r="D12" s="1118"/>
      <c r="E12" s="1453">
        <f>$O$74</f>
        <v>0</v>
      </c>
      <c r="F12" s="3034" t="str">
        <f>$A$107</f>
        <v>This criteria is not being elected by applicant.</v>
      </c>
      <c r="G12" s="3035"/>
      <c r="H12" s="3035"/>
      <c r="I12" s="3035"/>
      <c r="J12" s="3035"/>
      <c r="K12" s="3035"/>
      <c r="L12" s="3035"/>
      <c r="M12" s="3035"/>
      <c r="N12" s="3035"/>
      <c r="O12" s="3036"/>
      <c r="P12" s="4135"/>
      <c r="Q12" s="2989" t="str">
        <f>IF(OR($A$70="",$A$107="",$A$146="",$A$189="",$A$228="",$A$261="",$A$281="",$A$297="",$A$312="",$A$329="",$A$375="",$A$411="",$A$431=""),"Some Applicant Scoring Justification boxes are empty! Check to see if points claimed.","")</f>
        <v/>
      </c>
      <c r="R12" s="2990"/>
      <c r="S12" s="2990"/>
    </row>
    <row r="13" spans="1:22" s="42" customFormat="1" ht="11.25" customHeight="1">
      <c r="A13" s="1117" t="s">
        <v>1749</v>
      </c>
      <c r="B13" s="923" t="s">
        <v>4719</v>
      </c>
      <c r="C13" s="1036"/>
      <c r="D13" s="1118"/>
      <c r="E13" s="1453">
        <f>$O$112</f>
        <v>0</v>
      </c>
      <c r="F13" s="3034" t="str">
        <f>$A$146</f>
        <v>This criteria is not being elected by applicant.</v>
      </c>
      <c r="G13" s="3035"/>
      <c r="H13" s="3035"/>
      <c r="I13" s="3035"/>
      <c r="J13" s="3035"/>
      <c r="K13" s="3035"/>
      <c r="L13" s="3035"/>
      <c r="M13" s="3035"/>
      <c r="N13" s="3035"/>
      <c r="O13" s="3036"/>
      <c r="P13" s="4135"/>
      <c r="Q13" s="2989"/>
      <c r="R13" s="2990"/>
      <c r="S13" s="2990"/>
    </row>
    <row r="14" spans="1:22" s="42" customFormat="1" ht="11.25" customHeight="1">
      <c r="A14" s="1117" t="s">
        <v>515</v>
      </c>
      <c r="B14" s="923" t="s">
        <v>3811</v>
      </c>
      <c r="C14" s="1036"/>
      <c r="D14" s="1118"/>
      <c r="E14" s="1453">
        <f>$O$150</f>
        <v>0</v>
      </c>
      <c r="F14" s="3034" t="str">
        <f>$A$189</f>
        <v>This criteria is not being elected by applicant.</v>
      </c>
      <c r="G14" s="3035"/>
      <c r="H14" s="3035"/>
      <c r="I14" s="3035"/>
      <c r="J14" s="3035"/>
      <c r="K14" s="3035"/>
      <c r="L14" s="3035"/>
      <c r="M14" s="3035"/>
      <c r="N14" s="3035"/>
      <c r="O14" s="3036"/>
      <c r="P14" s="4135"/>
      <c r="Q14" s="2989"/>
      <c r="R14" s="2990"/>
      <c r="S14" s="2990"/>
    </row>
    <row r="15" spans="1:22" s="42" customFormat="1" ht="11.25" customHeight="1">
      <c r="A15" s="1117" t="s">
        <v>753</v>
      </c>
      <c r="B15" s="923" t="s">
        <v>3812</v>
      </c>
      <c r="C15" s="1036"/>
      <c r="D15" s="1118"/>
      <c r="E15" s="1454">
        <f>$O$193</f>
        <v>0</v>
      </c>
      <c r="F15" s="3034" t="str">
        <f>$A$228</f>
        <v>This criteria is not being elected by applicant.</v>
      </c>
      <c r="G15" s="3035"/>
      <c r="H15" s="3035"/>
      <c r="I15" s="3035"/>
      <c r="J15" s="3035"/>
      <c r="K15" s="3035"/>
      <c r="L15" s="3035"/>
      <c r="M15" s="3035"/>
      <c r="N15" s="3035"/>
      <c r="O15" s="3036"/>
      <c r="P15" s="4135"/>
      <c r="Q15" s="2989"/>
      <c r="R15" s="2990"/>
      <c r="S15" s="2990"/>
    </row>
    <row r="16" spans="1:22" s="42" customFormat="1" ht="11.25" customHeight="1">
      <c r="A16" s="1123" t="s">
        <v>287</v>
      </c>
      <c r="B16" s="1124" t="s">
        <v>3813</v>
      </c>
      <c r="C16" s="1125"/>
      <c r="D16" s="1126"/>
      <c r="E16" s="1455" t="s">
        <v>1689</v>
      </c>
      <c r="F16" s="3042" t="str">
        <f>$A$261</f>
        <v>This criteria is not being elected by applicant.</v>
      </c>
      <c r="G16" s="3043"/>
      <c r="H16" s="3043"/>
      <c r="I16" s="3043"/>
      <c r="J16" s="3043"/>
      <c r="K16" s="3043"/>
      <c r="L16" s="3043"/>
      <c r="M16" s="3043"/>
      <c r="N16" s="3043"/>
      <c r="O16" s="3044"/>
      <c r="P16" s="4135"/>
      <c r="Q16" s="2989"/>
      <c r="R16" s="2990"/>
      <c r="S16" s="2990"/>
    </row>
    <row r="17" spans="1:19" s="42" customFormat="1" ht="11.25" customHeight="1">
      <c r="A17" s="1117" t="s">
        <v>418</v>
      </c>
      <c r="B17" s="923" t="s">
        <v>4720</v>
      </c>
      <c r="C17" s="1036"/>
      <c r="D17" s="1118"/>
      <c r="E17" s="1453">
        <f>$O$265</f>
        <v>0</v>
      </c>
      <c r="F17" s="3034" t="str">
        <f>$A$281</f>
        <v>This criteria is not being elected by applicant.</v>
      </c>
      <c r="G17" s="3035"/>
      <c r="H17" s="3035"/>
      <c r="I17" s="3035"/>
      <c r="J17" s="3035"/>
      <c r="K17" s="3035"/>
      <c r="L17" s="3035"/>
      <c r="M17" s="3035"/>
      <c r="N17" s="3035"/>
      <c r="O17" s="3036"/>
      <c r="P17" s="4135"/>
      <c r="Q17" s="2989"/>
      <c r="R17" s="2990"/>
      <c r="S17" s="2990"/>
    </row>
    <row r="18" spans="1:19" s="42" customFormat="1" ht="11.25" customHeight="1">
      <c r="A18" s="1117" t="s">
        <v>4344</v>
      </c>
      <c r="B18" s="923" t="s">
        <v>3595</v>
      </c>
      <c r="C18" s="1036"/>
      <c r="D18" s="1118"/>
      <c r="E18" s="1453">
        <f>$O$293</f>
        <v>0</v>
      </c>
      <c r="F18" s="3034" t="str">
        <f>$A$297</f>
        <v>This criteria is not being elected by applicant.</v>
      </c>
      <c r="G18" s="3035"/>
      <c r="H18" s="3035"/>
      <c r="I18" s="3035"/>
      <c r="J18" s="3035"/>
      <c r="K18" s="3035"/>
      <c r="L18" s="3035"/>
      <c r="M18" s="3035"/>
      <c r="N18" s="3035"/>
      <c r="O18" s="3036"/>
      <c r="P18" s="4135"/>
      <c r="Q18" s="2989"/>
      <c r="R18" s="2990"/>
      <c r="S18" s="2990"/>
    </row>
    <row r="19" spans="1:19" s="42" customFormat="1" ht="11.25" customHeight="1">
      <c r="A19" s="1117" t="s">
        <v>4722</v>
      </c>
      <c r="B19" s="923" t="s">
        <v>4723</v>
      </c>
      <c r="C19" s="1036"/>
      <c r="D19" s="1118"/>
      <c r="E19" s="1455">
        <f>$O$301</f>
        <v>0</v>
      </c>
      <c r="F19" s="3034" t="str">
        <f>$A$312</f>
        <v>This criteria is not being elected by applicant.</v>
      </c>
      <c r="G19" s="3035"/>
      <c r="H19" s="3035"/>
      <c r="I19" s="3035"/>
      <c r="J19" s="3035"/>
      <c r="K19" s="3035"/>
      <c r="L19" s="3035"/>
      <c r="M19" s="3035"/>
      <c r="N19" s="3035"/>
      <c r="O19" s="3036"/>
      <c r="P19" s="4135"/>
      <c r="Q19" s="2989"/>
      <c r="R19" s="2990"/>
      <c r="S19" s="2990"/>
    </row>
    <row r="20" spans="1:19" s="42" customFormat="1" ht="11.25" customHeight="1">
      <c r="A20" s="1117" t="s">
        <v>4737</v>
      </c>
      <c r="B20" s="923" t="s">
        <v>4724</v>
      </c>
      <c r="C20" s="1036"/>
      <c r="D20" s="1118"/>
      <c r="E20" s="1453">
        <f>$O$316</f>
        <v>0</v>
      </c>
      <c r="F20" s="3037" t="str">
        <f>$A$329</f>
        <v>This criteria is not being elected by applicant.</v>
      </c>
      <c r="G20" s="3038"/>
      <c r="H20" s="3038"/>
      <c r="I20" s="3038"/>
      <c r="J20" s="3038"/>
      <c r="K20" s="3038"/>
      <c r="L20" s="3038"/>
      <c r="M20" s="3038"/>
      <c r="N20" s="3038"/>
      <c r="O20" s="3039"/>
      <c r="P20" s="4135"/>
      <c r="Q20" s="2989"/>
      <c r="R20" s="2990"/>
      <c r="S20" s="2990"/>
    </row>
    <row r="21" spans="1:19" s="42" customFormat="1" ht="11.25" customHeight="1">
      <c r="A21" s="1123" t="s">
        <v>3782</v>
      </c>
      <c r="B21" s="1124" t="s">
        <v>3814</v>
      </c>
      <c r="C21" s="1125"/>
      <c r="D21" s="1126"/>
      <c r="E21" s="1456">
        <f>$O$364</f>
        <v>0</v>
      </c>
      <c r="F21" s="3034" t="str">
        <f>$A$375</f>
        <v>This criteria is not being elected by applicant.</v>
      </c>
      <c r="G21" s="3035"/>
      <c r="H21" s="3035"/>
      <c r="I21" s="3035"/>
      <c r="J21" s="3035"/>
      <c r="K21" s="3035"/>
      <c r="L21" s="3035"/>
      <c r="M21" s="3035"/>
      <c r="N21" s="3035"/>
      <c r="O21" s="3036"/>
      <c r="P21" s="4135"/>
      <c r="Q21" s="2989"/>
      <c r="R21" s="2990"/>
      <c r="S21" s="2990"/>
    </row>
    <row r="22" spans="1:19" s="42" customFormat="1" ht="11.25" customHeight="1">
      <c r="A22" s="1117" t="s">
        <v>3783</v>
      </c>
      <c r="B22" s="923" t="s">
        <v>3815</v>
      </c>
      <c r="C22" s="1036"/>
      <c r="D22" s="1118"/>
      <c r="E22" s="1453">
        <f>$O$379</f>
        <v>0</v>
      </c>
      <c r="F22" s="3034" t="str">
        <f>$A$411</f>
        <v>This criteria is not being elected by applicant.</v>
      </c>
      <c r="G22" s="3035"/>
      <c r="H22" s="3035"/>
      <c r="I22" s="3035"/>
      <c r="J22" s="3035"/>
      <c r="K22" s="3035"/>
      <c r="L22" s="3035"/>
      <c r="M22" s="3035"/>
      <c r="N22" s="3035"/>
      <c r="O22" s="3036"/>
      <c r="P22" s="4135"/>
      <c r="Q22" s="2989"/>
      <c r="R22" s="2990"/>
      <c r="S22" s="2990"/>
    </row>
    <row r="23" spans="1:19" s="42" customFormat="1" ht="11.25" customHeight="1">
      <c r="A23" s="1119" t="s">
        <v>3781</v>
      </c>
      <c r="B23" s="1120" t="s">
        <v>3816</v>
      </c>
      <c r="C23" s="1121"/>
      <c r="D23" s="1122"/>
      <c r="E23" s="1457">
        <f>$O$415</f>
        <v>0</v>
      </c>
      <c r="F23" s="3074" t="str">
        <f>$A$431</f>
        <v>This criteria is not being elected by applicant.</v>
      </c>
      <c r="G23" s="3075"/>
      <c r="H23" s="3075"/>
      <c r="I23" s="3075"/>
      <c r="J23" s="3075"/>
      <c r="K23" s="3075"/>
      <c r="L23" s="3075"/>
      <c r="M23" s="3075"/>
      <c r="N23" s="3075"/>
      <c r="O23" s="3076"/>
      <c r="P23" s="413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597</v>
      </c>
      <c r="B25" s="106" t="s">
        <v>2691</v>
      </c>
      <c r="C25" s="4"/>
      <c r="D25" s="4"/>
      <c r="E25" s="4"/>
      <c r="F25" s="2390"/>
      <c r="H25" s="172" t="s">
        <v>4347</v>
      </c>
      <c r="M25" s="237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4282</v>
      </c>
      <c r="D27" s="48"/>
      <c r="E27" s="48"/>
      <c r="F27" s="2390"/>
      <c r="M27" s="6"/>
      <c r="N27" s="64" t="s">
        <v>1934</v>
      </c>
    </row>
    <row r="28" spans="1:19" s="43" customFormat="1" ht="11.25" customHeight="1">
      <c r="A28" s="178"/>
      <c r="B28" s="1429" t="s">
        <v>1937</v>
      </c>
      <c r="C28" s="110" t="s">
        <v>4285</v>
      </c>
      <c r="D28" s="48"/>
      <c r="E28" s="48"/>
      <c r="F28" s="2390"/>
      <c r="H28" s="172" t="s">
        <v>3478</v>
      </c>
      <c r="J28" s="49"/>
      <c r="M28" s="6"/>
      <c r="N28" s="388" t="s">
        <v>1937</v>
      </c>
      <c r="O28" s="2282"/>
      <c r="P28" s="1085">
        <f>F36</f>
        <v>0</v>
      </c>
    </row>
    <row r="29" spans="1:19" s="43" customFormat="1" ht="11.25" customHeight="1">
      <c r="A29" s="178"/>
      <c r="B29" s="1429" t="s">
        <v>1939</v>
      </c>
      <c r="C29" s="110" t="s">
        <v>4482</v>
      </c>
      <c r="D29" s="48"/>
      <c r="E29" s="48"/>
      <c r="F29" s="2390"/>
      <c r="H29" s="172" t="s">
        <v>4283</v>
      </c>
      <c r="J29" s="49"/>
      <c r="M29" s="6"/>
      <c r="N29" s="388" t="s">
        <v>1939</v>
      </c>
      <c r="O29" s="2283"/>
      <c r="P29" s="1422">
        <f>J36</f>
        <v>0</v>
      </c>
    </row>
    <row r="30" spans="1:19" s="43" customFormat="1" ht="11.25" customHeight="1">
      <c r="A30" s="178"/>
      <c r="B30" s="1429" t="s">
        <v>2466</v>
      </c>
      <c r="C30" s="110" t="s">
        <v>4284</v>
      </c>
      <c r="D30" s="48"/>
      <c r="E30" s="48"/>
      <c r="F30" s="2390"/>
      <c r="H30" s="172" t="s">
        <v>4288</v>
      </c>
      <c r="J30" s="49"/>
      <c r="M30" s="6"/>
      <c r="N30" s="388" t="s">
        <v>2466</v>
      </c>
      <c r="O30" s="2284"/>
      <c r="P30" s="4137"/>
    </row>
    <row r="31" spans="1:19" s="43" customFormat="1" ht="11.25" customHeight="1">
      <c r="C31" s="4138" t="s">
        <v>4456</v>
      </c>
      <c r="D31" s="4139"/>
      <c r="E31" s="4139"/>
      <c r="F31" s="4139"/>
      <c r="G31" s="4139"/>
      <c r="H31" s="4139"/>
      <c r="I31" s="4139"/>
      <c r="J31" s="4139"/>
      <c r="K31" s="4139"/>
      <c r="L31" s="4139"/>
      <c r="M31" s="4139"/>
      <c r="N31" s="4139"/>
      <c r="O31" s="4139"/>
      <c r="P31" s="414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707</v>
      </c>
      <c r="D33" s="48"/>
      <c r="E33" s="48"/>
      <c r="F33" s="2390"/>
      <c r="H33" s="172" t="s">
        <v>2644</v>
      </c>
      <c r="J33" s="49"/>
      <c r="M33" s="6"/>
      <c r="N33" s="64" t="s">
        <v>1936</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5" t="s">
        <v>6980</v>
      </c>
      <c r="B35" s="2785"/>
      <c r="C35" s="2785"/>
      <c r="D35" s="2785"/>
      <c r="E35" s="2785"/>
      <c r="F35" s="1420" t="s">
        <v>3807</v>
      </c>
      <c r="G35" s="3066" t="s">
        <v>6982</v>
      </c>
      <c r="H35" s="3066"/>
      <c r="I35" s="3066"/>
      <c r="J35" s="1420" t="s">
        <v>3807</v>
      </c>
      <c r="K35" s="3070" t="s">
        <v>6981</v>
      </c>
      <c r="L35" s="3070"/>
      <c r="M35" s="3070"/>
      <c r="N35" s="3070"/>
      <c r="O35" s="3064" t="s">
        <v>3807</v>
      </c>
      <c r="P35" s="3065"/>
      <c r="R35" s="442"/>
      <c r="S35" s="157"/>
    </row>
    <row r="36" spans="1:20" s="42" customFormat="1" ht="11.25" customHeight="1">
      <c r="A36" s="3063"/>
      <c r="B36" s="3063"/>
      <c r="C36" s="3063"/>
      <c r="D36" s="3063"/>
      <c r="E36" s="3063"/>
      <c r="F36" s="76">
        <f>SUM(F37:F48)</f>
        <v>0</v>
      </c>
      <c r="G36" s="3067"/>
      <c r="H36" s="3068"/>
      <c r="I36" s="3069"/>
      <c r="J36" s="76">
        <f>SUM(J37:J48)</f>
        <v>0</v>
      </c>
      <c r="K36" s="3071"/>
      <c r="L36" s="3072"/>
      <c r="M36" s="3072"/>
      <c r="N36" s="3073"/>
      <c r="O36" s="3059">
        <f>SUM(O37:O48)</f>
        <v>0</v>
      </c>
      <c r="P36" s="3060"/>
      <c r="Q36" s="442"/>
      <c r="R36" s="157"/>
    </row>
    <row r="37" spans="1:20" s="42" customFormat="1" ht="24.75" customHeight="1">
      <c r="A37" s="4141">
        <v>1</v>
      </c>
      <c r="B37" s="4142"/>
      <c r="C37" s="4142"/>
      <c r="D37" s="4142"/>
      <c r="E37" s="4143"/>
      <c r="F37" s="4144"/>
      <c r="G37" s="4141">
        <v>1</v>
      </c>
      <c r="H37" s="4142"/>
      <c r="I37" s="4143"/>
      <c r="J37" s="844" t="s">
        <v>1689</v>
      </c>
      <c r="K37" s="4145">
        <v>1</v>
      </c>
      <c r="L37" s="4146"/>
      <c r="M37" s="4146"/>
      <c r="N37" s="4146"/>
      <c r="O37" s="3061" t="s">
        <v>1689</v>
      </c>
      <c r="P37" s="3062"/>
      <c r="Q37" s="440" t="s">
        <v>1227</v>
      </c>
      <c r="R37" s="157"/>
    </row>
    <row r="38" spans="1:20" s="42" customFormat="1" ht="24.75" customHeight="1">
      <c r="A38" s="4147">
        <v>2</v>
      </c>
      <c r="B38" s="4148"/>
      <c r="C38" s="4148"/>
      <c r="D38" s="4148"/>
      <c r="E38" s="4149"/>
      <c r="F38" s="4150"/>
      <c r="G38" s="4147">
        <v>2</v>
      </c>
      <c r="H38" s="4148"/>
      <c r="I38" s="4149"/>
      <c r="J38" s="4150"/>
      <c r="K38" s="4151">
        <v>2</v>
      </c>
      <c r="L38" s="4152"/>
      <c r="M38" s="4152"/>
      <c r="N38" s="4152"/>
      <c r="O38" s="4153"/>
      <c r="P38" s="4154"/>
      <c r="Q38" s="441"/>
      <c r="R38" s="157"/>
    </row>
    <row r="39" spans="1:20" s="42" customFormat="1" ht="24.75" customHeight="1">
      <c r="A39" s="4147">
        <v>3</v>
      </c>
      <c r="B39" s="4148"/>
      <c r="C39" s="4148"/>
      <c r="D39" s="4148"/>
      <c r="E39" s="4149"/>
      <c r="F39" s="4150"/>
      <c r="G39" s="4147">
        <v>3</v>
      </c>
      <c r="H39" s="4148"/>
      <c r="I39" s="4149"/>
      <c r="J39" s="1127" t="s">
        <v>2799</v>
      </c>
      <c r="K39" s="4151">
        <v>3</v>
      </c>
      <c r="L39" s="4152"/>
      <c r="M39" s="4152"/>
      <c r="N39" s="4152"/>
      <c r="O39" s="3032" t="s">
        <v>2799</v>
      </c>
      <c r="P39" s="3033"/>
      <c r="Q39" s="3141" t="s">
        <v>4286</v>
      </c>
      <c r="R39" s="3142"/>
      <c r="S39" s="1423"/>
      <c r="T39" s="1423"/>
    </row>
    <row r="40" spans="1:20" s="42" customFormat="1" ht="24.75" customHeight="1">
      <c r="A40" s="4147">
        <v>4</v>
      </c>
      <c r="B40" s="4148"/>
      <c r="C40" s="4148"/>
      <c r="D40" s="4148"/>
      <c r="E40" s="4149"/>
      <c r="F40" s="4150"/>
      <c r="G40" s="4147">
        <v>4</v>
      </c>
      <c r="H40" s="4148"/>
      <c r="I40" s="4149"/>
      <c r="J40" s="4150"/>
      <c r="K40" s="4151">
        <v>4</v>
      </c>
      <c r="L40" s="4152"/>
      <c r="M40" s="4152"/>
      <c r="N40" s="4152"/>
      <c r="O40" s="3032" t="s">
        <v>2799</v>
      </c>
      <c r="P40" s="3033"/>
      <c r="Q40" s="3141"/>
      <c r="R40" s="3142"/>
      <c r="S40" s="1423"/>
      <c r="T40" s="1423"/>
    </row>
    <row r="41" spans="1:20" s="42" customFormat="1" ht="24.75" customHeight="1">
      <c r="A41" s="4147">
        <v>5</v>
      </c>
      <c r="B41" s="4148"/>
      <c r="C41" s="4148"/>
      <c r="D41" s="4148"/>
      <c r="E41" s="4149"/>
      <c r="F41" s="4150"/>
      <c r="G41" s="4147">
        <v>5</v>
      </c>
      <c r="H41" s="4148"/>
      <c r="I41" s="4149"/>
      <c r="J41" s="1127" t="s">
        <v>3442</v>
      </c>
      <c r="K41" s="4151">
        <v>5</v>
      </c>
      <c r="L41" s="4152"/>
      <c r="M41" s="4152"/>
      <c r="N41" s="4152"/>
      <c r="O41" s="4153"/>
      <c r="P41" s="4154"/>
      <c r="Q41" s="3141"/>
      <c r="R41" s="3142"/>
      <c r="S41" s="1423"/>
      <c r="T41" s="1423"/>
    </row>
    <row r="42" spans="1:20" s="42" customFormat="1" ht="24" customHeight="1">
      <c r="A42" s="4147">
        <v>6</v>
      </c>
      <c r="B42" s="4148"/>
      <c r="C42" s="4148"/>
      <c r="D42" s="4148"/>
      <c r="E42" s="4149"/>
      <c r="F42" s="4150"/>
      <c r="G42" s="4147">
        <v>6</v>
      </c>
      <c r="H42" s="4148"/>
      <c r="I42" s="4149"/>
      <c r="J42" s="4150"/>
      <c r="K42" s="4151">
        <v>6</v>
      </c>
      <c r="L42" s="4152"/>
      <c r="M42" s="4152"/>
      <c r="N42" s="4152"/>
      <c r="O42" s="4153"/>
      <c r="P42" s="4154"/>
      <c r="Q42" s="3141"/>
      <c r="R42" s="3142"/>
    </row>
    <row r="43" spans="1:20" s="42" customFormat="1" ht="10.5" customHeight="1">
      <c r="A43" s="4147">
        <v>7</v>
      </c>
      <c r="B43" s="4148"/>
      <c r="C43" s="4148"/>
      <c r="D43" s="4148"/>
      <c r="E43" s="4149"/>
      <c r="F43" s="4150"/>
      <c r="G43" s="4147">
        <v>7</v>
      </c>
      <c r="H43" s="4148"/>
      <c r="I43" s="4149"/>
      <c r="J43" s="1127" t="s">
        <v>3443</v>
      </c>
      <c r="K43" s="4151">
        <v>7</v>
      </c>
      <c r="L43" s="4152"/>
      <c r="M43" s="4152"/>
      <c r="N43" s="4152"/>
      <c r="O43" s="4153"/>
      <c r="P43" s="4154"/>
      <c r="Q43" s="157"/>
      <c r="R43" s="157"/>
    </row>
    <row r="44" spans="1:20" s="42" customFormat="1" ht="10.5" customHeight="1">
      <c r="A44" s="4147">
        <v>8</v>
      </c>
      <c r="B44" s="4148"/>
      <c r="C44" s="4148"/>
      <c r="D44" s="4148"/>
      <c r="E44" s="4149"/>
      <c r="F44" s="4150"/>
      <c r="G44" s="4147">
        <v>8</v>
      </c>
      <c r="H44" s="4148"/>
      <c r="I44" s="4149"/>
      <c r="J44" s="4150"/>
      <c r="K44" s="4151">
        <v>8</v>
      </c>
      <c r="L44" s="4152"/>
      <c r="M44" s="4152"/>
      <c r="N44" s="4152"/>
      <c r="O44" s="4153"/>
      <c r="P44" s="4154"/>
      <c r="Q44" s="157"/>
      <c r="R44" s="157"/>
    </row>
    <row r="45" spans="1:20" s="42" customFormat="1" ht="11.25" customHeight="1">
      <c r="A45" s="4147">
        <v>9</v>
      </c>
      <c r="B45" s="4148"/>
      <c r="C45" s="4148"/>
      <c r="D45" s="4148"/>
      <c r="E45" s="4149"/>
      <c r="F45" s="4150"/>
      <c r="G45" s="4147">
        <v>9</v>
      </c>
      <c r="H45" s="4148"/>
      <c r="I45" s="4149"/>
      <c r="J45" s="1127" t="s">
        <v>3444</v>
      </c>
      <c r="K45" s="4151">
        <v>9</v>
      </c>
      <c r="L45" s="4152"/>
      <c r="M45" s="4152"/>
      <c r="N45" s="4152"/>
      <c r="O45" s="4153"/>
      <c r="P45" s="4154"/>
      <c r="Q45" s="157"/>
      <c r="R45" s="157"/>
    </row>
    <row r="46" spans="1:20" s="42" customFormat="1" ht="11.25" customHeight="1">
      <c r="A46" s="4147">
        <v>10</v>
      </c>
      <c r="B46" s="4148"/>
      <c r="C46" s="4148"/>
      <c r="D46" s="4148"/>
      <c r="E46" s="4149"/>
      <c r="F46" s="4150"/>
      <c r="G46" s="4147">
        <v>10</v>
      </c>
      <c r="H46" s="4148"/>
      <c r="I46" s="4149"/>
      <c r="J46" s="4150"/>
      <c r="K46" s="4151">
        <v>10</v>
      </c>
      <c r="L46" s="4152"/>
      <c r="M46" s="4152"/>
      <c r="N46" s="4152"/>
      <c r="O46" s="4153"/>
      <c r="P46" s="4154"/>
      <c r="Q46" s="157"/>
    </row>
    <row r="47" spans="1:20" s="42" customFormat="1" ht="11.25" customHeight="1">
      <c r="A47" s="4147">
        <v>11</v>
      </c>
      <c r="B47" s="4148"/>
      <c r="C47" s="4148"/>
      <c r="D47" s="4148"/>
      <c r="E47" s="4149"/>
      <c r="F47" s="4150"/>
      <c r="G47" s="4147">
        <v>11</v>
      </c>
      <c r="H47" s="4148"/>
      <c r="I47" s="4149"/>
      <c r="J47" s="1127" t="s">
        <v>3445</v>
      </c>
      <c r="K47" s="4147">
        <v>11</v>
      </c>
      <c r="L47" s="4148"/>
      <c r="M47" s="4148"/>
      <c r="N47" s="4149"/>
      <c r="O47" s="4153"/>
      <c r="P47" s="4154"/>
      <c r="Q47" s="157"/>
      <c r="R47" s="157"/>
    </row>
    <row r="48" spans="1:20" s="42" customFormat="1" ht="11.25" customHeight="1">
      <c r="A48" s="4155">
        <v>12</v>
      </c>
      <c r="B48" s="4156"/>
      <c r="C48" s="4156"/>
      <c r="D48" s="4156"/>
      <c r="E48" s="4157"/>
      <c r="F48" s="4158"/>
      <c r="G48" s="4155">
        <v>12</v>
      </c>
      <c r="H48" s="4156"/>
      <c r="I48" s="4157"/>
      <c r="J48" s="4158"/>
      <c r="K48" s="4155">
        <v>12</v>
      </c>
      <c r="L48" s="4156"/>
      <c r="M48" s="4156"/>
      <c r="N48" s="4157"/>
      <c r="O48" s="4159"/>
      <c r="P48" s="4160"/>
    </row>
    <row r="49" spans="1:18" s="43" customFormat="1" ht="3" customHeight="1" thickBot="1">
      <c r="D49" s="39"/>
      <c r="E49" s="36"/>
      <c r="F49" s="846"/>
      <c r="G49" s="846"/>
      <c r="H49" s="846"/>
      <c r="I49" s="846"/>
      <c r="J49" s="856"/>
      <c r="K49" s="856"/>
      <c r="L49" s="856"/>
      <c r="M49" s="60"/>
      <c r="N49" s="846"/>
      <c r="O49" s="2376"/>
      <c r="P49" s="3"/>
    </row>
    <row r="50" spans="1:18" s="102" customFormat="1" ht="12" customHeight="1" thickBot="1">
      <c r="A50" s="152" t="s">
        <v>721</v>
      </c>
      <c r="B50" s="106" t="s">
        <v>3446</v>
      </c>
      <c r="E50" s="57"/>
      <c r="G50" s="213"/>
      <c r="H50" s="52"/>
      <c r="I50" s="45" t="s">
        <v>3363</v>
      </c>
      <c r="M50" s="846">
        <v>3</v>
      </c>
      <c r="N50" s="7"/>
      <c r="O50" s="1041">
        <f>IF(AND(O54&gt;0,O58&gt;0),"AorB?",MIN($M$50,O54+O58))</f>
        <v>0</v>
      </c>
      <c r="P50" s="1041">
        <f>IF(AND(P54&gt;0,P58&gt;0),"AorB?",MIN($M$50,P54+P58))</f>
        <v>0</v>
      </c>
      <c r="Q50" s="109" t="s">
        <v>433</v>
      </c>
      <c r="R50" s="374" t="str">
        <f>IF(OR($O50=$M50,$O50=0,$O50=""),"","* * Check Score! * *")</f>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1934</v>
      </c>
      <c r="B52" s="864" t="s">
        <v>2555</v>
      </c>
      <c r="E52" s="57"/>
      <c r="G52" s="87"/>
      <c r="H52" s="55" t="s">
        <v>4437</v>
      </c>
      <c r="J52" s="1500"/>
      <c r="K52" s="1500" t="str">
        <f>'Part I-Project Information'!$K$94</f>
        <v>40% of Units at 60% of AMI</v>
      </c>
      <c r="M52" s="846"/>
      <c r="N52" s="7"/>
      <c r="Q52" s="7"/>
      <c r="R52" s="374"/>
    </row>
    <row r="53" spans="1:18" s="102" customFormat="1" ht="9" customHeight="1">
      <c r="A53" s="138"/>
      <c r="B53" s="3143" t="s">
        <v>4290</v>
      </c>
      <c r="C53" s="3143"/>
      <c r="D53" s="3143"/>
      <c r="E53" s="3143"/>
      <c r="F53" s="3143"/>
      <c r="G53" s="3143"/>
      <c r="H53" s="3143"/>
      <c r="I53" s="3143"/>
      <c r="J53" s="3143"/>
      <c r="K53" s="3143"/>
      <c r="L53" s="3143"/>
      <c r="M53" s="846"/>
      <c r="N53" s="7"/>
      <c r="Q53" s="7"/>
      <c r="R53" s="374"/>
    </row>
    <row r="54" spans="1:18" s="102" customFormat="1" ht="13.5" customHeight="1">
      <c r="B54" s="3143"/>
      <c r="C54" s="3143"/>
      <c r="D54" s="3143"/>
      <c r="E54" s="3143"/>
      <c r="F54" s="3143"/>
      <c r="G54" s="3143"/>
      <c r="H54" s="3143"/>
      <c r="I54" s="3143"/>
      <c r="J54" s="3143"/>
      <c r="K54" s="3143"/>
      <c r="L54" s="3143"/>
      <c r="M54" s="855">
        <v>2</v>
      </c>
      <c r="N54" s="388" t="s">
        <v>1934</v>
      </c>
      <c r="O54" s="869">
        <f>MIN($M54, O55+O56)</f>
        <v>0</v>
      </c>
      <c r="P54" s="869">
        <f>MIN($M54, P55+P56)</f>
        <v>0</v>
      </c>
    </row>
    <row r="55" spans="1:18" s="102" customFormat="1" ht="13.5" customHeight="1">
      <c r="A55" s="138"/>
      <c r="B55" s="1145" t="s">
        <v>1937</v>
      </c>
      <c r="C55" s="1430" t="s">
        <v>4291</v>
      </c>
      <c r="D55" s="52"/>
      <c r="H55" s="52" t="s">
        <v>4292</v>
      </c>
      <c r="I55" s="1427"/>
      <c r="K55" s="1502">
        <f>'Part VI-Revenues &amp; Expenses'!B49</f>
        <v>50</v>
      </c>
      <c r="L55" s="3057" t="str">
        <f>IF(AND(O55&gt;0,O56&gt;0), "CHOOSE EITHER A OR B, NOT BOTH!", "")</f>
        <v/>
      </c>
      <c r="M55" s="995">
        <v>2</v>
      </c>
      <c r="N55" s="174" t="s">
        <v>1937</v>
      </c>
      <c r="O55" s="2286"/>
      <c r="P55" s="4161"/>
      <c r="Q55" s="1477" t="str">
        <f>IF(OR($O55=$M55,$O55=0,$O55=""),"","*CHECK!*")</f>
        <v/>
      </c>
      <c r="R55" s="974" t="s">
        <v>4765</v>
      </c>
    </row>
    <row r="56" spans="1:18" s="102" customFormat="1" ht="13.5" customHeight="1">
      <c r="A56" s="1428" t="s">
        <v>3235</v>
      </c>
      <c r="B56" s="1145" t="s">
        <v>1939</v>
      </c>
      <c r="C56" s="1430" t="s">
        <v>4293</v>
      </c>
      <c r="D56" s="52"/>
      <c r="I56" s="1427"/>
      <c r="K56" s="52"/>
      <c r="L56" s="3057"/>
      <c r="M56" s="995">
        <v>2</v>
      </c>
      <c r="N56" s="174" t="s">
        <v>1939</v>
      </c>
      <c r="O56" s="2287"/>
      <c r="P56" s="4162"/>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3479</v>
      </c>
      <c r="E58" s="423"/>
      <c r="H58" s="3055" t="s">
        <v>4294</v>
      </c>
      <c r="I58" s="3056"/>
      <c r="J58" s="1433" t="s">
        <v>4295</v>
      </c>
      <c r="M58" s="855">
        <v>3</v>
      </c>
      <c r="N58" s="160" t="s">
        <v>1936</v>
      </c>
      <c r="O58" s="869">
        <f>IF(AND(O59="Yes", O60="Yes"),$M$58,0)</f>
        <v>0</v>
      </c>
      <c r="P58" s="869">
        <f>IF(AND(P59="Yes", P60="Yes"),$M$58,0)</f>
        <v>0</v>
      </c>
    </row>
    <row r="59" spans="1:18" s="422" customFormat="1" ht="13.5" customHeight="1">
      <c r="A59" s="421"/>
      <c r="B59" s="1145" t="s">
        <v>1937</v>
      </c>
      <c r="C59" s="1431">
        <v>0.3</v>
      </c>
      <c r="D59" s="923" t="s">
        <v>3480</v>
      </c>
      <c r="E59" s="423"/>
      <c r="F59" s="843"/>
      <c r="H59" s="2288">
        <v>26</v>
      </c>
      <c r="I59" s="4163"/>
      <c r="J59" s="1432">
        <f>'Part VI-Revenues &amp; Expenses'!P65</f>
        <v>40</v>
      </c>
      <c r="K59" s="885">
        <f>IF(OR('Part VI-Revenues &amp; Expenses'!$P$65="", 'Part VI-Revenues &amp; Expenses'!$P$65=0),0,H59/'Part VI-Revenues &amp; Expenses'!$P$65)</f>
        <v>0.65</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3704</v>
      </c>
      <c r="E60" s="899"/>
      <c r="F60" s="843"/>
      <c r="I60" s="867"/>
      <c r="J60" s="867"/>
      <c r="K60" s="867"/>
      <c r="L60" s="867"/>
      <c r="M60" s="867"/>
      <c r="N60" s="388" t="s">
        <v>1939</v>
      </c>
      <c r="O60" s="2261"/>
      <c r="P60" s="520"/>
    </row>
    <row r="61" spans="1:18" s="43" customFormat="1" ht="10.5" customHeight="1">
      <c r="A61" s="42"/>
      <c r="B61" s="97" t="s">
        <v>1818</v>
      </c>
      <c r="C61" s="422"/>
      <c r="D61" s="85"/>
      <c r="E61" s="2377"/>
      <c r="F61" s="2377"/>
      <c r="G61" s="2377"/>
      <c r="H61" s="2377"/>
      <c r="I61" s="2377"/>
      <c r="J61" s="2377"/>
      <c r="K61" s="2377"/>
      <c r="L61" s="2377"/>
      <c r="M61" s="2377"/>
      <c r="N61" s="74"/>
      <c r="O61" s="70"/>
      <c r="P61" s="2374"/>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723</v>
      </c>
      <c r="B64" s="105" t="s">
        <v>3778</v>
      </c>
      <c r="D64" s="41"/>
      <c r="I64" s="2550" t="s">
        <v>3577</v>
      </c>
      <c r="J64" s="2550"/>
      <c r="K64" s="2550"/>
      <c r="L64" s="980"/>
      <c r="M64" s="2374">
        <v>10</v>
      </c>
      <c r="N64" s="455"/>
      <c r="O64" s="1041">
        <f>IF(OR($M67-O68&lt;0,O67-O68&lt;0),0,IF(O67&lt;=$M67,O67-O68,IF(O67&gt;$M67,$M67-O68,0)))</f>
        <v>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6"/>
      <c r="P65" s="3"/>
    </row>
    <row r="66" spans="1:21" s="102" customFormat="1" ht="12" customHeight="1">
      <c r="A66" s="138"/>
      <c r="B66" s="36" t="s">
        <v>3634</v>
      </c>
      <c r="D66" s="33"/>
      <c r="N66" s="455"/>
      <c r="O66" s="2266"/>
      <c r="P66" s="518"/>
    </row>
    <row r="67" spans="1:21" s="102" customFormat="1" ht="12" customHeight="1">
      <c r="A67" s="138" t="s">
        <v>1934</v>
      </c>
      <c r="B67" s="165" t="s">
        <v>1825</v>
      </c>
      <c r="C67" s="4"/>
      <c r="D67" s="4"/>
      <c r="F67" s="295"/>
      <c r="H67" s="821" t="s">
        <v>2636</v>
      </c>
      <c r="I67" s="3045" t="s">
        <v>4725</v>
      </c>
      <c r="J67" s="3046"/>
      <c r="K67" s="3046"/>
      <c r="L67" s="3047"/>
      <c r="M67" s="72">
        <v>10</v>
      </c>
      <c r="N67" s="174" t="s">
        <v>1934</v>
      </c>
      <c r="O67" s="2286"/>
      <c r="P67" s="4161"/>
      <c r="Q67" s="1477" t="str">
        <f>IF(OR($O67=$M67,$O67=0,$O67=""),"","*CHECK!*")</f>
        <v/>
      </c>
      <c r="R67" s="974" t="s">
        <v>4765</v>
      </c>
    </row>
    <row r="68" spans="1:21" s="102" customFormat="1" ht="12.6" customHeight="1">
      <c r="A68" s="138" t="s">
        <v>1936</v>
      </c>
      <c r="B68" s="165" t="s">
        <v>3626</v>
      </c>
      <c r="D68" s="1063"/>
      <c r="F68" s="1501"/>
      <c r="H68" s="821" t="s">
        <v>3726</v>
      </c>
      <c r="I68" s="3048"/>
      <c r="J68" s="3049"/>
      <c r="K68" s="3049"/>
      <c r="L68" s="3050"/>
      <c r="M68" s="2398" t="s">
        <v>1211</v>
      </c>
      <c r="N68" s="455" t="s">
        <v>1936</v>
      </c>
      <c r="O68" s="2287"/>
      <c r="P68" s="4162"/>
      <c r="R68" s="974" t="s">
        <v>4765</v>
      </c>
    </row>
    <row r="69" spans="1:21" s="43" customFormat="1" ht="11.25" customHeight="1" thickBot="1">
      <c r="A69" s="42"/>
      <c r="B69" s="1132" t="s">
        <v>3564</v>
      </c>
      <c r="C69" s="42"/>
      <c r="D69" s="48"/>
      <c r="E69" s="48"/>
      <c r="F69" s="48"/>
      <c r="G69" s="48"/>
      <c r="H69" s="36"/>
      <c r="I69" s="3051"/>
      <c r="J69" s="3052"/>
      <c r="K69" s="3052"/>
      <c r="L69" s="3053"/>
      <c r="M69" s="46"/>
      <c r="N69" s="62"/>
      <c r="O69" s="3"/>
      <c r="P69" s="2376"/>
    </row>
    <row r="70" spans="1:21" s="43" customFormat="1" ht="90" customHeight="1" thickTop="1" thickBot="1">
      <c r="A70" s="2942" t="s">
        <v>7039</v>
      </c>
      <c r="B70" s="2943"/>
      <c r="C70" s="2943"/>
      <c r="D70" s="2943"/>
      <c r="E70" s="2943"/>
      <c r="F70" s="2943"/>
      <c r="G70" s="2943"/>
      <c r="H70" s="2943"/>
      <c r="I70" s="2943"/>
      <c r="J70" s="2943"/>
      <c r="K70" s="2943"/>
      <c r="L70" s="2943"/>
      <c r="M70" s="2943"/>
      <c r="N70" s="2943"/>
      <c r="O70" s="2943"/>
      <c r="P70" s="2944"/>
      <c r="Q70" s="1027" t="s">
        <v>1227</v>
      </c>
      <c r="R70" s="441"/>
    </row>
    <row r="71" spans="1:21" s="43" customFormat="1" ht="11.4" customHeight="1" thickTop="1">
      <c r="A71" s="42"/>
      <c r="B71" s="66" t="s">
        <v>1818</v>
      </c>
      <c r="C71" s="42"/>
      <c r="D71" s="136"/>
      <c r="E71" s="2377"/>
      <c r="F71" s="2377"/>
      <c r="G71" s="2377"/>
      <c r="H71" s="2377"/>
      <c r="I71" s="2377"/>
      <c r="J71" s="2377"/>
      <c r="K71" s="2377"/>
      <c r="L71" s="2377"/>
      <c r="M71" s="2377"/>
      <c r="N71" s="74"/>
      <c r="O71" s="70"/>
      <c r="P71" s="2374"/>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1747</v>
      </c>
      <c r="B74" s="105" t="s">
        <v>2559</v>
      </c>
      <c r="D74" s="41"/>
      <c r="K74" s="977" t="s">
        <v>1830</v>
      </c>
      <c r="M74" s="2374">
        <v>6</v>
      </c>
      <c r="N74" s="455"/>
      <c r="O74" s="1041">
        <f>IF($J$75="Flexible",MIN($M74,MAX(O89,O95)),IF(AND($J$75="Rural",O103&gt;0),MIN($M103,O103),0))</f>
        <v>0</v>
      </c>
      <c r="P74" s="1041">
        <f>IF($J$75="Flexible",MIN($M74,MAX(P89,P95)),IF(AND($J$75="Rural",P103&gt;0),MIN($M103,P103),0))</f>
        <v>0</v>
      </c>
      <c r="Q74" s="109" t="s">
        <v>433</v>
      </c>
      <c r="R74" s="3007" t="s">
        <v>4518</v>
      </c>
      <c r="S74" s="3007"/>
      <c r="T74" s="3007"/>
      <c r="U74" s="3007"/>
    </row>
    <row r="75" spans="1:21" s="43" customFormat="1" ht="17.25" customHeight="1">
      <c r="A75" s="152"/>
      <c r="B75" s="110" t="s">
        <v>3705</v>
      </c>
      <c r="D75" s="41"/>
      <c r="H75" s="165" t="s">
        <v>2701</v>
      </c>
      <c r="I75" s="505"/>
      <c r="J75" s="503" t="str">
        <f>'Part I-Project Information'!$H$105</f>
        <v>Rural</v>
      </c>
      <c r="K75" s="48"/>
      <c r="M75" s="2374"/>
      <c r="N75" s="455"/>
      <c r="O75" s="973" t="s">
        <v>3447</v>
      </c>
      <c r="P75" s="973" t="s">
        <v>3448</v>
      </c>
      <c r="Q75" s="109"/>
      <c r="R75" s="3007"/>
      <c r="S75" s="3007"/>
      <c r="T75" s="3007"/>
      <c r="U75" s="3007"/>
    </row>
    <row r="76" spans="1:21" s="43" customFormat="1" ht="11.25" customHeight="1">
      <c r="A76" s="152"/>
      <c r="B76" s="372" t="s">
        <v>1937</v>
      </c>
      <c r="C76" s="36" t="s">
        <v>4301</v>
      </c>
      <c r="D76" s="1063"/>
      <c r="E76" s="102"/>
      <c r="F76" s="102"/>
      <c r="G76" s="102"/>
      <c r="H76" s="45"/>
      <c r="I76" s="49"/>
      <c r="J76" s="48"/>
      <c r="K76" s="48"/>
      <c r="L76" s="102"/>
      <c r="M76" s="2374"/>
      <c r="N76" s="455"/>
      <c r="O76" s="2266"/>
      <c r="P76" s="518"/>
      <c r="Q76" s="109"/>
      <c r="R76" s="3007"/>
      <c r="S76" s="3007"/>
      <c r="T76" s="3007"/>
      <c r="U76" s="3007"/>
    </row>
    <row r="77" spans="1:21" s="43" customFormat="1" ht="11.25" customHeight="1">
      <c r="A77" s="152"/>
      <c r="B77" s="372" t="s">
        <v>1939</v>
      </c>
      <c r="C77" s="36" t="s">
        <v>4302</v>
      </c>
      <c r="D77" s="1063"/>
      <c r="E77" s="102"/>
      <c r="F77" s="102"/>
      <c r="G77" s="102"/>
      <c r="H77" s="45"/>
      <c r="I77" s="49"/>
      <c r="J77" s="48"/>
      <c r="K77" s="48"/>
      <c r="L77" s="102"/>
      <c r="M77" s="102"/>
      <c r="N77" s="455"/>
      <c r="O77" s="2265"/>
      <c r="P77" s="519"/>
      <c r="Q77" s="109"/>
      <c r="R77" s="3007"/>
      <c r="S77" s="3007"/>
      <c r="T77" s="3007"/>
      <c r="U77" s="3007"/>
    </row>
    <row r="78" spans="1:21" s="43" customFormat="1" ht="11.25" customHeight="1">
      <c r="A78" s="152"/>
      <c r="B78" s="372" t="s">
        <v>2466</v>
      </c>
      <c r="C78" s="36" t="s">
        <v>4303</v>
      </c>
      <c r="D78" s="1063"/>
      <c r="E78" s="102"/>
      <c r="F78" s="102"/>
      <c r="G78" s="102"/>
      <c r="H78" s="45"/>
      <c r="I78" s="49"/>
      <c r="J78" s="48"/>
      <c r="K78" s="48"/>
      <c r="L78" s="102"/>
      <c r="M78" s="102"/>
      <c r="N78" s="455"/>
      <c r="O78" s="2265"/>
      <c r="P78" s="519"/>
      <c r="Q78" s="109"/>
      <c r="R78" s="3007"/>
      <c r="S78" s="3007"/>
      <c r="T78" s="3007"/>
      <c r="U78" s="3007"/>
    </row>
    <row r="79" spans="1:21" s="43" customFormat="1" ht="11.25" customHeight="1">
      <c r="A79" s="152"/>
      <c r="B79" s="372" t="s">
        <v>1197</v>
      </c>
      <c r="C79" s="36" t="s">
        <v>4297</v>
      </c>
      <c r="D79" s="1063"/>
      <c r="E79" s="102"/>
      <c r="F79" s="102"/>
      <c r="G79" s="102"/>
      <c r="H79" s="45"/>
      <c r="I79" s="49"/>
      <c r="J79" s="48"/>
      <c r="K79" s="48"/>
      <c r="L79" s="102"/>
      <c r="M79" s="102"/>
      <c r="N79" s="455"/>
      <c r="O79" s="2261"/>
      <c r="P79" s="520"/>
      <c r="Q79" s="109"/>
      <c r="R79" s="3007"/>
      <c r="S79" s="3007"/>
      <c r="T79" s="3007"/>
      <c r="U79" s="3007"/>
    </row>
    <row r="80" spans="1:21" s="43" customFormat="1" ht="3" customHeight="1">
      <c r="A80" s="152"/>
      <c r="B80" s="105"/>
      <c r="D80" s="41"/>
      <c r="H80" s="45"/>
      <c r="I80" s="49"/>
      <c r="J80" s="48"/>
      <c r="K80" s="48"/>
      <c r="M80" s="2374"/>
      <c r="N80" s="455"/>
      <c r="O80" s="3"/>
      <c r="P80" s="3"/>
      <c r="Q80" s="109"/>
      <c r="R80" s="3007"/>
      <c r="S80" s="3007"/>
      <c r="T80" s="3007"/>
      <c r="U80" s="3007"/>
    </row>
    <row r="81" spans="1:21" s="43" customFormat="1" ht="13.5" customHeight="1">
      <c r="A81" s="152"/>
      <c r="B81" s="110" t="s">
        <v>3711</v>
      </c>
      <c r="D81" s="41"/>
      <c r="F81" s="3027" t="s">
        <v>3533</v>
      </c>
      <c r="G81" s="3027"/>
      <c r="H81" s="3027"/>
      <c r="I81" s="3027"/>
      <c r="J81" s="3027" t="s">
        <v>3534</v>
      </c>
      <c r="K81" s="3027"/>
      <c r="L81" s="3027"/>
      <c r="M81" s="3027"/>
      <c r="N81" s="455"/>
      <c r="O81" s="3030" t="s">
        <v>4438</v>
      </c>
      <c r="P81" s="3031"/>
      <c r="Q81" s="109"/>
      <c r="R81" s="3007"/>
      <c r="S81" s="3007"/>
      <c r="T81" s="3007"/>
      <c r="U81" s="3007"/>
    </row>
    <row r="82" spans="1:21" s="43" customFormat="1" ht="12.75" customHeight="1">
      <c r="A82" s="152"/>
      <c r="C82" s="480" t="s">
        <v>3710</v>
      </c>
      <c r="D82" s="582"/>
      <c r="E82" s="268"/>
      <c r="F82" s="3008"/>
      <c r="G82" s="3009"/>
      <c r="H82" s="4164"/>
      <c r="I82" s="4165"/>
      <c r="J82" s="3008"/>
      <c r="K82" s="3009"/>
      <c r="L82" s="4164"/>
      <c r="M82" s="4165"/>
      <c r="N82" s="455"/>
      <c r="Q82" s="109"/>
      <c r="R82" s="3007"/>
      <c r="S82" s="3007"/>
      <c r="T82" s="3007"/>
      <c r="U82" s="3007"/>
    </row>
    <row r="83" spans="1:21" s="43" customFormat="1" ht="12.75" customHeight="1">
      <c r="A83" s="3116" t="s">
        <v>3806</v>
      </c>
      <c r="B83" s="3116"/>
      <c r="D83" s="1099" t="s">
        <v>3712</v>
      </c>
      <c r="E83" s="268"/>
      <c r="F83" s="3119"/>
      <c r="G83" s="3120"/>
      <c r="H83" s="4166"/>
      <c r="I83" s="4167"/>
      <c r="J83" s="3119"/>
      <c r="K83" s="3120"/>
      <c r="L83" s="4166"/>
      <c r="M83" s="4167"/>
      <c r="N83" s="455"/>
      <c r="O83" s="2289"/>
      <c r="P83" s="4168"/>
      <c r="Q83" s="109"/>
      <c r="R83" s="3007"/>
      <c r="S83" s="3007"/>
      <c r="T83" s="3007"/>
      <c r="U83" s="3007"/>
    </row>
    <row r="84" spans="1:21" s="43" customFormat="1" ht="12.75" customHeight="1">
      <c r="A84" s="3116"/>
      <c r="B84" s="3116"/>
      <c r="C84" s="480" t="s">
        <v>3776</v>
      </c>
      <c r="D84" s="582"/>
      <c r="E84" s="268"/>
      <c r="F84" s="3019"/>
      <c r="G84" s="3020"/>
      <c r="H84" s="4169"/>
      <c r="I84" s="4170"/>
      <c r="J84" s="3019"/>
      <c r="K84" s="3020"/>
      <c r="L84" s="4169"/>
      <c r="M84" s="4170"/>
      <c r="N84" s="455"/>
      <c r="O84" s="455"/>
      <c r="P84" s="455"/>
      <c r="Q84" s="109"/>
      <c r="R84" s="3007"/>
      <c r="S84" s="3007"/>
      <c r="T84" s="3007"/>
      <c r="U84" s="3007"/>
    </row>
    <row r="85" spans="1:21" s="43" customFormat="1" ht="12.75" customHeight="1">
      <c r="A85" s="3116"/>
      <c r="B85" s="3116"/>
      <c r="E85" s="1410" t="s">
        <v>3775</v>
      </c>
      <c r="F85" s="3028"/>
      <c r="G85" s="3029"/>
      <c r="H85" s="4171"/>
      <c r="I85" s="4172"/>
      <c r="J85" s="3028"/>
      <c r="K85" s="3029"/>
      <c r="L85" s="4171"/>
      <c r="M85" s="4172"/>
      <c r="N85" s="455"/>
      <c r="O85" s="2289"/>
      <c r="P85" s="4168"/>
      <c r="Q85" s="109"/>
      <c r="R85" s="3007"/>
      <c r="S85" s="3007"/>
      <c r="T85" s="3007"/>
      <c r="U85" s="3007"/>
    </row>
    <row r="86" spans="1:21" s="43" customFormat="1" ht="9" customHeight="1">
      <c r="A86" s="152"/>
      <c r="B86" s="105"/>
      <c r="D86" s="41"/>
      <c r="H86" s="45"/>
      <c r="I86" s="49"/>
      <c r="J86" s="48"/>
      <c r="K86" s="48"/>
      <c r="M86" s="2374"/>
      <c r="N86" s="455"/>
      <c r="O86" s="3"/>
      <c r="P86" s="3"/>
      <c r="Q86" s="109"/>
      <c r="R86" s="1062"/>
      <c r="S86" s="1062"/>
      <c r="T86" s="1062"/>
      <c r="U86" s="1062"/>
    </row>
    <row r="87" spans="1:21" s="43" customFormat="1" ht="12.6" customHeight="1">
      <c r="A87" s="504" t="s">
        <v>2692</v>
      </c>
      <c r="B87" s="105"/>
      <c r="D87" s="41"/>
      <c r="F87" s="61" t="s">
        <v>3565</v>
      </c>
      <c r="M87" s="2374"/>
      <c r="N87" s="2374"/>
      <c r="O87" s="2374"/>
      <c r="P87" s="2374"/>
      <c r="Q87" s="109"/>
      <c r="R87" s="1062"/>
      <c r="S87" s="1062"/>
      <c r="T87" s="1062"/>
      <c r="U87" s="1062"/>
    </row>
    <row r="88" spans="1:21" s="43" customFormat="1" ht="2.25" customHeight="1">
      <c r="A88" s="504"/>
      <c r="B88" s="105"/>
      <c r="D88" s="41"/>
      <c r="F88" s="61"/>
      <c r="M88" s="2374"/>
      <c r="N88" s="2374"/>
      <c r="O88" s="2374"/>
      <c r="P88" s="2374"/>
      <c r="Q88" s="109"/>
      <c r="R88" s="1062"/>
      <c r="S88" s="1062"/>
      <c r="T88" s="1062"/>
      <c r="U88" s="1062"/>
    </row>
    <row r="89" spans="1:21" s="43" customFormat="1" ht="12.6" customHeight="1">
      <c r="A89" s="143" t="s">
        <v>1934</v>
      </c>
      <c r="B89" s="165" t="s">
        <v>3557</v>
      </c>
      <c r="D89" s="41"/>
      <c r="F89" s="45" t="s">
        <v>3636</v>
      </c>
      <c r="M89" s="2374">
        <v>6</v>
      </c>
      <c r="N89" s="388" t="s">
        <v>1934</v>
      </c>
      <c r="O89" s="976">
        <f>IF($J$75="Flexible",MIN($M89,O90+O91+O92),0)</f>
        <v>0</v>
      </c>
      <c r="P89" s="976">
        <f>IF($J$75="Flexible",MIN($M89,P90+P91+P92),0)</f>
        <v>0</v>
      </c>
      <c r="Q89" s="109"/>
    </row>
    <row r="90" spans="1:21" s="409" customFormat="1" ht="23.25" customHeight="1">
      <c r="B90" s="435" t="s">
        <v>1937</v>
      </c>
      <c r="C90" s="2723" t="s">
        <v>4298</v>
      </c>
      <c r="D90" s="2723"/>
      <c r="E90" s="2723"/>
      <c r="F90" s="2723"/>
      <c r="G90" s="2723"/>
      <c r="H90" s="2723"/>
      <c r="I90" s="3121" t="s">
        <v>3773</v>
      </c>
      <c r="J90" s="3122"/>
      <c r="K90" s="3122"/>
      <c r="L90" s="3123"/>
      <c r="M90" s="500">
        <v>5</v>
      </c>
      <c r="N90" s="469" t="s">
        <v>1937</v>
      </c>
      <c r="O90" s="2290"/>
      <c r="P90" s="4173"/>
      <c r="Q90" s="1477" t="str">
        <f>IF(OR($O90=$M90,$O90=0,$O90=""),"","*CHECK!*")</f>
        <v/>
      </c>
      <c r="R90" s="974" t="s">
        <v>4765</v>
      </c>
    </row>
    <row r="91" spans="1:21" s="409" customFormat="1" ht="12" customHeight="1">
      <c r="A91" s="560" t="s">
        <v>1325</v>
      </c>
      <c r="B91" s="435" t="s">
        <v>1939</v>
      </c>
      <c r="C91" s="389" t="s">
        <v>3706</v>
      </c>
      <c r="D91" s="389"/>
      <c r="E91" s="389"/>
      <c r="F91" s="389"/>
      <c r="G91" s="389"/>
      <c r="H91" s="2398" t="str">
        <f>IF(AND(O91&gt;0,O90&gt;0),"Pick A1 or A2!","")</f>
        <v/>
      </c>
      <c r="I91" s="3124"/>
      <c r="J91" s="3125"/>
      <c r="K91" s="3125"/>
      <c r="L91" s="3126"/>
      <c r="M91" s="72">
        <v>4</v>
      </c>
      <c r="N91" s="430" t="s">
        <v>1939</v>
      </c>
      <c r="O91" s="2286"/>
      <c r="P91" s="4161"/>
      <c r="Q91" s="1477" t="str">
        <f>IF(OR($O91=$M91,$O91=0,$O91=""),"","*CHECK!*")</f>
        <v/>
      </c>
      <c r="R91" s="974" t="s">
        <v>4765</v>
      </c>
    </row>
    <row r="92" spans="1:21" s="409" customFormat="1" ht="12" customHeight="1">
      <c r="B92" s="435" t="s">
        <v>2466</v>
      </c>
      <c r="C92" s="389" t="s">
        <v>3558</v>
      </c>
      <c r="D92" s="389"/>
      <c r="E92" s="389"/>
      <c r="F92" s="389"/>
      <c r="I92" s="3124"/>
      <c r="J92" s="3125"/>
      <c r="K92" s="3125"/>
      <c r="L92" s="3126"/>
      <c r="M92" s="72">
        <v>1</v>
      </c>
      <c r="N92" s="430" t="s">
        <v>2466</v>
      </c>
      <c r="O92" s="2287"/>
      <c r="P92" s="4162"/>
      <c r="Q92" s="1477" t="str">
        <f>IF(OR($O92=$M92,$O92=0,$O92=""),"","*CHECK!*")</f>
        <v/>
      </c>
      <c r="R92" s="974" t="s">
        <v>4765</v>
      </c>
    </row>
    <row r="93" spans="1:21" s="409" customFormat="1" ht="12" customHeight="1">
      <c r="B93" s="435"/>
      <c r="C93" s="821" t="s">
        <v>3774</v>
      </c>
      <c r="D93" s="389"/>
      <c r="E93" s="389"/>
      <c r="F93" s="1434" t="str">
        <f>'Part I-Project Information'!$H$82</f>
        <v>Family</v>
      </c>
      <c r="G93" s="821"/>
      <c r="H93" s="1434"/>
      <c r="I93" s="3124"/>
      <c r="J93" s="3125"/>
      <c r="K93" s="3125"/>
      <c r="L93" s="3126"/>
      <c r="M93" s="102"/>
      <c r="N93" s="102"/>
      <c r="O93" s="102"/>
      <c r="P93" s="102"/>
      <c r="Q93" s="978"/>
      <c r="R93" s="1079"/>
    </row>
    <row r="94" spans="1:21" s="409" customFormat="1" ht="12" customHeight="1">
      <c r="B94" s="435"/>
      <c r="C94" s="821"/>
      <c r="D94" s="389"/>
      <c r="E94" s="389"/>
      <c r="F94" s="1434"/>
      <c r="G94" s="821"/>
      <c r="H94" s="1434"/>
      <c r="I94" s="3127"/>
      <c r="J94" s="3128"/>
      <c r="K94" s="3128"/>
      <c r="L94" s="3129"/>
      <c r="M94" s="102"/>
      <c r="N94" s="102"/>
      <c r="O94" s="102"/>
      <c r="P94" s="102"/>
      <c r="Q94" s="978"/>
      <c r="R94" s="1079"/>
    </row>
    <row r="95" spans="1:21" s="409" customFormat="1" ht="12" customHeight="1">
      <c r="A95" s="143" t="s">
        <v>1936</v>
      </c>
      <c r="B95" s="1078" t="s">
        <v>3559</v>
      </c>
      <c r="C95" s="603"/>
      <c r="D95" s="603"/>
      <c r="E95" s="603"/>
      <c r="F95" s="1060" t="s">
        <v>3635</v>
      </c>
      <c r="I95" s="3130" t="s">
        <v>7035</v>
      </c>
      <c r="J95" s="3131"/>
      <c r="K95" s="3131"/>
      <c r="L95" s="3040" t="s">
        <v>7036</v>
      </c>
      <c r="M95" s="2374">
        <v>3</v>
      </c>
      <c r="N95" s="455" t="s">
        <v>1936</v>
      </c>
      <c r="O95" s="976">
        <f>IF($J$75="Flexible",MIN($M95,O98+O99+O100),0)</f>
        <v>0</v>
      </c>
      <c r="P95" s="976">
        <f>IF($J$75="Flexible",MIN($M95,P98+P99+P100),0)</f>
        <v>0</v>
      </c>
      <c r="Q95" s="501"/>
      <c r="R95" s="387"/>
    </row>
    <row r="96" spans="1:21" s="43" customFormat="1" ht="11.25" customHeight="1">
      <c r="A96" s="152"/>
      <c r="B96" s="385" t="s">
        <v>3587</v>
      </c>
      <c r="C96" s="172" t="s">
        <v>4300</v>
      </c>
      <c r="D96" s="1063"/>
      <c r="E96" s="102"/>
      <c r="F96" s="102"/>
      <c r="G96" s="102"/>
      <c r="H96" s="45"/>
      <c r="I96" s="3132"/>
      <c r="J96" s="3133"/>
      <c r="K96" s="3133"/>
      <c r="L96" s="3041"/>
      <c r="M96" s="102"/>
      <c r="N96" s="385" t="s">
        <v>3587</v>
      </c>
      <c r="O96" s="2264"/>
      <c r="P96" s="898"/>
      <c r="Q96" s="109"/>
      <c r="R96" s="387"/>
      <c r="S96" s="409"/>
      <c r="T96" s="409"/>
      <c r="U96" s="409"/>
    </row>
    <row r="97" spans="1:21" s="43" customFormat="1" ht="11.25" customHeight="1">
      <c r="A97" s="152"/>
      <c r="B97" s="385" t="s">
        <v>3588</v>
      </c>
      <c r="C97" s="172" t="s">
        <v>4299</v>
      </c>
      <c r="D97" s="1063"/>
      <c r="E97" s="102"/>
      <c r="F97" s="102"/>
      <c r="G97" s="102"/>
      <c r="H97" s="45"/>
      <c r="I97" s="3021" t="s">
        <v>7037</v>
      </c>
      <c r="J97" s="3022"/>
      <c r="K97" s="3022"/>
      <c r="L97" s="3023"/>
      <c r="M97" s="102"/>
      <c r="N97" s="385" t="s">
        <v>3588</v>
      </c>
      <c r="O97" s="2261"/>
      <c r="P97" s="520"/>
      <c r="Q97" s="109"/>
      <c r="R97" s="387"/>
      <c r="S97" s="409"/>
      <c r="T97" s="409"/>
      <c r="U97" s="409"/>
    </row>
    <row r="98" spans="1:21" s="409" customFormat="1" ht="12" customHeight="1">
      <c r="A98" s="138"/>
      <c r="B98" s="1503" t="s">
        <v>1937</v>
      </c>
      <c r="C98" s="2726" t="s">
        <v>3707</v>
      </c>
      <c r="D98" s="2726"/>
      <c r="E98" s="2726"/>
      <c r="F98" s="2726"/>
      <c r="G98" s="2726"/>
      <c r="H98" s="3018"/>
      <c r="I98" s="3024"/>
      <c r="J98" s="3025"/>
      <c r="K98" s="3025"/>
      <c r="L98" s="3026"/>
      <c r="M98" s="72">
        <v>3</v>
      </c>
      <c r="N98" s="430" t="s">
        <v>1937</v>
      </c>
      <c r="O98" s="2286"/>
      <c r="P98" s="4174"/>
      <c r="Q98" s="978" t="str">
        <f>IF(OR($O98=$M98,$O98=0,$O98=""),"","*CHECK!*")</f>
        <v/>
      </c>
      <c r="R98" s="974" t="s">
        <v>4765</v>
      </c>
    </row>
    <row r="99" spans="1:21" s="43" customFormat="1" ht="12" customHeight="1">
      <c r="A99" s="560" t="s">
        <v>1325</v>
      </c>
      <c r="B99" s="1503" t="s">
        <v>1939</v>
      </c>
      <c r="C99" s="2726" t="s">
        <v>3708</v>
      </c>
      <c r="D99" s="2726"/>
      <c r="E99" s="2726"/>
      <c r="F99" s="2726"/>
      <c r="G99" s="2726"/>
      <c r="H99" s="3018"/>
      <c r="I99" s="3021" t="s">
        <v>7038</v>
      </c>
      <c r="J99" s="3022"/>
      <c r="K99" s="3022"/>
      <c r="L99" s="3023"/>
      <c r="M99" s="72">
        <v>2</v>
      </c>
      <c r="N99" s="430" t="s">
        <v>1939</v>
      </c>
      <c r="O99" s="2286"/>
      <c r="P99" s="4161"/>
      <c r="Q99" s="978" t="str">
        <f>IF(OR($O99=$M99,$O99=0,$O99=""),"","*CHECK!*")</f>
        <v/>
      </c>
      <c r="R99" s="974" t="s">
        <v>4765</v>
      </c>
    </row>
    <row r="100" spans="1:21" s="43" customFormat="1" ht="14.25" customHeight="1">
      <c r="A100" s="560" t="s">
        <v>1325</v>
      </c>
      <c r="B100" s="1503" t="s">
        <v>2466</v>
      </c>
      <c r="C100" s="2726" t="s">
        <v>3709</v>
      </c>
      <c r="D100" s="2726"/>
      <c r="E100" s="2726"/>
      <c r="F100" s="2726"/>
      <c r="G100" s="2726"/>
      <c r="H100" s="3018"/>
      <c r="I100" s="3024"/>
      <c r="J100" s="3025"/>
      <c r="K100" s="3025"/>
      <c r="L100" s="3026"/>
      <c r="M100" s="72">
        <v>1</v>
      </c>
      <c r="N100" s="430" t="s">
        <v>2466</v>
      </c>
      <c r="O100" s="2287"/>
      <c r="P100" s="4162"/>
      <c r="Q100" s="978" t="str">
        <f>IF(OR($O100=$M100,$O100=0,$O100=""),"","*CHECK!*")</f>
        <v/>
      </c>
      <c r="R100" s="974" t="s">
        <v>4765</v>
      </c>
    </row>
    <row r="101" spans="1:21" s="43" customFormat="1" ht="14.25" customHeight="1">
      <c r="A101" s="1061"/>
      <c r="B101" s="1421"/>
      <c r="C101" s="2383"/>
      <c r="D101" s="2383"/>
      <c r="E101" s="2383"/>
      <c r="F101" s="3117" t="str">
        <f>IF(OR(AND(O98&gt;0,O99&gt;0,O100&gt;0),AND(O98&gt;0,O99&gt;0),AND(O98&gt;0,O100&gt;0),AND(O99&gt;0,O100&gt;0)),"Choose only one option: B1 or B2 or B3!","")</f>
        <v/>
      </c>
      <c r="G101" s="3117"/>
      <c r="H101" s="3118"/>
      <c r="I101" s="3021" t="s">
        <v>7038</v>
      </c>
      <c r="J101" s="3022"/>
      <c r="K101" s="3022"/>
      <c r="L101" s="3023"/>
      <c r="M101" s="102"/>
      <c r="N101" s="102"/>
      <c r="O101" s="102"/>
      <c r="P101" s="102"/>
      <c r="Q101" s="978"/>
      <c r="R101" s="1079"/>
    </row>
    <row r="102" spans="1:21" s="43" customFormat="1" ht="12.6" customHeight="1">
      <c r="A102" s="504" t="s">
        <v>2694</v>
      </c>
      <c r="B102" s="165"/>
      <c r="E102" s="41"/>
      <c r="I102" s="3135"/>
      <c r="J102" s="3136"/>
      <c r="K102" s="3136"/>
      <c r="L102" s="3137"/>
      <c r="M102" s="72"/>
      <c r="N102" s="72"/>
      <c r="O102" s="72"/>
      <c r="P102" s="72"/>
      <c r="Q102" s="374"/>
      <c r="R102" s="374"/>
    </row>
    <row r="103" spans="1:21" s="102" customFormat="1" ht="12" customHeight="1">
      <c r="A103" s="138"/>
      <c r="B103" s="435" t="s">
        <v>1197</v>
      </c>
      <c r="C103" s="3054" t="s">
        <v>4365</v>
      </c>
      <c r="D103" s="3054"/>
      <c r="E103" s="3054"/>
      <c r="F103" s="3054"/>
      <c r="G103" s="3054"/>
      <c r="H103" s="3054"/>
      <c r="I103" s="165"/>
      <c r="J103" s="165"/>
      <c r="K103" s="165"/>
      <c r="L103" s="165"/>
      <c r="M103" s="72">
        <v>1</v>
      </c>
      <c r="N103" s="430" t="s">
        <v>1197</v>
      </c>
      <c r="O103" s="2291"/>
      <c r="P103" s="4175"/>
      <c r="Q103" s="978" t="str">
        <f>IF(OR($O103=$M103,$O103=0,$O103=""),"","*CHECK!*")</f>
        <v/>
      </c>
      <c r="R103" s="974" t="s">
        <v>4765</v>
      </c>
    </row>
    <row r="104" spans="1:21" s="102" customFormat="1" ht="12" customHeight="1">
      <c r="A104" s="138"/>
      <c r="B104" s="435"/>
      <c r="C104" s="3054"/>
      <c r="D104" s="3054"/>
      <c r="E104" s="3054"/>
      <c r="F104" s="3054"/>
      <c r="G104" s="3054"/>
      <c r="H104" s="3054"/>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3564</v>
      </c>
      <c r="C106" s="42"/>
      <c r="D106" s="48"/>
      <c r="E106" s="48"/>
      <c r="F106" s="48"/>
      <c r="G106" s="48"/>
      <c r="H106" s="36"/>
      <c r="K106" s="48"/>
      <c r="M106" s="46"/>
      <c r="N106" s="62"/>
      <c r="O106" s="3"/>
      <c r="P106" s="2376"/>
    </row>
    <row r="107" spans="1:21" s="43" customFormat="1" ht="29.25" customHeight="1" thickTop="1" thickBot="1">
      <c r="A107" s="2942" t="s">
        <v>7039</v>
      </c>
      <c r="B107" s="2943"/>
      <c r="C107" s="2943"/>
      <c r="D107" s="2943"/>
      <c r="E107" s="2943"/>
      <c r="F107" s="2943"/>
      <c r="G107" s="2943"/>
      <c r="H107" s="2943"/>
      <c r="I107" s="2943"/>
      <c r="J107" s="2943"/>
      <c r="K107" s="2943"/>
      <c r="L107" s="2943"/>
      <c r="M107" s="2943"/>
      <c r="N107" s="2943"/>
      <c r="O107" s="2943"/>
      <c r="P107" s="2944"/>
      <c r="Q107" s="1027" t="s">
        <v>1227</v>
      </c>
      <c r="R107" s="441"/>
    </row>
    <row r="108" spans="1:21" s="102" customFormat="1" ht="11.4" customHeight="1" thickTop="1">
      <c r="A108" s="42"/>
      <c r="B108" s="97" t="s">
        <v>1818</v>
      </c>
      <c r="C108" s="42"/>
      <c r="D108" s="97"/>
      <c r="E108" s="2381"/>
      <c r="F108" s="2381"/>
      <c r="G108" s="2381"/>
      <c r="H108" s="2381"/>
      <c r="I108" s="2381"/>
      <c r="J108" s="2381"/>
      <c r="K108" s="2381"/>
      <c r="L108" s="2381"/>
      <c r="M108" s="2381"/>
      <c r="N108" s="93"/>
      <c r="O108" s="836"/>
      <c r="P108" s="2374"/>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6"/>
      <c r="P111" s="3"/>
    </row>
    <row r="112" spans="1:21" s="43" customFormat="1" ht="12.75" customHeight="1" thickBot="1">
      <c r="A112" s="152" t="s">
        <v>1749</v>
      </c>
      <c r="B112" s="106" t="s">
        <v>3724</v>
      </c>
      <c r="D112" s="39"/>
      <c r="E112" s="36"/>
      <c r="F112" s="846"/>
      <c r="G112" s="846"/>
      <c r="H112" s="846"/>
      <c r="I112" s="61" t="s">
        <v>3565</v>
      </c>
      <c r="J112" s="856"/>
      <c r="K112" s="856"/>
      <c r="L112" s="856"/>
      <c r="M112" s="2374">
        <v>4</v>
      </c>
      <c r="N112" s="846"/>
      <c r="O112" s="1041">
        <f>IF(AND(O114&gt;0,O119&gt;0),"AorB?",MIN($M$112,O114+O119+O131))</f>
        <v>0</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6"/>
      <c r="P113" s="3"/>
    </row>
    <row r="114" spans="1:20" s="102" customFormat="1" ht="12.75" customHeight="1" thickBot="1">
      <c r="A114" s="178" t="s">
        <v>1934</v>
      </c>
      <c r="B114" s="833" t="s">
        <v>3725</v>
      </c>
      <c r="C114" s="92"/>
      <c r="D114" s="1038"/>
      <c r="E114" s="52" t="s">
        <v>3780</v>
      </c>
      <c r="G114" s="113"/>
      <c r="I114" s="455" t="s">
        <v>3774</v>
      </c>
      <c r="J114" s="1105" t="str">
        <f>'Part I-Project Information'!$H$82</f>
        <v>Family</v>
      </c>
      <c r="K114" s="1063"/>
      <c r="L114" s="374" t="str">
        <f>IF(OR($O114=$M114,$O114=0,$O114=""),"","* * Check Score! * *")</f>
        <v/>
      </c>
      <c r="M114" s="72">
        <v>3</v>
      </c>
      <c r="N114" s="455" t="s">
        <v>1934</v>
      </c>
      <c r="O114" s="2292"/>
      <c r="P114" s="4176"/>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3"/>
      <c r="P115" s="4177"/>
    </row>
    <row r="116" spans="1:20" s="36" customFormat="1" ht="21.6" customHeight="1">
      <c r="A116" s="63"/>
      <c r="B116" s="2723" t="s">
        <v>4726</v>
      </c>
      <c r="C116" s="2723"/>
      <c r="D116" s="3138"/>
      <c r="E116" s="3138"/>
      <c r="F116" s="3138"/>
      <c r="G116" s="3138"/>
      <c r="H116" s="3138"/>
      <c r="I116" s="3138"/>
      <c r="J116" s="3138"/>
      <c r="K116" s="3138"/>
      <c r="L116" s="3138"/>
      <c r="M116" s="3138"/>
      <c r="N116" s="3138"/>
      <c r="O116" s="3138"/>
      <c r="P116" s="3138"/>
      <c r="Q116" s="1023"/>
      <c r="R116" s="1023"/>
      <c r="S116" s="1023"/>
      <c r="T116" s="1023"/>
    </row>
    <row r="117" spans="1:20" s="102" customFormat="1" ht="21.6" customHeight="1">
      <c r="A117" s="178"/>
      <c r="B117" s="2713" t="s">
        <v>4304</v>
      </c>
      <c r="C117" s="2713"/>
      <c r="D117" s="2713"/>
      <c r="E117" s="3139"/>
      <c r="F117" s="3139"/>
      <c r="G117" s="3139"/>
      <c r="H117" s="3139"/>
      <c r="I117" s="3139"/>
      <c r="J117" s="3139"/>
      <c r="K117" s="3139"/>
      <c r="L117" s="3139"/>
      <c r="M117" s="3139"/>
      <c r="N117" s="3139"/>
      <c r="O117" s="3139"/>
      <c r="P117" s="3139"/>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6"/>
      <c r="P118" s="3"/>
    </row>
    <row r="119" spans="1:20" s="102" customFormat="1" ht="12.75" customHeight="1" thickBot="1">
      <c r="A119" s="178" t="s">
        <v>1936</v>
      </c>
      <c r="B119" s="165" t="s">
        <v>3727</v>
      </c>
      <c r="D119" s="92"/>
      <c r="I119" s="92"/>
      <c r="J119" s="92"/>
      <c r="L119" s="374" t="str">
        <f>IF(OR($O119=$M119,$O119=0,$O119=""),"","* * Check Score! * *")</f>
        <v/>
      </c>
      <c r="M119" s="995">
        <v>3</v>
      </c>
      <c r="N119" s="455" t="s">
        <v>1936</v>
      </c>
      <c r="O119" s="2292"/>
      <c r="P119" s="4176"/>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6"/>
      <c r="P120" s="2393"/>
      <c r="Q120" s="1023"/>
      <c r="R120" s="1023"/>
      <c r="S120" s="1023"/>
      <c r="T120" s="1023"/>
    </row>
    <row r="121" spans="1:20" s="409" customFormat="1" ht="21" customHeight="1">
      <c r="A121" s="1780"/>
      <c r="B121" s="1421" t="s">
        <v>1937</v>
      </c>
      <c r="C121" s="136" t="s">
        <v>4610</v>
      </c>
      <c r="D121" s="3140" t="s">
        <v>4304</v>
      </c>
      <c r="E121" s="3140"/>
      <c r="F121" s="3140"/>
      <c r="G121" s="3138"/>
      <c r="H121" s="3138"/>
      <c r="I121" s="3138"/>
      <c r="J121" s="3138"/>
      <c r="K121" s="3138"/>
      <c r="L121" s="3138"/>
      <c r="M121" s="3138"/>
      <c r="N121" s="3138"/>
      <c r="O121" s="3138"/>
      <c r="P121" s="3138"/>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4"/>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90"/>
      <c r="N123" s="385" t="s">
        <v>2371</v>
      </c>
      <c r="O123" s="2265"/>
      <c r="P123" s="519"/>
      <c r="Q123" s="1023"/>
      <c r="R123" s="1023"/>
      <c r="S123" s="1023"/>
      <c r="T123" s="1023"/>
    </row>
    <row r="124" spans="1:20" s="55" customFormat="1" ht="10.5" customHeight="1">
      <c r="A124" s="63"/>
      <c r="C124" s="55" t="s">
        <v>3802</v>
      </c>
      <c r="D124" s="412"/>
      <c r="E124" s="52"/>
      <c r="F124" s="52"/>
      <c r="G124" s="52"/>
      <c r="H124" s="412"/>
      <c r="J124" s="412"/>
      <c r="L124" s="2904" t="s">
        <v>3614</v>
      </c>
      <c r="M124" s="2904"/>
      <c r="N124" s="2904"/>
      <c r="O124" s="3134" t="s">
        <v>3613</v>
      </c>
      <c r="P124" s="3134"/>
      <c r="Q124" s="52"/>
    </row>
    <row r="125" spans="1:20" s="55" customFormat="1" ht="10.95" customHeight="1">
      <c r="A125" s="63"/>
      <c r="B125" s="373"/>
      <c r="C125" s="3012"/>
      <c r="D125" s="3013"/>
      <c r="E125" s="3013"/>
      <c r="F125" s="3013"/>
      <c r="G125" s="3013"/>
      <c r="H125" s="3013"/>
      <c r="I125" s="3013"/>
      <c r="J125" s="3013"/>
      <c r="K125" s="3014"/>
      <c r="L125" s="3010" t="s">
        <v>3519</v>
      </c>
      <c r="M125" s="3010"/>
      <c r="N125" s="3010"/>
      <c r="O125" s="3011"/>
      <c r="P125" s="3011"/>
      <c r="Q125" s="1055" t="str">
        <f>IF(O125&gt;15, "Too much!","")</f>
        <v/>
      </c>
    </row>
    <row r="126" spans="1:20" s="55" customFormat="1" ht="10.95" customHeight="1">
      <c r="A126" s="63"/>
      <c r="B126" s="386"/>
      <c r="C126" s="3015"/>
      <c r="D126" s="3016"/>
      <c r="E126" s="3016"/>
      <c r="F126" s="3016"/>
      <c r="G126" s="3016"/>
      <c r="H126" s="3016"/>
      <c r="I126" s="3016"/>
      <c r="J126" s="3016"/>
      <c r="K126" s="3017"/>
      <c r="L126" s="3010" t="s">
        <v>3519</v>
      </c>
      <c r="M126" s="3010"/>
      <c r="N126" s="3010"/>
      <c r="O126" s="3011"/>
      <c r="P126" s="3011"/>
      <c r="Q126" s="1055" t="str">
        <f>IF(O126&gt;15, "Too much!","")</f>
        <v/>
      </c>
    </row>
    <row r="127" spans="1:20" s="55" customFormat="1" ht="10.95" customHeight="1">
      <c r="A127" s="63"/>
      <c r="B127" s="373"/>
      <c r="C127" s="3015"/>
      <c r="D127" s="3016"/>
      <c r="E127" s="3016"/>
      <c r="F127" s="3016"/>
      <c r="G127" s="3016"/>
      <c r="H127" s="3016"/>
      <c r="I127" s="3016"/>
      <c r="J127" s="3016"/>
      <c r="K127" s="3017"/>
      <c r="L127" s="3010" t="s">
        <v>3519</v>
      </c>
      <c r="M127" s="3010"/>
      <c r="N127" s="3010"/>
      <c r="O127" s="3011"/>
      <c r="P127" s="3011"/>
      <c r="Q127" s="1055" t="str">
        <f>IF(O127&gt;15, "Too much!","")</f>
        <v/>
      </c>
    </row>
    <row r="128" spans="1:20" s="55" customFormat="1" ht="10.95" customHeight="1">
      <c r="A128" s="63"/>
      <c r="B128" s="385"/>
      <c r="C128" s="3135"/>
      <c r="D128" s="3136"/>
      <c r="E128" s="3136"/>
      <c r="F128" s="3136"/>
      <c r="G128" s="3136"/>
      <c r="H128" s="3136"/>
      <c r="I128" s="3136"/>
      <c r="J128" s="3136"/>
      <c r="K128" s="3137"/>
      <c r="L128" s="3010" t="s">
        <v>3519</v>
      </c>
      <c r="M128" s="3010"/>
      <c r="N128" s="3010"/>
      <c r="O128" s="3011"/>
      <c r="P128" s="3011"/>
      <c r="Q128" s="1055" t="str">
        <f>IF(O128&gt;15, "Too much!","")</f>
        <v/>
      </c>
    </row>
    <row r="129" spans="1:21" s="102" customFormat="1" ht="10.5" customHeight="1">
      <c r="B129" s="1503" t="s">
        <v>1939</v>
      </c>
      <c r="C129" s="66" t="s">
        <v>4611</v>
      </c>
      <c r="D129" s="36" t="s">
        <v>4616</v>
      </c>
      <c r="E129" s="52"/>
      <c r="F129" s="52"/>
      <c r="G129" s="52"/>
      <c r="H129" s="92"/>
      <c r="I129" s="92"/>
      <c r="J129" s="92"/>
      <c r="K129" s="92"/>
      <c r="L129" s="92"/>
      <c r="M129" s="92"/>
      <c r="N129" s="986" t="s">
        <v>4807</v>
      </c>
      <c r="O129" s="2256"/>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2371</v>
      </c>
      <c r="O130" s="2261"/>
      <c r="P130" s="520"/>
      <c r="Q130" s="483"/>
      <c r="R130" s="55"/>
      <c r="S130" s="55"/>
      <c r="T130" s="55"/>
      <c r="U130" s="55"/>
    </row>
    <row r="131" spans="1:21" s="102" customFormat="1" ht="12.75" customHeight="1" thickBot="1">
      <c r="A131" s="178" t="s">
        <v>730</v>
      </c>
      <c r="B131" s="833" t="s">
        <v>3615</v>
      </c>
      <c r="D131" s="52"/>
      <c r="F131" s="52"/>
      <c r="G131" s="52"/>
      <c r="H131" s="52"/>
      <c r="I131" s="52"/>
      <c r="J131" s="52"/>
      <c r="K131" s="52"/>
      <c r="L131" s="374" t="str">
        <f>IF(OR($O131=$M131,$O131=0,$O131=""),"","* * Check Score! * *")</f>
        <v/>
      </c>
      <c r="M131" s="995">
        <v>1</v>
      </c>
      <c r="N131" s="1037" t="s">
        <v>730</v>
      </c>
      <c r="O131" s="2292"/>
      <c r="P131" s="4176"/>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90"/>
      <c r="N132" s="52"/>
      <c r="O132" s="2261"/>
      <c r="P132" s="2393"/>
      <c r="Q132" s="52"/>
      <c r="R132" s="1023"/>
      <c r="S132" s="1023"/>
      <c r="T132" s="1023"/>
      <c r="U132" s="1023"/>
    </row>
    <row r="133" spans="1:21" s="36" customFormat="1" ht="10.5" customHeight="1">
      <c r="A133" s="63"/>
      <c r="B133" s="1503" t="s">
        <v>1937</v>
      </c>
      <c r="C133" s="2713" t="s">
        <v>4612</v>
      </c>
      <c r="D133" s="2713"/>
      <c r="E133" s="2713"/>
      <c r="F133" s="1135"/>
      <c r="G133" s="856" t="s">
        <v>4811</v>
      </c>
      <c r="I133" s="1135"/>
      <c r="J133" s="1135"/>
      <c r="K133" s="1135"/>
      <c r="L133" s="1135"/>
      <c r="M133" s="64"/>
      <c r="N133" s="986" t="s">
        <v>4806</v>
      </c>
      <c r="O133" s="2261"/>
      <c r="P133" s="898"/>
      <c r="Q133" s="52"/>
      <c r="R133" s="1023"/>
      <c r="S133" s="1023"/>
      <c r="T133" s="1023"/>
      <c r="U133" s="1023"/>
    </row>
    <row r="134" spans="1:21" s="36" customFormat="1" ht="10.5" customHeight="1">
      <c r="A134" s="63"/>
      <c r="B134" s="372"/>
      <c r="C134" s="2713"/>
      <c r="D134" s="2713"/>
      <c r="E134" s="2713"/>
      <c r="F134" s="1135"/>
      <c r="G134" s="856" t="s">
        <v>4808</v>
      </c>
      <c r="I134" s="1135"/>
      <c r="J134" s="1135"/>
      <c r="K134" s="1135"/>
      <c r="L134" s="1135"/>
      <c r="M134" s="2390"/>
      <c r="N134" s="385" t="s">
        <v>2371</v>
      </c>
      <c r="O134" s="2261"/>
      <c r="P134" s="519"/>
      <c r="Q134" s="52"/>
      <c r="R134" s="1023"/>
      <c r="S134" s="1023"/>
      <c r="T134" s="1023"/>
      <c r="U134" s="1023"/>
    </row>
    <row r="135" spans="1:21" s="36" customFormat="1" ht="10.5" customHeight="1">
      <c r="A135" s="64"/>
      <c r="B135" s="372"/>
      <c r="C135" s="2713"/>
      <c r="D135" s="2713"/>
      <c r="E135" s="2713"/>
      <c r="F135" s="1135"/>
      <c r="G135" s="856" t="s">
        <v>4809</v>
      </c>
      <c r="I135" s="1135"/>
      <c r="J135" s="1135"/>
      <c r="K135" s="1135"/>
      <c r="L135" s="1135"/>
      <c r="M135" s="2390"/>
      <c r="N135" s="385" t="s">
        <v>2372</v>
      </c>
      <c r="O135" s="2261"/>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90"/>
      <c r="N136" s="385" t="s">
        <v>2373</v>
      </c>
      <c r="O136" s="2261"/>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90"/>
      <c r="N137" s="385" t="s">
        <v>2374</v>
      </c>
      <c r="O137" s="2261"/>
      <c r="P137" s="520"/>
      <c r="Q137" s="52"/>
    </row>
    <row r="138" spans="1:21" s="36" customFormat="1" ht="10.5" customHeight="1">
      <c r="A138" s="63"/>
      <c r="C138" s="52" t="s">
        <v>4813</v>
      </c>
      <c r="D138" s="1135"/>
      <c r="E138" s="1135"/>
      <c r="F138" s="1135"/>
      <c r="G138" s="1135"/>
      <c r="H138" s="1135"/>
      <c r="I138" s="1135"/>
      <c r="J138" s="1135"/>
      <c r="K138" s="1135"/>
      <c r="L138" s="1135"/>
      <c r="M138" s="2390"/>
      <c r="N138" s="52"/>
      <c r="O138" s="2261"/>
      <c r="P138" s="2393"/>
      <c r="Q138" s="52"/>
      <c r="R138" s="1023"/>
      <c r="S138" s="1023"/>
      <c r="T138" s="1023"/>
      <c r="U138" s="1023"/>
    </row>
    <row r="139" spans="1:21" s="36" customFormat="1" ht="10.5" customHeight="1">
      <c r="A139" s="63"/>
      <c r="B139" s="1503" t="s">
        <v>1939</v>
      </c>
      <c r="C139" s="856" t="s">
        <v>4613</v>
      </c>
      <c r="D139" s="1135"/>
      <c r="E139" s="1135"/>
      <c r="F139" s="1135"/>
      <c r="G139" s="1135"/>
      <c r="H139" s="1135"/>
      <c r="I139" s="1135"/>
      <c r="J139" s="1135"/>
      <c r="K139" s="1135"/>
      <c r="L139" s="1135"/>
      <c r="M139" s="64"/>
      <c r="N139" s="1037" t="s">
        <v>1939</v>
      </c>
      <c r="O139" s="2262"/>
      <c r="P139" s="517"/>
      <c r="Q139" s="52"/>
    </row>
    <row r="140" spans="1:21" s="55" customFormat="1" ht="10.5" customHeight="1">
      <c r="A140" s="63"/>
      <c r="B140" s="435"/>
      <c r="C140" s="55" t="s">
        <v>3622</v>
      </c>
      <c r="D140" s="412"/>
      <c r="E140" s="52"/>
      <c r="F140" s="52"/>
      <c r="G140" s="55" t="s">
        <v>3804</v>
      </c>
      <c r="H140" s="412"/>
      <c r="M140" s="58"/>
      <c r="N140" s="58"/>
      <c r="O140" s="58"/>
      <c r="P140" s="58"/>
      <c r="Q140" s="52"/>
    </row>
    <row r="141" spans="1:21" s="55" customFormat="1" ht="21" customHeight="1">
      <c r="B141" s="373"/>
      <c r="C141" s="3012"/>
      <c r="D141" s="3013"/>
      <c r="E141" s="3013"/>
      <c r="F141" s="3014"/>
      <c r="G141" s="3012"/>
      <c r="H141" s="3013"/>
      <c r="I141" s="3013"/>
      <c r="J141" s="3013"/>
      <c r="K141" s="3013"/>
      <c r="L141" s="3013"/>
      <c r="M141" s="3013"/>
      <c r="N141" s="3013"/>
      <c r="O141" s="3013"/>
      <c r="P141" s="3014"/>
      <c r="Q141" s="52"/>
    </row>
    <row r="142" spans="1:21" s="55" customFormat="1" ht="21" customHeight="1">
      <c r="A142" s="63"/>
      <c r="B142" s="386"/>
      <c r="C142" s="3015"/>
      <c r="D142" s="3016"/>
      <c r="E142" s="3016"/>
      <c r="F142" s="3017"/>
      <c r="G142" s="3015"/>
      <c r="H142" s="3016"/>
      <c r="I142" s="3016"/>
      <c r="J142" s="3016"/>
      <c r="K142" s="3016"/>
      <c r="L142" s="3016"/>
      <c r="M142" s="3016"/>
      <c r="N142" s="3016"/>
      <c r="O142" s="3016"/>
      <c r="P142" s="3017"/>
      <c r="Q142" s="52"/>
    </row>
    <row r="143" spans="1:21" s="55" customFormat="1" ht="21" customHeight="1">
      <c r="B143" s="1604"/>
      <c r="C143" s="3015"/>
      <c r="D143" s="3016"/>
      <c r="E143" s="3016"/>
      <c r="F143" s="3017"/>
      <c r="G143" s="3015"/>
      <c r="H143" s="3016"/>
      <c r="I143" s="3016"/>
      <c r="J143" s="3016"/>
      <c r="K143" s="3016"/>
      <c r="L143" s="3016"/>
      <c r="M143" s="3016"/>
      <c r="N143" s="3016"/>
      <c r="O143" s="3016"/>
      <c r="P143" s="3017"/>
      <c r="Q143" s="52"/>
    </row>
    <row r="144" spans="1:21" s="55" customFormat="1" ht="21" customHeight="1">
      <c r="A144" s="1604"/>
      <c r="B144" s="1604"/>
      <c r="C144" s="3135"/>
      <c r="D144" s="3136"/>
      <c r="E144" s="3136"/>
      <c r="F144" s="3137"/>
      <c r="G144" s="3135"/>
      <c r="H144" s="3136"/>
      <c r="I144" s="3136"/>
      <c r="J144" s="3136"/>
      <c r="K144" s="3136"/>
      <c r="L144" s="3136"/>
      <c r="M144" s="3136"/>
      <c r="N144" s="3136"/>
      <c r="O144" s="3136"/>
      <c r="P144" s="3137"/>
      <c r="Q144" s="52"/>
    </row>
    <row r="145" spans="1:27" s="43" customFormat="1" ht="11.25" customHeight="1" thickBot="1">
      <c r="A145" s="42"/>
      <c r="B145" s="1132" t="s">
        <v>3564</v>
      </c>
      <c r="C145" s="42"/>
      <c r="D145" s="48"/>
      <c r="E145" s="48"/>
      <c r="F145" s="48"/>
      <c r="G145" s="48"/>
      <c r="H145" s="36"/>
      <c r="K145" s="48"/>
      <c r="M145" s="46"/>
      <c r="N145" s="62"/>
      <c r="O145" s="3"/>
      <c r="P145" s="2376"/>
    </row>
    <row r="146" spans="1:27" s="43" customFormat="1" ht="29.25" customHeight="1" thickTop="1" thickBot="1">
      <c r="A146" s="2942" t="s">
        <v>7039</v>
      </c>
      <c r="B146" s="2943"/>
      <c r="C146" s="2943"/>
      <c r="D146" s="2943"/>
      <c r="E146" s="2943"/>
      <c r="F146" s="2943"/>
      <c r="G146" s="2943"/>
      <c r="H146" s="2943"/>
      <c r="I146" s="2943"/>
      <c r="J146" s="2943"/>
      <c r="K146" s="2943"/>
      <c r="L146" s="2943"/>
      <c r="M146" s="2943"/>
      <c r="N146" s="2943"/>
      <c r="O146" s="2943"/>
      <c r="P146" s="2944"/>
      <c r="Q146" s="1027" t="s">
        <v>1227</v>
      </c>
      <c r="R146" s="441"/>
    </row>
    <row r="147" spans="1:27" s="43" customFormat="1" ht="10.199999999999999" customHeight="1" thickTop="1">
      <c r="B147" s="1605" t="s">
        <v>3817</v>
      </c>
      <c r="C147" s="98"/>
      <c r="D147" s="85"/>
      <c r="E147" s="99"/>
      <c r="F147" s="2377"/>
      <c r="G147" s="2377"/>
      <c r="H147" s="2377"/>
      <c r="I147" s="2377"/>
      <c r="J147" s="2377"/>
      <c r="K147" s="2377"/>
      <c r="L147" s="2377"/>
      <c r="M147" s="2377"/>
      <c r="N147" s="74"/>
      <c r="O147" s="70"/>
      <c r="P147" s="2374"/>
      <c r="Q147" s="422"/>
    </row>
    <row r="148" spans="1:27" s="43" customFormat="1" ht="11.25" customHeight="1">
      <c r="A148" s="2879"/>
      <c r="B148" s="2880"/>
      <c r="C148" s="2880"/>
      <c r="D148" s="2880"/>
      <c r="E148" s="2880"/>
      <c r="F148" s="2880"/>
      <c r="G148" s="2880"/>
      <c r="H148" s="2880"/>
      <c r="I148" s="2880"/>
      <c r="J148" s="2880"/>
      <c r="K148" s="2880"/>
      <c r="L148" s="2880"/>
      <c r="M148" s="2880"/>
      <c r="N148" s="2880"/>
      <c r="O148" s="2880"/>
      <c r="P148" s="2881"/>
      <c r="Q148" s="440"/>
    </row>
    <row r="149" spans="1:27" s="43" customFormat="1" ht="3" customHeight="1" thickBot="1">
      <c r="A149" s="42"/>
      <c r="C149" s="2377"/>
      <c r="D149" s="2377"/>
      <c r="E149" s="2377"/>
      <c r="F149" s="2377"/>
      <c r="G149" s="2377"/>
      <c r="H149" s="2377"/>
      <c r="I149" s="2377"/>
      <c r="J149" s="2377"/>
      <c r="K149" s="2377"/>
      <c r="L149" s="2377"/>
      <c r="M149" s="2377"/>
      <c r="N149" s="74"/>
      <c r="O149" s="70"/>
      <c r="P149" s="846"/>
    </row>
    <row r="150" spans="1:27" s="43" customFormat="1" ht="13.5" customHeight="1" thickBot="1">
      <c r="A150" s="152" t="s">
        <v>515</v>
      </c>
      <c r="B150" s="106" t="s">
        <v>3713</v>
      </c>
      <c r="C150" s="2377"/>
      <c r="D150" s="2377"/>
      <c r="E150" s="2377"/>
      <c r="F150" s="2377"/>
      <c r="G150" s="2377"/>
      <c r="H150" s="2377"/>
      <c r="I150" s="2377"/>
      <c r="J150" s="2377"/>
      <c r="K150" s="2377"/>
      <c r="L150" s="2377"/>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7"/>
      <c r="D151" s="2377"/>
      <c r="E151" s="2377"/>
      <c r="F151" s="2377"/>
      <c r="G151" s="2377"/>
      <c r="H151" s="2377"/>
      <c r="I151" s="2377"/>
      <c r="J151" s="2377"/>
      <c r="K151" s="2377"/>
      <c r="L151" s="2377"/>
      <c r="M151" s="2377"/>
      <c r="N151" s="74"/>
      <c r="O151" s="70"/>
      <c r="P151" s="846"/>
    </row>
    <row r="152" spans="1:27" s="102" customFormat="1" ht="13.5" customHeight="1">
      <c r="A152" s="178" t="s">
        <v>1934</v>
      </c>
      <c r="B152" s="10" t="s">
        <v>3728</v>
      </c>
      <c r="C152" s="92"/>
      <c r="D152" s="1038"/>
      <c r="E152" s="1038"/>
      <c r="G152" s="1063"/>
      <c r="H152" s="1063"/>
      <c r="I152" s="1063"/>
      <c r="J152" s="1063"/>
      <c r="K152" s="1063"/>
      <c r="L152" s="1063"/>
      <c r="M152" s="426">
        <v>3</v>
      </c>
      <c r="N152" s="174"/>
      <c r="O152" s="2294"/>
      <c r="P152" s="4178"/>
      <c r="Q152" s="1477" t="str">
        <f>IF(OR($O152=$M152,$O152=0,$O152=""),"","*CHECK!*")</f>
        <v/>
      </c>
      <c r="R152" s="974" t="s">
        <v>4765</v>
      </c>
    </row>
    <row r="153" spans="1:27" s="43" customFormat="1" ht="12" customHeight="1">
      <c r="B153" s="40" t="s">
        <v>3618</v>
      </c>
      <c r="C153" s="424"/>
      <c r="D153" s="424"/>
      <c r="E153" s="424"/>
      <c r="F153" s="424"/>
      <c r="G153" s="424"/>
      <c r="H153" s="424"/>
      <c r="I153" s="424"/>
      <c r="J153" s="424"/>
      <c r="K153" s="424"/>
      <c r="L153" s="424"/>
      <c r="M153" s="424"/>
      <c r="N153" s="424"/>
      <c r="O153" s="2254"/>
      <c r="P153" s="516"/>
      <c r="Q153" s="3173" t="s">
        <v>4591</v>
      </c>
      <c r="R153" s="3173"/>
      <c r="S153" s="3173"/>
      <c r="T153" s="3173"/>
      <c r="U153" s="3173"/>
      <c r="V153" s="3173"/>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73"/>
      <c r="R154" s="3173"/>
      <c r="S154" s="3173"/>
      <c r="T154" s="3173"/>
      <c r="U154" s="3173"/>
      <c r="V154" s="3173"/>
      <c r="W154" s="1731"/>
    </row>
    <row r="155" spans="1:27" s="43" customFormat="1" ht="11.25" customHeight="1">
      <c r="A155" s="138"/>
      <c r="B155" s="3093" t="s">
        <v>4502</v>
      </c>
      <c r="C155" s="3093"/>
      <c r="D155" s="3093"/>
      <c r="E155" s="52" t="s">
        <v>3617</v>
      </c>
      <c r="F155" s="102"/>
      <c r="G155" s="52"/>
      <c r="H155" s="102"/>
      <c r="I155" s="2766"/>
      <c r="J155" s="2767"/>
      <c r="K155" s="2767"/>
      <c r="L155" s="2768"/>
      <c r="Q155" s="3173"/>
      <c r="R155" s="3173"/>
      <c r="S155" s="3173"/>
      <c r="T155" s="3173"/>
      <c r="U155" s="3173"/>
      <c r="V155" s="3173"/>
      <c r="W155" s="1731"/>
    </row>
    <row r="156" spans="1:27" s="43" customFormat="1" ht="11.25" customHeight="1">
      <c r="A156" s="138"/>
      <c r="B156" s="3093"/>
      <c r="C156" s="3093"/>
      <c r="D156" s="3093"/>
      <c r="E156" s="40" t="s">
        <v>4306</v>
      </c>
      <c r="F156" s="374"/>
      <c r="G156" s="102"/>
      <c r="H156" s="102"/>
      <c r="I156" s="40"/>
      <c r="J156" s="2392"/>
      <c r="K156" s="2392"/>
      <c r="L156" s="2392"/>
      <c r="M156" s="102"/>
      <c r="N156" s="1065"/>
      <c r="O156" s="2254"/>
      <c r="P156" s="516"/>
      <c r="Q156" s="3173"/>
      <c r="R156" s="3173"/>
      <c r="S156" s="3173"/>
      <c r="T156" s="3173"/>
      <c r="U156" s="3173"/>
      <c r="V156" s="3173"/>
      <c r="W156" s="1731"/>
    </row>
    <row r="157" spans="1:27" s="43" customFormat="1" ht="12" customHeight="1">
      <c r="A157" s="42"/>
      <c r="C157" s="2377"/>
      <c r="D157" s="2377"/>
      <c r="E157" s="52" t="s">
        <v>4307</v>
      </c>
      <c r="F157" s="1506" t="str">
        <f>'Part I-Project Information'!$H$82</f>
        <v>Family</v>
      </c>
      <c r="H157" s="1505"/>
      <c r="I157" s="2377"/>
      <c r="J157" s="2377"/>
      <c r="M157" s="2377"/>
      <c r="N157" s="74"/>
      <c r="O157" s="3146" t="s">
        <v>4760</v>
      </c>
      <c r="P157" s="3146"/>
      <c r="Q157" s="3173"/>
      <c r="R157" s="3173"/>
      <c r="S157" s="3173"/>
      <c r="T157" s="3173"/>
      <c r="U157" s="3173"/>
      <c r="V157" s="3173"/>
      <c r="W157" s="1731"/>
    </row>
    <row r="158" spans="1:27" s="55" customFormat="1" ht="3" customHeight="1">
      <c r="A158" s="861"/>
      <c r="B158" s="424"/>
      <c r="O158" s="3147"/>
      <c r="P158" s="3147"/>
      <c r="Q158" s="3173"/>
      <c r="R158" s="3173"/>
      <c r="S158" s="3173"/>
      <c r="T158" s="3173"/>
      <c r="U158" s="3173"/>
      <c r="V158" s="3173"/>
      <c r="W158" s="1731"/>
    </row>
    <row r="159" spans="1:27" s="43" customFormat="1" ht="12" customHeight="1">
      <c r="A159" s="373" t="s">
        <v>2370</v>
      </c>
      <c r="B159" s="110" t="s">
        <v>4503</v>
      </c>
      <c r="C159" s="2377"/>
      <c r="D159" s="2377"/>
      <c r="E159" s="52"/>
      <c r="F159" s="1419"/>
      <c r="G159" s="1419"/>
      <c r="I159" s="2377"/>
      <c r="J159" s="2377"/>
      <c r="K159" s="2377"/>
      <c r="L159" s="2377"/>
      <c r="M159" s="3159" t="s">
        <v>4305</v>
      </c>
      <c r="N159" s="74"/>
      <c r="O159" s="3147"/>
      <c r="P159" s="3147"/>
      <c r="Q159" s="3173"/>
      <c r="R159" s="3173"/>
      <c r="S159" s="3173"/>
      <c r="T159" s="3173"/>
      <c r="U159" s="3173"/>
      <c r="V159" s="3173"/>
      <c r="Y159" s="3172" t="s">
        <v>4781</v>
      </c>
      <c r="Z159" s="3172"/>
      <c r="AA159" s="3172"/>
    </row>
    <row r="160" spans="1:27" s="55" customFormat="1" ht="3" customHeight="1">
      <c r="A160" s="861"/>
      <c r="B160" s="424"/>
      <c r="M160" s="3159"/>
      <c r="O160" s="3147"/>
      <c r="P160" s="3147"/>
      <c r="R160" s="1730"/>
      <c r="S160" s="412"/>
      <c r="T160" s="1730"/>
      <c r="U160" s="412"/>
      <c r="V160" s="43"/>
      <c r="W160" s="43"/>
    </row>
    <row r="161" spans="1:36" s="43" customFormat="1" ht="13.5" customHeight="1">
      <c r="A161" s="3177" t="s">
        <v>4761</v>
      </c>
      <c r="B161" s="3177"/>
      <c r="C161" s="3177"/>
      <c r="D161" s="3177"/>
      <c r="E161" s="3177"/>
      <c r="F161" s="3177"/>
      <c r="G161" s="3178"/>
      <c r="H161" s="3156" t="s">
        <v>3644</v>
      </c>
      <c r="I161" s="3157"/>
      <c r="J161" s="3158"/>
      <c r="K161" s="3159" t="s">
        <v>3616</v>
      </c>
      <c r="L161" s="2697" t="s">
        <v>4752</v>
      </c>
      <c r="M161" s="3159"/>
      <c r="N161" s="1436"/>
      <c r="O161" s="3147"/>
      <c r="P161" s="3147"/>
      <c r="Q161" s="3174" t="s">
        <v>4748</v>
      </c>
      <c r="R161" s="3174" t="s">
        <v>4751</v>
      </c>
      <c r="S161" s="3174" t="s">
        <v>4749</v>
      </c>
      <c r="T161" s="3174" t="s">
        <v>4750</v>
      </c>
      <c r="U161" s="3174" t="s">
        <v>4467</v>
      </c>
      <c r="V161" s="3174" t="s">
        <v>4466</v>
      </c>
      <c r="X161" s="102"/>
      <c r="Y161" s="1742" t="s">
        <v>4780</v>
      </c>
      <c r="Z161" s="1743" t="s">
        <v>4782</v>
      </c>
      <c r="AA161" s="1743" t="s">
        <v>4783</v>
      </c>
    </row>
    <row r="162" spans="1:36" s="43" customFormat="1" ht="15" customHeight="1">
      <c r="B162" s="481" t="s">
        <v>4784</v>
      </c>
      <c r="C162" s="2392"/>
      <c r="E162" s="1744" t="s">
        <v>4785</v>
      </c>
      <c r="F162" s="1726" t="s">
        <v>4759</v>
      </c>
      <c r="G162" s="1726" t="s">
        <v>3281</v>
      </c>
      <c r="H162" s="2384">
        <v>2017</v>
      </c>
      <c r="I162" s="2384">
        <v>2018</v>
      </c>
      <c r="J162" s="2384">
        <v>2019</v>
      </c>
      <c r="K162" s="2475"/>
      <c r="L162" s="3176"/>
      <c r="M162" s="2475"/>
      <c r="N162" s="1436"/>
      <c r="O162" s="3068"/>
      <c r="P162" s="3068"/>
      <c r="Q162" s="3174"/>
      <c r="R162" s="3174"/>
      <c r="S162" s="3174"/>
      <c r="T162" s="3174"/>
      <c r="U162" s="3174"/>
      <c r="V162" s="3174"/>
      <c r="X162" s="1742" t="s">
        <v>4778</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51"/>
      <c r="C163" s="3152"/>
      <c r="D163" s="3153"/>
      <c r="E163" s="2295" t="s">
        <v>4376</v>
      </c>
      <c r="F163" s="2296"/>
      <c r="G163" s="2297"/>
      <c r="H163" s="2298"/>
      <c r="I163" s="2299"/>
      <c r="J163" s="2299"/>
      <c r="K163" s="1609" t="str">
        <f t="shared" ref="K163:K172" si="0">IF(H163+I163+J163=0,"",AVERAGE(H163,I163,J163))</f>
        <v/>
      </c>
      <c r="L163" s="2300"/>
      <c r="M163" s="1606" t="str">
        <f>IF(OR(K163="",L163=""),"",IF(K163&gt;L163,"Yes",IF(K163&lt;L163,"No","")))</f>
        <v/>
      </c>
      <c r="O163" s="2266"/>
      <c r="P163" s="518"/>
      <c r="Q163" s="447">
        <f>IF(AND(B163="",F163="",G163="",H163="",I163="",J163="",L163="",O163=""),0,1)</f>
        <v>0</v>
      </c>
      <c r="R163" s="3175">
        <f>SUM(Q163:Q172)</f>
        <v>0</v>
      </c>
      <c r="S163" s="1732">
        <f t="shared" ref="S163:S172" si="1">IF(AND(M163="",NOT(O163="Yes")),0,1)</f>
        <v>0</v>
      </c>
      <c r="T163" s="3175">
        <f>SUM(S163:S172)</f>
        <v>0</v>
      </c>
      <c r="U163" s="1732">
        <f t="shared" ref="U163:U172" si="2">IF(OR(M163="Yes",O163="Yes"),1,0)</f>
        <v>0</v>
      </c>
      <c r="V163" s="3175">
        <f>SUM(U163:U172)</f>
        <v>0</v>
      </c>
      <c r="X163" s="1742" t="s">
        <v>4779</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67"/>
      <c r="C164" s="3168"/>
      <c r="D164" s="3169"/>
      <c r="E164" s="2301" t="s">
        <v>4376</v>
      </c>
      <c r="F164" s="2302"/>
      <c r="G164" s="2303"/>
      <c r="H164" s="2304"/>
      <c r="I164" s="2305"/>
      <c r="J164" s="2305"/>
      <c r="K164" s="1610" t="str">
        <f t="shared" si="0"/>
        <v/>
      </c>
      <c r="L164" s="2306"/>
      <c r="M164" s="1607" t="str">
        <f>IF(L164="","",IF(K164&gt;L164,"Yes",IF(K164&lt;L164,"No","")))</f>
        <v/>
      </c>
      <c r="O164" s="2265"/>
      <c r="P164" s="519"/>
      <c r="Q164" s="447">
        <f t="shared" ref="Q164:Q172" si="4">IF(AND(B164="",F164="",G164="",H164="",I164="",J164="",L164="",O164=""),0,1)</f>
        <v>0</v>
      </c>
      <c r="R164" s="3175"/>
      <c r="S164" s="1732">
        <f t="shared" si="1"/>
        <v>0</v>
      </c>
      <c r="T164" s="3175"/>
      <c r="U164" s="1732">
        <f t="shared" si="2"/>
        <v>0</v>
      </c>
      <c r="V164" s="3175"/>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67"/>
      <c r="C165" s="3168"/>
      <c r="D165" s="3169"/>
      <c r="E165" s="2301" t="s">
        <v>4376</v>
      </c>
      <c r="F165" s="2302"/>
      <c r="G165" s="2303"/>
      <c r="H165" s="2304"/>
      <c r="I165" s="2305"/>
      <c r="J165" s="2305"/>
      <c r="K165" s="1610" t="str">
        <f t="shared" si="0"/>
        <v/>
      </c>
      <c r="L165" s="2306"/>
      <c r="M165" s="1607" t="str">
        <f t="shared" ref="M165:M172" si="5">IF(L165="","",IF(K165&gt;L165,"Yes",IF(K165&lt;L165,"No","")))</f>
        <v/>
      </c>
      <c r="O165" s="2265"/>
      <c r="P165" s="519"/>
      <c r="Q165" s="447">
        <f t="shared" si="4"/>
        <v>0</v>
      </c>
      <c r="R165" s="3175"/>
      <c r="S165" s="1732">
        <f t="shared" si="1"/>
        <v>0</v>
      </c>
      <c r="T165" s="3175"/>
      <c r="U165" s="1732">
        <f t="shared" si="2"/>
        <v>0</v>
      </c>
      <c r="V165" s="3175"/>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67"/>
      <c r="C166" s="3168"/>
      <c r="D166" s="3169"/>
      <c r="E166" s="2301" t="s">
        <v>4376</v>
      </c>
      <c r="F166" s="2302"/>
      <c r="G166" s="2303"/>
      <c r="H166" s="2304"/>
      <c r="I166" s="2305"/>
      <c r="J166" s="2305"/>
      <c r="K166" s="1610" t="str">
        <f t="shared" si="0"/>
        <v/>
      </c>
      <c r="L166" s="2306"/>
      <c r="M166" s="1607" t="str">
        <f t="shared" si="5"/>
        <v/>
      </c>
      <c r="O166" s="2265"/>
      <c r="P166" s="519"/>
      <c r="Q166" s="447">
        <f t="shared" si="4"/>
        <v>0</v>
      </c>
      <c r="R166" s="3175"/>
      <c r="S166" s="1732">
        <f t="shared" si="1"/>
        <v>0</v>
      </c>
      <c r="T166" s="3175"/>
      <c r="U166" s="1732">
        <f t="shared" si="2"/>
        <v>0</v>
      </c>
      <c r="V166" s="3175"/>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67"/>
      <c r="C167" s="3168"/>
      <c r="D167" s="3169"/>
      <c r="E167" s="2301" t="s">
        <v>4376</v>
      </c>
      <c r="F167" s="2302"/>
      <c r="G167" s="2303"/>
      <c r="H167" s="2304"/>
      <c r="I167" s="2305"/>
      <c r="J167" s="2305"/>
      <c r="K167" s="1610" t="str">
        <f t="shared" si="0"/>
        <v/>
      </c>
      <c r="L167" s="2306"/>
      <c r="M167" s="1607" t="str">
        <f t="shared" si="5"/>
        <v/>
      </c>
      <c r="O167" s="2265"/>
      <c r="P167" s="519"/>
      <c r="Q167" s="447">
        <f t="shared" si="4"/>
        <v>0</v>
      </c>
      <c r="R167" s="3175"/>
      <c r="S167" s="1732">
        <f t="shared" si="1"/>
        <v>0</v>
      </c>
      <c r="T167" s="3175"/>
      <c r="U167" s="1732">
        <f t="shared" si="2"/>
        <v>0</v>
      </c>
      <c r="V167" s="3175"/>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67"/>
      <c r="C168" s="3168"/>
      <c r="D168" s="3169"/>
      <c r="E168" s="2301" t="s">
        <v>4376</v>
      </c>
      <c r="F168" s="2302"/>
      <c r="G168" s="2303"/>
      <c r="H168" s="2304"/>
      <c r="I168" s="2305"/>
      <c r="J168" s="2305"/>
      <c r="K168" s="1610" t="str">
        <f t="shared" si="0"/>
        <v/>
      </c>
      <c r="L168" s="2306"/>
      <c r="M168" s="1607" t="str">
        <f t="shared" si="5"/>
        <v/>
      </c>
      <c r="O168" s="2265"/>
      <c r="P168" s="519"/>
      <c r="Q168" s="447">
        <f t="shared" si="4"/>
        <v>0</v>
      </c>
      <c r="R168" s="3175"/>
      <c r="S168" s="1732">
        <f t="shared" si="1"/>
        <v>0</v>
      </c>
      <c r="T168" s="3175"/>
      <c r="U168" s="1732">
        <f t="shared" si="2"/>
        <v>0</v>
      </c>
      <c r="V168" s="3175"/>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67"/>
      <c r="C169" s="3168"/>
      <c r="D169" s="3169"/>
      <c r="E169" s="2301" t="s">
        <v>4376</v>
      </c>
      <c r="F169" s="2302"/>
      <c r="G169" s="2303"/>
      <c r="H169" s="2304"/>
      <c r="I169" s="2305"/>
      <c r="J169" s="2305"/>
      <c r="K169" s="1610" t="str">
        <f t="shared" ref="K169:K170" si="7">IF(H169+I169+J169=0,"",AVERAGE(H169,I169,J169))</f>
        <v/>
      </c>
      <c r="L169" s="2306"/>
      <c r="M169" s="1607" t="str">
        <f t="shared" ref="M169:M170" si="8">IF(L169="","",IF(K169&gt;L169,"Yes",IF(K169&lt;L169,"No","")))</f>
        <v/>
      </c>
      <c r="O169" s="2265"/>
      <c r="P169" s="519"/>
      <c r="Q169" s="447">
        <f t="shared" ref="Q169:Q170" si="9">IF(AND(B169="",F169="",G169="",H169="",I169="",J169="",L169="",O169=""),0,1)</f>
        <v>0</v>
      </c>
      <c r="R169" s="3175"/>
      <c r="S169" s="1732">
        <f t="shared" ref="S169:S170" si="10">IF(AND(M169="",NOT(O169="Yes")),0,1)</f>
        <v>0</v>
      </c>
      <c r="T169" s="3175"/>
      <c r="U169" s="1732">
        <f t="shared" ref="U169:U170" si="11">IF(OR(M169="Yes",O169="Yes"),1,0)</f>
        <v>0</v>
      </c>
      <c r="V169" s="3175"/>
    </row>
    <row r="170" spans="1:36" s="43" customFormat="1" ht="12" customHeight="1">
      <c r="A170" s="1733" t="str">
        <f t="shared" si="6"/>
        <v/>
      </c>
      <c r="B170" s="3167"/>
      <c r="C170" s="3168"/>
      <c r="D170" s="3169"/>
      <c r="E170" s="2301" t="s">
        <v>4376</v>
      </c>
      <c r="F170" s="2302"/>
      <c r="G170" s="2303"/>
      <c r="H170" s="2304"/>
      <c r="I170" s="2305"/>
      <c r="J170" s="2305"/>
      <c r="K170" s="1610" t="str">
        <f t="shared" si="7"/>
        <v/>
      </c>
      <c r="L170" s="2306"/>
      <c r="M170" s="1607" t="str">
        <f t="shared" si="8"/>
        <v/>
      </c>
      <c r="O170" s="2265"/>
      <c r="P170" s="519"/>
      <c r="Q170" s="447">
        <f t="shared" si="9"/>
        <v>0</v>
      </c>
      <c r="R170" s="3175"/>
      <c r="S170" s="1732">
        <f t="shared" si="10"/>
        <v>0</v>
      </c>
      <c r="T170" s="3175"/>
      <c r="U170" s="1732">
        <f t="shared" si="11"/>
        <v>0</v>
      </c>
      <c r="V170" s="3175"/>
    </row>
    <row r="171" spans="1:36" s="43" customFormat="1" ht="12" customHeight="1">
      <c r="A171" s="1733" t="str">
        <f t="shared" ref="A171" si="12">IF(OR(M171="Yes", O171="Yes", AND(B171="",F171="",G171="",H171="",I171="",J171="",L171="",O171="")),"", IF(AND(NOT(B171=""),OR(O171="",O171="No",O171="N/a"),OR(F171="",G171=""),AND(H171="",I171="",J171=""),L171=""),"Finish!","Check"))</f>
        <v/>
      </c>
      <c r="B171" s="3167"/>
      <c r="C171" s="3168"/>
      <c r="D171" s="3169"/>
      <c r="E171" s="2301" t="s">
        <v>4376</v>
      </c>
      <c r="F171" s="2302"/>
      <c r="G171" s="2303"/>
      <c r="H171" s="2304"/>
      <c r="I171" s="2305"/>
      <c r="J171" s="2305"/>
      <c r="K171" s="1610" t="str">
        <f t="shared" ref="K171" si="13">IF(H171+I171+J171=0,"",AVERAGE(H171,I171,J171))</f>
        <v/>
      </c>
      <c r="L171" s="2306"/>
      <c r="M171" s="1607" t="str">
        <f t="shared" ref="M171" si="14">IF(L171="","",IF(K171&gt;L171,"Yes",IF(K171&lt;L171,"No","")))</f>
        <v/>
      </c>
      <c r="O171" s="2265"/>
      <c r="P171" s="519"/>
      <c r="Q171" s="447">
        <f t="shared" ref="Q171" si="15">IF(AND(B171="",F171="",G171="",H171="",I171="",J171="",L171="",O171=""),0,1)</f>
        <v>0</v>
      </c>
      <c r="R171" s="3175"/>
      <c r="S171" s="1732">
        <f t="shared" ref="S171" si="16">IF(AND(M171="",NOT(O171="Yes")),0,1)</f>
        <v>0</v>
      </c>
      <c r="T171" s="3175"/>
      <c r="U171" s="1732">
        <f t="shared" ref="U171" si="17">IF(OR(M171="Yes",O171="Yes"),1,0)</f>
        <v>0</v>
      </c>
      <c r="V171" s="3175"/>
    </row>
    <row r="172" spans="1:36" s="43" customFormat="1" ht="12" customHeight="1">
      <c r="A172" s="1733" t="str">
        <f t="shared" si="3"/>
        <v/>
      </c>
      <c r="B172" s="2983"/>
      <c r="C172" s="2984"/>
      <c r="D172" s="2985"/>
      <c r="E172" s="2307" t="s">
        <v>4376</v>
      </c>
      <c r="F172" s="2308"/>
      <c r="G172" s="2309"/>
      <c r="H172" s="2310"/>
      <c r="I172" s="2311"/>
      <c r="J172" s="2311"/>
      <c r="K172" s="1611" t="str">
        <f t="shared" si="0"/>
        <v/>
      </c>
      <c r="L172" s="2312"/>
      <c r="M172" s="1608" t="str">
        <f t="shared" si="5"/>
        <v/>
      </c>
      <c r="O172" s="2261"/>
      <c r="P172" s="520"/>
      <c r="Q172" s="447">
        <f t="shared" si="4"/>
        <v>0</v>
      </c>
      <c r="R172" s="3175"/>
      <c r="S172" s="1732">
        <f t="shared" si="1"/>
        <v>0</v>
      </c>
      <c r="T172" s="3175"/>
      <c r="U172" s="1732">
        <f t="shared" si="2"/>
        <v>0</v>
      </c>
      <c r="V172" s="3175"/>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1936</v>
      </c>
      <c r="B175" s="10" t="s">
        <v>3729</v>
      </c>
      <c r="C175" s="92"/>
      <c r="D175" s="1038"/>
      <c r="E175" s="1038"/>
      <c r="F175" s="61"/>
      <c r="H175" s="40" t="s">
        <v>4564</v>
      </c>
      <c r="M175" s="426">
        <v>2</v>
      </c>
      <c r="N175" s="174"/>
      <c r="O175" s="1041">
        <f>IF(AND(I184="Yes",I185="Yes"),$H$185,IF(AND(I184="Yes",I185="No"),$H$184,0))</f>
        <v>0</v>
      </c>
      <c r="P175" s="1041">
        <f>IF(AND(J184="Yes",J185="Yes"),$H$185,IF(AND(J184="Yes",J185="No"),$H$184,0))</f>
        <v>0</v>
      </c>
      <c r="Q175" s="2374"/>
      <c r="R175" s="1723"/>
    </row>
    <row r="176" spans="1:36" s="55" customFormat="1" ht="12.75" customHeight="1">
      <c r="E176" s="2979" t="s">
        <v>3819</v>
      </c>
      <c r="F176" s="2979" t="s">
        <v>3484</v>
      </c>
      <c r="G176" s="3154" t="s">
        <v>3282</v>
      </c>
      <c r="H176" s="3154"/>
      <c r="I176" s="3154"/>
      <c r="J176" s="3154"/>
      <c r="K176" s="3154"/>
      <c r="L176" s="3154"/>
      <c r="M176" s="3154"/>
      <c r="N176" s="3154"/>
      <c r="P176" s="1066"/>
      <c r="R176" s="52" t="s">
        <v>2732</v>
      </c>
      <c r="S176" s="36"/>
      <c r="T176" s="2974" t="str">
        <f>'Part I-Project Information'!$F$38</f>
        <v>Ludowici</v>
      </c>
      <c r="U176" s="2975"/>
      <c r="V176" s="2975"/>
      <c r="W176" s="2975"/>
      <c r="X176" s="2976"/>
    </row>
    <row r="177" spans="1:24" s="55" customFormat="1" ht="13.5" customHeight="1">
      <c r="A177" s="47"/>
      <c r="B177" s="2981" t="s">
        <v>3732</v>
      </c>
      <c r="C177" s="2981"/>
      <c r="D177" s="2981"/>
      <c r="E177" s="2980"/>
      <c r="F177" s="2980"/>
      <c r="G177" s="3171" t="s">
        <v>3731</v>
      </c>
      <c r="H177" s="3171"/>
      <c r="I177" s="3171"/>
      <c r="J177" s="3171"/>
      <c r="K177" s="3171"/>
      <c r="L177" s="3171"/>
      <c r="M177" s="3171"/>
      <c r="N177" s="3171"/>
      <c r="O177" s="2979" t="s">
        <v>3485</v>
      </c>
      <c r="P177" s="2979"/>
      <c r="R177" s="52" t="s">
        <v>2733</v>
      </c>
      <c r="S177" s="36"/>
      <c r="T177" s="2968" t="str">
        <f>'Part I-Project Information'!$J$39</f>
        <v>Long</v>
      </c>
      <c r="U177" s="2969"/>
      <c r="V177" s="2969"/>
      <c r="W177" s="2969"/>
      <c r="X177" s="2970"/>
    </row>
    <row r="178" spans="1:24" s="55" customFormat="1" ht="13.5" customHeight="1">
      <c r="A178" s="47"/>
      <c r="B178" s="3148" t="s">
        <v>3619</v>
      </c>
      <c r="C178" s="3149"/>
      <c r="D178" s="3150"/>
      <c r="E178" s="2396">
        <v>3000</v>
      </c>
      <c r="F178" s="2396">
        <v>6000</v>
      </c>
      <c r="G178" s="3170">
        <v>15000</v>
      </c>
      <c r="H178" s="3170"/>
      <c r="I178" s="3170"/>
      <c r="J178" s="3170"/>
      <c r="K178" s="3170"/>
      <c r="L178" s="3170"/>
      <c r="M178" s="3170"/>
      <c r="N178" s="3170"/>
      <c r="O178" s="3170">
        <v>20000</v>
      </c>
      <c r="P178" s="3170"/>
      <c r="R178" s="40" t="s">
        <v>2734</v>
      </c>
      <c r="S178" s="36"/>
      <c r="T178" s="2968" t="str">
        <f>'Part I-Project Information'!$O$40</f>
        <v>Long Co.</v>
      </c>
      <c r="U178" s="2969"/>
      <c r="V178" s="2969"/>
      <c r="W178" s="2969"/>
      <c r="X178" s="2970"/>
    </row>
    <row r="179" spans="1:24" s="36" customFormat="1" ht="13.5" customHeight="1">
      <c r="A179" s="47"/>
      <c r="B179" s="2997" t="s">
        <v>3730</v>
      </c>
      <c r="C179" s="2998"/>
      <c r="D179" s="2999"/>
      <c r="E179" s="2397">
        <v>4500</v>
      </c>
      <c r="F179" s="2397">
        <v>9000</v>
      </c>
      <c r="G179" s="2982">
        <v>22500</v>
      </c>
      <c r="H179" s="2982"/>
      <c r="I179" s="2982"/>
      <c r="J179" s="2982"/>
      <c r="K179" s="2982"/>
      <c r="L179" s="2982"/>
      <c r="M179" s="2982"/>
      <c r="N179" s="2982"/>
      <c r="O179" s="2982">
        <v>30000</v>
      </c>
      <c r="P179" s="2982"/>
      <c r="R179" s="40" t="s">
        <v>3640</v>
      </c>
      <c r="T179" s="2968" t="str">
        <f>VLOOKUP('Part I-Project Information'!$J$39,'DCA Underwriting Assumptions'!$G$173:$J$332,4)</f>
        <v>MSA</v>
      </c>
      <c r="U179" s="2969"/>
      <c r="V179" s="2969"/>
      <c r="W179" s="2969"/>
      <c r="X179" s="2970"/>
    </row>
    <row r="180" spans="1:24" s="55" customFormat="1" ht="4.5" customHeight="1">
      <c r="A180" s="47"/>
      <c r="B180" s="47"/>
      <c r="C180" s="412"/>
      <c r="K180" s="2384"/>
      <c r="L180" s="2384"/>
    </row>
    <row r="181" spans="1:24" s="55" customFormat="1" ht="12" customHeight="1">
      <c r="B181" s="859" t="s">
        <v>4797</v>
      </c>
      <c r="E181" s="858"/>
      <c r="F181" s="858"/>
      <c r="G181" s="858"/>
      <c r="I181" s="2313"/>
      <c r="J181" s="4179"/>
      <c r="K181" s="1779" t="str">
        <f>IF(I181="","",IF(I181&lt;E178,"Minimum Jobs Threshold entered is below lowest in chart!",""))</f>
        <v/>
      </c>
      <c r="R181" s="36" t="s">
        <v>3458</v>
      </c>
      <c r="S181" s="36"/>
      <c r="T181" s="2971" t="str">
        <f>'Part I-Project Information'!$K$40</f>
        <v>Rural</v>
      </c>
      <c r="U181" s="2972"/>
      <c r="V181" s="2972"/>
      <c r="W181" s="2972"/>
      <c r="X181" s="2973"/>
    </row>
    <row r="182" spans="1:24" s="55" customFormat="1" ht="12" customHeight="1">
      <c r="A182" s="861"/>
      <c r="B182" s="424" t="s">
        <v>3457</v>
      </c>
      <c r="H182" s="860" t="str">
        <f>IF(I182&lt;I181,"Threshold not met!","")</f>
        <v/>
      </c>
      <c r="I182" s="2314"/>
      <c r="J182" s="4180"/>
      <c r="K182" s="1068" t="str">
        <f>IF(J182&lt;J181,"Threshold not met!","")</f>
        <v/>
      </c>
    </row>
    <row r="183" spans="1:24" s="55" customFormat="1" ht="3" customHeight="1">
      <c r="A183" s="861"/>
      <c r="B183" s="424"/>
    </row>
    <row r="184" spans="1:24" s="55" customFormat="1" ht="11.25" customHeight="1">
      <c r="B184" s="554" t="s">
        <v>1937</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1325</v>
      </c>
      <c r="B185" s="554" t="s">
        <v>1939</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84"/>
    </row>
    <row r="187" spans="1:24" s="55" customFormat="1" ht="3" customHeight="1">
      <c r="A187" s="47"/>
      <c r="B187" s="47"/>
      <c r="C187" s="412"/>
      <c r="F187" s="2398"/>
      <c r="K187" s="2384"/>
      <c r="L187" s="2384"/>
    </row>
    <row r="188" spans="1:24" s="43" customFormat="1" ht="10.5" customHeight="1" thickBot="1">
      <c r="A188" s="42"/>
      <c r="B188" s="1132" t="s">
        <v>3564</v>
      </c>
      <c r="C188" s="42"/>
      <c r="D188" s="48"/>
      <c r="E188" s="48"/>
      <c r="F188" s="48"/>
      <c r="G188" s="48"/>
      <c r="H188" s="36"/>
      <c r="I188" s="36"/>
      <c r="J188" s="36"/>
      <c r="K188" s="36"/>
      <c r="M188" s="46"/>
      <c r="N188" s="62"/>
      <c r="O188" s="3"/>
      <c r="P188" s="2376"/>
    </row>
    <row r="189" spans="1:24" s="43" customFormat="1" ht="21.75" customHeight="1" thickTop="1" thickBot="1">
      <c r="A189" s="2942" t="s">
        <v>7039</v>
      </c>
      <c r="B189" s="2943"/>
      <c r="C189" s="2943"/>
      <c r="D189" s="2943"/>
      <c r="E189" s="2943"/>
      <c r="F189" s="2943"/>
      <c r="G189" s="2943"/>
      <c r="H189" s="2943"/>
      <c r="I189" s="2943"/>
      <c r="J189" s="2943"/>
      <c r="K189" s="2943"/>
      <c r="L189" s="2943"/>
      <c r="M189" s="2943"/>
      <c r="N189" s="2943"/>
      <c r="O189" s="2943"/>
      <c r="P189" s="2944"/>
      <c r="Q189" s="1027" t="s">
        <v>1227</v>
      </c>
    </row>
    <row r="190" spans="1:24" s="43" customFormat="1" ht="10.5" customHeight="1" thickTop="1">
      <c r="A190" s="42"/>
      <c r="B190" s="85" t="s">
        <v>1818</v>
      </c>
      <c r="C190" s="98"/>
      <c r="D190" s="85"/>
      <c r="E190" s="99"/>
      <c r="F190" s="2377"/>
      <c r="G190" s="2377"/>
      <c r="H190" s="2377"/>
      <c r="I190" s="2377"/>
      <c r="J190" s="2377"/>
      <c r="K190" s="2377"/>
      <c r="L190" s="2377"/>
      <c r="M190" s="2377"/>
      <c r="N190" s="74"/>
      <c r="O190" s="70"/>
      <c r="P190" s="2374"/>
      <c r="Q190" s="422"/>
    </row>
    <row r="191" spans="1:24" s="43" customFormat="1" ht="11.25" customHeight="1">
      <c r="A191" s="2879"/>
      <c r="B191" s="2880"/>
      <c r="C191" s="2880"/>
      <c r="D191" s="2880"/>
      <c r="E191" s="2880"/>
      <c r="F191" s="2880"/>
      <c r="G191" s="2880"/>
      <c r="H191" s="2880"/>
      <c r="I191" s="2880"/>
      <c r="J191" s="2880"/>
      <c r="K191" s="2880"/>
      <c r="L191" s="2880"/>
      <c r="M191" s="2880"/>
      <c r="N191" s="2880"/>
      <c r="O191" s="2880"/>
      <c r="P191" s="2881"/>
      <c r="Q191" s="440"/>
      <c r="U191" s="1437"/>
    </row>
    <row r="192" spans="1:24" s="43" customFormat="1" ht="3" customHeight="1" thickBot="1">
      <c r="A192" s="42"/>
      <c r="C192" s="2377"/>
      <c r="D192" s="2377"/>
      <c r="E192" s="2377"/>
      <c r="F192" s="2377"/>
      <c r="G192" s="2377"/>
      <c r="H192" s="2377"/>
      <c r="I192" s="2377"/>
      <c r="J192" s="2377"/>
      <c r="K192" s="2377"/>
      <c r="L192" s="2377"/>
      <c r="M192" s="2377"/>
      <c r="N192" s="74"/>
      <c r="O192" s="70"/>
      <c r="P192" s="846"/>
    </row>
    <row r="193" spans="1:26" s="102" customFormat="1" ht="12.6" customHeight="1" thickBot="1">
      <c r="A193" s="152" t="s">
        <v>753</v>
      </c>
      <c r="B193" s="106" t="s">
        <v>3734</v>
      </c>
      <c r="C193" s="92"/>
      <c r="D193" s="59"/>
      <c r="E193" s="59"/>
      <c r="I193" s="1015"/>
      <c r="J193" s="1015"/>
      <c r="K193" s="556"/>
      <c r="L193" s="556"/>
      <c r="M193" s="2374">
        <v>7</v>
      </c>
      <c r="N193" s="7"/>
      <c r="O193" s="1040">
        <f>IF(OR(O$150&gt;0,O$265&gt;0,AND(NOT(K199="Yes"),NOT(K201="Yes"),NOT(K202="Yes"),NOT(K203="Yes"))),0,MIN($M$193,O196+O214))</f>
        <v>0</v>
      </c>
      <c r="P193" s="1040">
        <f>IF(OR(P$150&gt;0,P$265&gt;0,AND(NOT(L199="Yes"),NOT(L201="Yes"),NOT(L202="Yes"),NOT(L203="Yes"))),0,MIN($M$193,P196+P214))</f>
        <v>0</v>
      </c>
      <c r="Q193" s="109" t="s">
        <v>433</v>
      </c>
      <c r="R193" s="2986" t="s">
        <v>4566</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6" t="s">
        <v>4727</v>
      </c>
      <c r="C195" s="2726"/>
      <c r="D195" s="2726"/>
      <c r="E195" s="2726"/>
      <c r="F195" s="2726"/>
      <c r="G195" s="2726"/>
      <c r="H195" s="2726"/>
      <c r="I195" s="2726"/>
      <c r="J195" s="2726"/>
      <c r="K195" s="2726"/>
      <c r="L195" s="2726"/>
      <c r="M195" s="2726"/>
      <c r="N195" s="2726"/>
      <c r="O195" s="2726"/>
      <c r="P195" s="2726"/>
      <c r="R195" s="2989"/>
      <c r="S195" s="2990"/>
      <c r="T195" s="2990"/>
      <c r="U195" s="2991"/>
    </row>
    <row r="196" spans="1:26" s="43" customFormat="1" ht="12" customHeight="1">
      <c r="A196" s="138" t="s">
        <v>1934</v>
      </c>
      <c r="B196" s="177" t="s">
        <v>4598</v>
      </c>
      <c r="C196" s="165"/>
      <c r="D196" s="165"/>
      <c r="E196" s="165"/>
      <c r="F196" s="165"/>
      <c r="G196" s="165" t="s">
        <v>4593</v>
      </c>
      <c r="H196" s="165"/>
      <c r="I196" s="165"/>
      <c r="J196" s="165"/>
      <c r="K196" s="1111" t="s">
        <v>4753</v>
      </c>
      <c r="L196" s="1111" t="s">
        <v>4753</v>
      </c>
      <c r="M196" s="426">
        <v>5</v>
      </c>
      <c r="N196" s="47" t="s">
        <v>1934</v>
      </c>
      <c r="O196" s="521">
        <f>IF(O210=0,0,MIN($M$196,SUM(O210:O211)))</f>
        <v>0</v>
      </c>
      <c r="P196" s="521">
        <f>IF(SUM(P210:P211)=$M$211,0,MIN($M$196,SUM(P210:P211)))</f>
        <v>0</v>
      </c>
      <c r="R196" s="2989"/>
      <c r="S196" s="2990"/>
      <c r="T196" s="2990"/>
      <c r="U196" s="2991"/>
    </row>
    <row r="197" spans="1:26" s="33" customFormat="1" ht="11.25" customHeight="1">
      <c r="B197" s="1735" t="s">
        <v>4597</v>
      </c>
      <c r="D197" s="1735"/>
      <c r="E197" s="1735"/>
      <c r="F197" s="1735"/>
      <c r="G197" s="1735"/>
      <c r="H197" s="1735"/>
      <c r="I197" s="1735"/>
      <c r="J197" s="385"/>
      <c r="K197" s="2315"/>
      <c r="L197" s="4181"/>
      <c r="R197" s="2989"/>
      <c r="S197" s="2990"/>
      <c r="T197" s="2990"/>
      <c r="U197" s="2991"/>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2442</v>
      </c>
      <c r="L198" s="1112" t="s">
        <v>2442</v>
      </c>
      <c r="N198" s="1133"/>
      <c r="P198" s="1134"/>
      <c r="R198" s="2989"/>
      <c r="S198" s="2990"/>
      <c r="T198" s="2990"/>
      <c r="U198" s="2991"/>
    </row>
    <row r="199" spans="1:26" s="390" customFormat="1" ht="11.25" customHeight="1">
      <c r="B199" s="986" t="s">
        <v>2370</v>
      </c>
      <c r="C199" s="2945" t="s">
        <v>4380</v>
      </c>
      <c r="D199" s="2945"/>
      <c r="E199" s="2945"/>
      <c r="F199" s="2945"/>
      <c r="G199" s="2945"/>
      <c r="H199" s="2945"/>
      <c r="I199" s="2945"/>
      <c r="J199" s="986" t="s">
        <v>2370</v>
      </c>
      <c r="K199" s="2315"/>
      <c r="L199" s="4181"/>
      <c r="M199" s="3164"/>
      <c r="N199" s="3165"/>
      <c r="O199" s="3165"/>
      <c r="P199" s="3166"/>
      <c r="R199" s="2989"/>
      <c r="S199" s="2990"/>
      <c r="T199" s="2990"/>
      <c r="U199" s="2991"/>
      <c r="V199" s="1626"/>
      <c r="W199" s="1626"/>
      <c r="X199" s="1626"/>
      <c r="Y199" s="1626"/>
      <c r="Z199" s="1626"/>
    </row>
    <row r="200" spans="1:26" s="43" customFormat="1" ht="11.25" customHeight="1">
      <c r="A200" s="371"/>
      <c r="B200" s="373"/>
      <c r="C200" s="2945"/>
      <c r="D200" s="2945"/>
      <c r="E200" s="2945"/>
      <c r="F200" s="2945"/>
      <c r="G200" s="2945"/>
      <c r="H200" s="2945"/>
      <c r="I200" s="2945"/>
      <c r="J200" s="373"/>
      <c r="K200" s="1128"/>
      <c r="L200" s="1128"/>
      <c r="R200" s="2989"/>
      <c r="S200" s="2990"/>
      <c r="T200" s="2990"/>
      <c r="U200" s="2991"/>
    </row>
    <row r="201" spans="1:26" s="33" customFormat="1" ht="11.25" customHeight="1">
      <c r="B201" s="373" t="s">
        <v>2371</v>
      </c>
      <c r="C201" s="134" t="s">
        <v>4599</v>
      </c>
      <c r="D201" s="481"/>
      <c r="E201" s="481"/>
      <c r="F201" s="481"/>
      <c r="G201" s="481"/>
      <c r="H201" s="481"/>
      <c r="J201" s="373" t="s">
        <v>2371</v>
      </c>
      <c r="K201" s="2316"/>
      <c r="L201" s="4097"/>
      <c r="M201" s="3164"/>
      <c r="N201" s="3165"/>
      <c r="O201" s="3165"/>
      <c r="P201" s="3166"/>
      <c r="R201" s="2989"/>
      <c r="S201" s="2990"/>
      <c r="T201" s="2990"/>
      <c r="U201" s="2991"/>
      <c r="V201" s="548"/>
      <c r="W201" s="548"/>
      <c r="X201" s="548"/>
      <c r="Y201" s="548"/>
      <c r="Z201" s="548"/>
    </row>
    <row r="202" spans="1:26" s="33" customFormat="1" ht="11.25" customHeight="1">
      <c r="B202" s="373" t="s">
        <v>2372</v>
      </c>
      <c r="C202" s="481" t="s">
        <v>4596</v>
      </c>
      <c r="D202" s="481"/>
      <c r="E202" s="481"/>
      <c r="F202" s="481"/>
      <c r="G202" s="481"/>
      <c r="H202" s="481"/>
      <c r="I202" s="481"/>
      <c r="J202" s="373" t="s">
        <v>2372</v>
      </c>
      <c r="K202" s="2317"/>
      <c r="L202" s="4182"/>
      <c r="R202" s="2989"/>
      <c r="S202" s="2990"/>
      <c r="T202" s="2990"/>
      <c r="U202" s="2991"/>
      <c r="V202" s="548"/>
      <c r="W202" s="548"/>
      <c r="X202" s="548"/>
      <c r="Y202" s="548"/>
      <c r="Z202" s="548"/>
    </row>
    <row r="203" spans="1:26" s="43" customFormat="1" ht="11.25" customHeight="1">
      <c r="A203" s="371"/>
      <c r="C203" s="373" t="s">
        <v>2373</v>
      </c>
      <c r="D203" s="428" t="s">
        <v>4379</v>
      </c>
      <c r="E203" s="1478"/>
      <c r="F203" s="1478"/>
      <c r="G203" s="1478"/>
      <c r="H203" s="1478"/>
      <c r="I203" s="1478"/>
      <c r="J203" s="373" t="s">
        <v>2373</v>
      </c>
      <c r="K203" s="2318"/>
      <c r="L203" s="4183"/>
      <c r="M203" s="481"/>
      <c r="N203" s="481"/>
      <c r="O203" s="481"/>
      <c r="P203" s="481"/>
      <c r="R203" s="2989"/>
      <c r="S203" s="2990"/>
      <c r="T203" s="2990"/>
      <c r="U203" s="2991"/>
    </row>
    <row r="204" spans="1:26" s="43" customFormat="1" ht="12" customHeight="1">
      <c r="A204" s="425"/>
      <c r="B204" s="49" t="s">
        <v>4595</v>
      </c>
      <c r="C204" s="165"/>
      <c r="D204" s="165"/>
      <c r="E204" s="165"/>
      <c r="F204" s="165"/>
      <c r="G204" s="165"/>
      <c r="H204" s="165"/>
      <c r="I204" s="165"/>
      <c r="J204" s="165"/>
      <c r="K204" s="1111" t="s">
        <v>2442</v>
      </c>
      <c r="L204" s="1112" t="s">
        <v>2442</v>
      </c>
      <c r="N204" s="1133"/>
      <c r="P204" s="1134"/>
      <c r="R204" s="2989"/>
      <c r="S204" s="2990"/>
      <c r="T204" s="2990"/>
      <c r="U204" s="2991"/>
    </row>
    <row r="205" spans="1:26" s="102" customFormat="1" ht="11.25" customHeight="1">
      <c r="A205" s="425"/>
      <c r="B205" s="373" t="s">
        <v>2374</v>
      </c>
      <c r="C205" s="3160" t="s">
        <v>4565</v>
      </c>
      <c r="D205" s="3160"/>
      <c r="E205" s="3160"/>
      <c r="F205" s="3160"/>
      <c r="G205" s="3160"/>
      <c r="J205" s="373" t="s">
        <v>2374</v>
      </c>
      <c r="K205" s="2316"/>
      <c r="L205" s="4097"/>
      <c r="M205" s="3151"/>
      <c r="N205" s="3152"/>
      <c r="O205" s="3152"/>
      <c r="P205" s="3153"/>
      <c r="Q205" s="1612">
        <f>IF(K205="Yes",1,0)</f>
        <v>0</v>
      </c>
      <c r="R205" s="2989"/>
      <c r="S205" s="2990"/>
      <c r="T205" s="2990"/>
      <c r="U205" s="2991"/>
      <c r="V205" s="1612">
        <f>IF(L205="Yes",1,0)</f>
        <v>0</v>
      </c>
    </row>
    <row r="206" spans="1:26" s="33" customFormat="1" ht="11.25" customHeight="1">
      <c r="B206" s="385" t="s">
        <v>2390</v>
      </c>
      <c r="C206" s="481" t="s">
        <v>4308</v>
      </c>
      <c r="D206" s="481"/>
      <c r="E206" s="481"/>
      <c r="F206" s="481"/>
      <c r="G206" s="481"/>
      <c r="H206" s="481"/>
      <c r="J206" s="385" t="s">
        <v>2390</v>
      </c>
      <c r="K206" s="2319"/>
      <c r="L206" s="4098"/>
      <c r="M206" s="3167"/>
      <c r="N206" s="3168"/>
      <c r="O206" s="3168"/>
      <c r="P206" s="3169"/>
      <c r="Q206" s="1612">
        <f t="shared" ref="Q206:Q207" si="18">IF(K206="Yes",1,0)</f>
        <v>0</v>
      </c>
      <c r="R206" s="2989"/>
      <c r="S206" s="2990"/>
      <c r="T206" s="2990"/>
      <c r="U206" s="2991"/>
      <c r="V206" s="1612">
        <f>IF(L206="Yes",1,0)</f>
        <v>0</v>
      </c>
      <c r="W206" s="548"/>
      <c r="X206" s="548"/>
      <c r="Y206" s="548"/>
      <c r="Z206" s="548"/>
    </row>
    <row r="207" spans="1:26" s="33" customFormat="1" ht="10.95" customHeight="1">
      <c r="B207" s="385" t="s">
        <v>2391</v>
      </c>
      <c r="C207" s="52" t="s">
        <v>4592</v>
      </c>
      <c r="D207" s="481"/>
      <c r="E207" s="481"/>
      <c r="F207" s="481"/>
      <c r="G207" s="481"/>
      <c r="J207" s="385" t="s">
        <v>2391</v>
      </c>
      <c r="K207" s="2320"/>
      <c r="L207" s="4099"/>
      <c r="M207" s="2983"/>
      <c r="N207" s="2984"/>
      <c r="O207" s="2984"/>
      <c r="P207" s="2985"/>
      <c r="Q207" s="1612">
        <f t="shared" si="18"/>
        <v>0</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4309</v>
      </c>
      <c r="H209" s="158"/>
      <c r="N209" s="27"/>
      <c r="O209" s="27"/>
      <c r="P209" s="27"/>
      <c r="Q209" s="983"/>
      <c r="U209" s="158"/>
      <c r="V209" s="158"/>
      <c r="W209" s="158"/>
      <c r="X209" s="2369"/>
      <c r="Y209" s="385"/>
      <c r="Z209" s="158"/>
    </row>
    <row r="210" spans="1:26" ht="22.5" customHeight="1">
      <c r="A210" s="498"/>
      <c r="B210" s="562" t="s">
        <v>1937</v>
      </c>
      <c r="C210" s="3093" t="s">
        <v>4368</v>
      </c>
      <c r="D210" s="3093"/>
      <c r="E210" s="3093"/>
      <c r="F210" s="3093"/>
      <c r="G210" s="3093"/>
      <c r="H210" s="3093"/>
      <c r="I210" s="3093"/>
      <c r="J210" s="3093"/>
      <c r="K210" s="3093"/>
      <c r="L210" s="3093"/>
      <c r="M210" s="1077">
        <v>3</v>
      </c>
      <c r="N210" s="469" t="s">
        <v>1937</v>
      </c>
      <c r="O210" s="1625">
        <f>IF(AND(K199="Yes",K201="Yes",K202="Yes",K197="Agree"),SUM(Q205:Q207),0)</f>
        <v>0</v>
      </c>
      <c r="P210" s="1625">
        <f>IF(AND(L197="Agree",L199="Yes",L201="Yes",L202="Yes"),SUM(V205:V207),0)</f>
        <v>0</v>
      </c>
      <c r="Q210" s="1477"/>
      <c r="R210" s="974"/>
    </row>
    <row r="211" spans="1:26" ht="12" customHeight="1">
      <c r="A211" s="498"/>
      <c r="B211" s="562" t="s">
        <v>1939</v>
      </c>
      <c r="C211" s="985" t="s">
        <v>4367</v>
      </c>
      <c r="D211" s="985"/>
      <c r="E211" s="985"/>
      <c r="F211" s="985"/>
      <c r="G211" s="985"/>
      <c r="H211" s="985"/>
      <c r="I211" s="985"/>
      <c r="J211" s="428" t="s">
        <v>3586</v>
      </c>
      <c r="K211" s="33"/>
      <c r="L211" s="1473" t="str">
        <f>'Part I-Project Information'!$N$39</f>
        <v>No</v>
      </c>
      <c r="M211" s="2387">
        <v>2</v>
      </c>
      <c r="N211" s="430" t="s">
        <v>1939</v>
      </c>
      <c r="O211" s="2321"/>
      <c r="P211" s="4184"/>
      <c r="Q211" s="1477" t="str">
        <f>IF(OR($O211=$M211,$O211=0,$O211=""),"","*CHECK!*")</f>
        <v/>
      </c>
      <c r="R211" s="974" t="s">
        <v>4765</v>
      </c>
    </row>
    <row r="212" spans="1:26" ht="12" customHeight="1">
      <c r="A212" s="498"/>
      <c r="B212" s="562"/>
      <c r="C212" s="3160" t="s">
        <v>4567</v>
      </c>
      <c r="D212" s="3160"/>
      <c r="E212" s="3160"/>
      <c r="F212" s="3160"/>
      <c r="G212" s="3160"/>
      <c r="H212" s="3160"/>
      <c r="I212" s="1448"/>
      <c r="J212" s="428" t="s">
        <v>3436</v>
      </c>
      <c r="K212" s="1475"/>
      <c r="L212" s="1474" t="str">
        <f>'Part I-Project Information'!$O$38</f>
        <v>9702.00</v>
      </c>
      <c r="M212" s="1449"/>
      <c r="N212" s="1077"/>
      <c r="O212" s="1077"/>
      <c r="P212" s="1077"/>
      <c r="Q212" s="978"/>
      <c r="R212" s="974"/>
    </row>
    <row r="213" spans="1:26" ht="12" customHeight="1">
      <c r="A213" s="498"/>
      <c r="B213" s="465"/>
      <c r="C213" s="3160"/>
      <c r="D213" s="3160"/>
      <c r="E213" s="3160"/>
      <c r="F213" s="3160"/>
      <c r="G213" s="3160"/>
      <c r="H213" s="3160"/>
      <c r="J213" s="428" t="s">
        <v>3262</v>
      </c>
      <c r="K213" s="33"/>
      <c r="L213" s="1472" t="str">
        <f>'Part IV-A-Uses of Funds'!$H$152</f>
        <v>&lt;&lt;Select&gt;&gt;</v>
      </c>
      <c r="M213" s="1472"/>
      <c r="N213" s="27"/>
      <c r="O213" s="27"/>
      <c r="P213" s="27"/>
      <c r="R213" s="158"/>
    </row>
    <row r="214" spans="1:26" ht="12" customHeight="1">
      <c r="A214" s="138" t="s">
        <v>1936</v>
      </c>
      <c r="B214" s="177" t="s">
        <v>4310</v>
      </c>
      <c r="D214" s="33"/>
      <c r="F214" s="1443"/>
      <c r="K214" s="1104"/>
      <c r="L214" s="374" t="str">
        <f>IF(OR($O214=$M214,$O214=0,$O214=""),"","* * Check Score! * *")</f>
        <v/>
      </c>
      <c r="M214" s="426">
        <v>2</v>
      </c>
      <c r="N214" s="63" t="s">
        <v>1936</v>
      </c>
      <c r="O214" s="2291"/>
      <c r="P214" s="4185"/>
      <c r="Q214" s="978" t="str">
        <f>IF(OR($O214=$M214,$O214=0,$O214=""),"","*CHECK!*")</f>
        <v/>
      </c>
      <c r="R214" s="974" t="s">
        <v>4765</v>
      </c>
    </row>
    <row r="215" spans="1:26" s="43" customFormat="1" ht="9.75" customHeight="1">
      <c r="A215" s="138"/>
      <c r="B215" s="102"/>
      <c r="C215" s="36" t="s">
        <v>2701</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3587</v>
      </c>
      <c r="C216" s="36" t="s">
        <v>3637</v>
      </c>
      <c r="D216" s="102"/>
      <c r="E216" s="102"/>
      <c r="F216" s="102"/>
      <c r="G216" s="102"/>
      <c r="H216" s="102"/>
      <c r="I216" s="102"/>
      <c r="J216" s="3161"/>
      <c r="K216" s="3162"/>
      <c r="L216" s="3162"/>
      <c r="M216" s="3162"/>
      <c r="N216" s="3162"/>
      <c r="O216" s="3162"/>
      <c r="P216" s="3163"/>
      <c r="V216" s="1023"/>
      <c r="W216" s="1023"/>
    </row>
    <row r="217" spans="1:26" s="43" customFormat="1" ht="11.25" customHeight="1">
      <c r="A217" s="175"/>
      <c r="B217" s="455" t="s">
        <v>3588</v>
      </c>
      <c r="C217" s="428" t="s">
        <v>3638</v>
      </c>
      <c r="D217" s="102"/>
      <c r="E217" s="102"/>
      <c r="F217" s="102"/>
      <c r="G217" s="102"/>
      <c r="H217" s="102"/>
      <c r="I217" s="1412" t="str">
        <f>IF($J$217="Government", "Additional documentation required - see QAP.","")</f>
        <v/>
      </c>
      <c r="J217" s="2774"/>
      <c r="K217" s="2775"/>
      <c r="L217" s="2776"/>
      <c r="M217" s="102"/>
      <c r="N217" s="102"/>
      <c r="O217" s="102"/>
      <c r="P217" s="102"/>
      <c r="V217" s="1023"/>
      <c r="W217" s="1023"/>
    </row>
    <row r="218" spans="1:26" ht="11.25" customHeight="1">
      <c r="A218" s="176"/>
      <c r="B218" s="455" t="s">
        <v>3589</v>
      </c>
      <c r="C218" s="428" t="s">
        <v>4568</v>
      </c>
      <c r="D218" s="33"/>
      <c r="E218" s="33"/>
      <c r="F218" s="561"/>
      <c r="G218" s="561"/>
      <c r="H218" s="561"/>
      <c r="I218" s="33"/>
      <c r="J218" s="2256"/>
      <c r="K218" s="3002" t="s">
        <v>4312</v>
      </c>
      <c r="L218" s="3003"/>
      <c r="M218" s="3003"/>
      <c r="N218" s="3003"/>
      <c r="O218" s="1439"/>
      <c r="P218" s="92"/>
      <c r="V218" s="1023"/>
      <c r="W218" s="1023"/>
    </row>
    <row r="219" spans="1:26" ht="11.25" customHeight="1">
      <c r="A219" s="176"/>
      <c r="B219" s="385" t="s">
        <v>3591</v>
      </c>
      <c r="C219" s="428" t="s">
        <v>4311</v>
      </c>
      <c r="D219" s="33"/>
      <c r="E219" s="33"/>
      <c r="F219" s="561"/>
      <c r="G219" s="561"/>
      <c r="H219" s="561"/>
      <c r="I219" s="33"/>
      <c r="J219" s="2265"/>
      <c r="K219" s="3002"/>
      <c r="L219" s="3003"/>
      <c r="M219" s="3003"/>
      <c r="N219" s="3003"/>
      <c r="O219" s="2322"/>
      <c r="P219" s="1440" t="s">
        <v>3594</v>
      </c>
      <c r="V219" s="1023"/>
      <c r="W219" s="1023"/>
    </row>
    <row r="220" spans="1:26" ht="11.25" customHeight="1">
      <c r="A220" s="176"/>
      <c r="B220" s="385" t="s">
        <v>3592</v>
      </c>
      <c r="C220" s="428" t="s">
        <v>4314</v>
      </c>
      <c r="D220" s="33"/>
      <c r="E220" s="33"/>
      <c r="F220" s="561"/>
      <c r="G220" s="561"/>
      <c r="H220" s="561"/>
      <c r="I220" s="33"/>
      <c r="J220" s="2261"/>
      <c r="L220" s="1441" t="s">
        <v>4313</v>
      </c>
      <c r="N220" s="1442"/>
      <c r="O220" s="3004"/>
      <c r="P220" s="3005"/>
      <c r="V220" s="1023"/>
      <c r="W220" s="1023"/>
    </row>
    <row r="221" spans="1:26" ht="2.25" customHeight="1">
      <c r="A221" s="176"/>
      <c r="G221" s="389"/>
      <c r="L221" s="1086"/>
      <c r="V221" s="1023"/>
      <c r="W221" s="1023"/>
    </row>
    <row r="222" spans="1:26" ht="21.75" customHeight="1">
      <c r="A222" s="2965" t="s">
        <v>3822</v>
      </c>
      <c r="B222" s="2963" t="s">
        <v>3820</v>
      </c>
      <c r="C222" s="2964"/>
      <c r="D222" s="2873"/>
      <c r="E222" s="2874"/>
      <c r="F222" s="2874"/>
      <c r="G222" s="2874"/>
      <c r="H222" s="2874"/>
      <c r="I222" s="2874"/>
      <c r="J222" s="2874"/>
      <c r="K222" s="2874"/>
      <c r="L222" s="2874"/>
      <c r="M222" s="2874"/>
      <c r="N222" s="2874"/>
      <c r="O222" s="2874"/>
      <c r="P222" s="2875"/>
      <c r="Q222" s="440"/>
      <c r="V222" s="1023"/>
      <c r="W222" s="1023"/>
    </row>
    <row r="223" spans="1:26" ht="22.5" customHeight="1">
      <c r="A223" s="2966"/>
      <c r="B223" s="3000" t="s">
        <v>3821</v>
      </c>
      <c r="C223" s="3001"/>
      <c r="D223" s="2740"/>
      <c r="E223" s="2741"/>
      <c r="F223" s="2741"/>
      <c r="G223" s="2741"/>
      <c r="H223" s="2741"/>
      <c r="I223" s="2741"/>
      <c r="J223" s="2741"/>
      <c r="K223" s="2741"/>
      <c r="L223" s="2741"/>
      <c r="M223" s="2741"/>
      <c r="N223" s="2741"/>
      <c r="O223" s="2741"/>
      <c r="P223" s="2742"/>
      <c r="Q223" s="440"/>
      <c r="V223" s="1023"/>
      <c r="W223" s="1023"/>
    </row>
    <row r="224" spans="1:26" ht="22.5" customHeight="1">
      <c r="A224" s="2967"/>
      <c r="B224" s="2995" t="s">
        <v>4364</v>
      </c>
      <c r="C224" s="2996"/>
      <c r="D224" s="2737"/>
      <c r="E224" s="2738"/>
      <c r="F224" s="2738"/>
      <c r="G224" s="2738"/>
      <c r="H224" s="2738"/>
      <c r="I224" s="2738"/>
      <c r="J224" s="2738"/>
      <c r="K224" s="2738"/>
      <c r="L224" s="2738"/>
      <c r="M224" s="2738"/>
      <c r="N224" s="2738"/>
      <c r="O224" s="2738"/>
      <c r="P224" s="2739"/>
      <c r="Q224" s="440"/>
      <c r="V224" s="1023"/>
      <c r="W224" s="1023"/>
    </row>
    <row r="225" spans="1:23" ht="11.25" customHeight="1">
      <c r="B225" s="36" t="s">
        <v>3336</v>
      </c>
      <c r="G225" s="3191" t="s">
        <v>2558</v>
      </c>
      <c r="H225" s="3191"/>
      <c r="J225" s="3189"/>
      <c r="K225" s="3190"/>
      <c r="L225" s="4186"/>
      <c r="M225" s="4187"/>
      <c r="V225" s="1023"/>
      <c r="W225" s="1023"/>
    </row>
    <row r="226" spans="1:23" s="43" customFormat="1" ht="11.25" customHeight="1">
      <c r="C226" s="36" t="s">
        <v>3337</v>
      </c>
      <c r="D226" s="2377"/>
      <c r="G226" s="2937">
        <f>'Part IV-A-Uses of Funds'!$G$132</f>
        <v>5691701.1975492882</v>
      </c>
      <c r="H226" s="2938"/>
      <c r="J226" s="2935">
        <f>IF($J225=0,0,$J225/$G$226)</f>
        <v>0</v>
      </c>
      <c r="K226" s="2936"/>
      <c r="L226" s="2935">
        <f>IF($L225=0,0,$L225/$G$226)</f>
        <v>0</v>
      </c>
      <c r="M226" s="2936"/>
      <c r="V226" s="1023"/>
      <c r="W226" s="1023"/>
    </row>
    <row r="227" spans="1:23" s="102" customFormat="1" ht="10.5" customHeight="1" thickBot="1">
      <c r="A227" s="42"/>
      <c r="B227" s="1132" t="s">
        <v>3564</v>
      </c>
      <c r="C227" s="42"/>
      <c r="D227" s="48"/>
      <c r="E227" s="48"/>
      <c r="F227" s="48"/>
      <c r="G227" s="48"/>
      <c r="H227" s="36"/>
      <c r="I227" s="36"/>
      <c r="J227" s="36"/>
      <c r="K227" s="36"/>
      <c r="M227" s="46"/>
      <c r="N227" s="6"/>
      <c r="O227" s="3"/>
      <c r="P227" s="2374"/>
    </row>
    <row r="228" spans="1:23" s="43" customFormat="1" ht="21.75" customHeight="1" thickTop="1" thickBot="1">
      <c r="A228" s="2942" t="s">
        <v>7039</v>
      </c>
      <c r="B228" s="2943"/>
      <c r="C228" s="2943"/>
      <c r="D228" s="2943"/>
      <c r="E228" s="2943"/>
      <c r="F228" s="2943"/>
      <c r="G228" s="2943"/>
      <c r="H228" s="2943"/>
      <c r="I228" s="2943"/>
      <c r="J228" s="2943"/>
      <c r="K228" s="2943"/>
      <c r="L228" s="2943"/>
      <c r="M228" s="2943"/>
      <c r="N228" s="2943"/>
      <c r="O228" s="2943"/>
      <c r="P228" s="2944"/>
      <c r="Q228" s="1027" t="s">
        <v>1227</v>
      </c>
    </row>
    <row r="229" spans="1:23" s="102" customFormat="1" ht="11.4" customHeight="1" thickTop="1">
      <c r="A229" s="42"/>
      <c r="B229" s="97" t="s">
        <v>1818</v>
      </c>
      <c r="C229" s="42"/>
      <c r="D229" s="97"/>
      <c r="E229" s="2381"/>
      <c r="F229" s="2381"/>
      <c r="G229" s="2381"/>
      <c r="H229" s="2381"/>
      <c r="I229" s="2381"/>
      <c r="J229" s="2381"/>
      <c r="K229" s="2381"/>
      <c r="L229" s="2381"/>
      <c r="M229" s="2381"/>
      <c r="N229" s="93"/>
      <c r="O229" s="836"/>
      <c r="P229" s="2374"/>
      <c r="Q229" s="422"/>
    </row>
    <row r="230" spans="1:23" s="43" customFormat="1" ht="11.25" customHeight="1">
      <c r="A230" s="2879"/>
      <c r="B230" s="2880"/>
      <c r="C230" s="2880"/>
      <c r="D230" s="2880"/>
      <c r="E230" s="2880"/>
      <c r="F230" s="2880"/>
      <c r="G230" s="2880"/>
      <c r="H230" s="2880"/>
      <c r="I230" s="2880"/>
      <c r="J230" s="2880"/>
      <c r="K230" s="2880"/>
      <c r="L230" s="2880"/>
      <c r="M230" s="2880"/>
      <c r="N230" s="2880"/>
      <c r="O230" s="2880"/>
      <c r="P230" s="2881"/>
      <c r="Q230" s="440"/>
    </row>
    <row r="231" spans="1:23" s="43" customFormat="1" ht="3" customHeight="1" thickBot="1">
      <c r="A231" s="42"/>
      <c r="C231" s="2377"/>
      <c r="D231" s="2377"/>
      <c r="E231" s="2377"/>
      <c r="F231" s="2377"/>
      <c r="G231" s="2377"/>
      <c r="H231" s="2377"/>
      <c r="I231" s="2377"/>
      <c r="J231" s="2377"/>
      <c r="K231" s="2377"/>
      <c r="L231" s="2377"/>
      <c r="M231" s="2377"/>
      <c r="N231" s="74"/>
      <c r="O231" s="70"/>
      <c r="P231" s="846"/>
    </row>
    <row r="232" spans="1:23" s="43" customFormat="1" ht="13.5" customHeight="1" thickBot="1">
      <c r="A232" s="152" t="s">
        <v>287</v>
      </c>
      <c r="B232" s="106" t="s">
        <v>3735</v>
      </c>
      <c r="C232" s="2377"/>
      <c r="D232" s="2377"/>
      <c r="E232" s="2377"/>
      <c r="F232" s="2377"/>
      <c r="G232" s="2377"/>
      <c r="H232" s="2377"/>
      <c r="I232" s="2377"/>
      <c r="J232" s="2377"/>
      <c r="M232" s="846">
        <v>3</v>
      </c>
      <c r="N232" s="74"/>
      <c r="O232" s="70"/>
      <c r="P232" s="4176"/>
      <c r="Q232" s="109" t="s">
        <v>433</v>
      </c>
      <c r="R232" s="974" t="s">
        <v>2624</v>
      </c>
    </row>
    <row r="233" spans="1:23" s="43" customFormat="1" ht="13.5" customHeight="1">
      <c r="A233" s="152"/>
      <c r="B233" s="103" t="s">
        <v>4115</v>
      </c>
      <c r="C233" s="2377"/>
      <c r="D233" s="2377"/>
      <c r="E233" s="2377"/>
      <c r="F233" s="2377"/>
      <c r="G233" s="2377"/>
      <c r="H233" s="2377"/>
      <c r="I233" s="2377"/>
      <c r="J233" s="2377"/>
      <c r="K233" s="2385"/>
      <c r="L233" s="1444" t="str">
        <f>IF(OR(O$150&gt;0,O$265&gt;0),"Applicant is ineligible for points in this section!  Points claimed in VI or IX.","")</f>
        <v/>
      </c>
      <c r="M233" s="846"/>
      <c r="N233" s="74"/>
      <c r="O233" s="2262"/>
      <c r="P233" s="4188"/>
      <c r="Q233" s="109"/>
      <c r="R233" s="2931" t="s">
        <v>4764</v>
      </c>
      <c r="S233" s="2931"/>
      <c r="T233" s="2931"/>
      <c r="U233" s="2931"/>
    </row>
    <row r="234" spans="1:23" s="43" customFormat="1" ht="13.5" customHeight="1">
      <c r="A234" s="152"/>
      <c r="B234" s="113" t="s">
        <v>3736</v>
      </c>
      <c r="C234" s="2377"/>
      <c r="D234" s="2377"/>
      <c r="E234" s="2377"/>
      <c r="F234" s="2377"/>
      <c r="G234" s="2377"/>
      <c r="H234" s="2377"/>
      <c r="I234" s="2377"/>
      <c r="J234" s="2377"/>
      <c r="K234" s="2385" t="s">
        <v>3138</v>
      </c>
      <c r="L234" s="2385" t="s">
        <v>251</v>
      </c>
      <c r="M234" s="846"/>
      <c r="N234" s="74"/>
      <c r="O234" s="70"/>
      <c r="P234" s="70"/>
      <c r="Q234" s="109"/>
      <c r="R234" s="2931"/>
      <c r="S234" s="2931"/>
      <c r="T234" s="2931"/>
      <c r="U234" s="2931"/>
    </row>
    <row r="235" spans="1:23" s="43" customFormat="1" ht="11.25" customHeight="1">
      <c r="A235" s="138"/>
      <c r="C235" s="55" t="s">
        <v>4569</v>
      </c>
      <c r="K235" s="1108">
        <f>$O$193</f>
        <v>0</v>
      </c>
      <c r="L235" s="1109">
        <f>$P$193</f>
        <v>0</v>
      </c>
      <c r="N235" s="455" t="s">
        <v>2370</v>
      </c>
      <c r="O235" s="2256"/>
      <c r="P235" s="518"/>
      <c r="R235" s="2931"/>
      <c r="S235" s="2931"/>
      <c r="T235" s="2931"/>
      <c r="U235" s="2931"/>
    </row>
    <row r="236" spans="1:23" s="43" customFormat="1" ht="11.25" customHeight="1">
      <c r="A236" s="138"/>
      <c r="C236" s="55" t="s">
        <v>4754</v>
      </c>
      <c r="K236" s="1108">
        <f>$O$112</f>
        <v>0</v>
      </c>
      <c r="L236" s="1109">
        <f>$P$112</f>
        <v>0</v>
      </c>
      <c r="N236" s="455" t="s">
        <v>2371</v>
      </c>
      <c r="O236" s="2265"/>
      <c r="P236" s="519"/>
      <c r="R236" s="2931"/>
      <c r="S236" s="2931"/>
      <c r="T236" s="2931"/>
      <c r="U236" s="2931"/>
    </row>
    <row r="237" spans="1:23" s="43" customFormat="1" ht="11.25" customHeight="1">
      <c r="C237" s="55" t="s">
        <v>4570</v>
      </c>
      <c r="N237" s="455" t="s">
        <v>2372</v>
      </c>
      <c r="O237" s="2261"/>
      <c r="P237" s="519"/>
      <c r="R237" s="2931"/>
      <c r="S237" s="2931"/>
      <c r="T237" s="2931"/>
      <c r="U237" s="2931"/>
    </row>
    <row r="238" spans="1:23" s="43" customFormat="1" ht="11.25" customHeight="1">
      <c r="A238" s="138"/>
      <c r="C238" s="55" t="s">
        <v>4755</v>
      </c>
      <c r="K238" s="1433" t="str">
        <f>'Part I-Project Information'!F38</f>
        <v>Ludowici</v>
      </c>
      <c r="L238" s="2395"/>
      <c r="N238" s="455" t="s">
        <v>2373</v>
      </c>
      <c r="O238" s="455"/>
      <c r="P238" s="519"/>
      <c r="R238" s="2931"/>
      <c r="S238" s="2931"/>
      <c r="T238" s="2931"/>
      <c r="U238" s="2931"/>
    </row>
    <row r="239" spans="1:23" s="43" customFormat="1" ht="11.25" customHeight="1">
      <c r="A239" s="138"/>
      <c r="C239" s="55" t="s">
        <v>4756</v>
      </c>
      <c r="K239" s="1108">
        <f>$O$150</f>
        <v>0</v>
      </c>
      <c r="L239" s="1109">
        <f>$P$150</f>
        <v>0</v>
      </c>
      <c r="N239" s="455" t="s">
        <v>2374</v>
      </c>
      <c r="O239" s="2256"/>
      <c r="P239" s="519"/>
      <c r="R239" s="2931"/>
      <c r="S239" s="2931"/>
      <c r="T239" s="2931"/>
      <c r="U239" s="2931"/>
    </row>
    <row r="240" spans="1:23" s="43" customFormat="1" ht="11.25" customHeight="1">
      <c r="A240" s="138"/>
      <c r="C240" s="55" t="s">
        <v>4757</v>
      </c>
      <c r="K240" s="1108">
        <f>$O$265</f>
        <v>0</v>
      </c>
      <c r="L240" s="1109">
        <f>$P$265</f>
        <v>0</v>
      </c>
      <c r="N240" s="455" t="s">
        <v>2373</v>
      </c>
      <c r="O240" s="2261"/>
      <c r="P240" s="520"/>
      <c r="R240" s="2931"/>
      <c r="S240" s="2931"/>
      <c r="T240" s="2931"/>
      <c r="U240" s="2931"/>
    </row>
    <row r="241" spans="1:23" s="43" customFormat="1" ht="3" customHeight="1">
      <c r="A241" s="42"/>
      <c r="C241" s="2377"/>
      <c r="D241" s="2377"/>
      <c r="E241" s="2377"/>
      <c r="F241" s="2377"/>
      <c r="G241" s="2377"/>
      <c r="H241" s="2377"/>
      <c r="I241" s="2377"/>
      <c r="J241" s="2377"/>
      <c r="K241" s="2377"/>
      <c r="L241" s="2377"/>
      <c r="M241" s="2377"/>
      <c r="N241" s="74"/>
      <c r="O241" s="70"/>
      <c r="P241" s="846"/>
      <c r="R241" s="2931"/>
      <c r="S241" s="2931"/>
      <c r="T241" s="2931"/>
      <c r="U241" s="2931"/>
    </row>
    <row r="242" spans="1:23" ht="11.25" customHeight="1">
      <c r="A242" s="138" t="s">
        <v>1934</v>
      </c>
      <c r="B242" s="177" t="s">
        <v>3738</v>
      </c>
      <c r="D242" s="33"/>
      <c r="G242" s="465" t="s">
        <v>3590</v>
      </c>
      <c r="N242" s="27"/>
      <c r="O242" s="27"/>
      <c r="P242" s="27"/>
      <c r="Q242" s="983"/>
      <c r="R242" s="2931"/>
      <c r="S242" s="2931"/>
      <c r="T242" s="2931"/>
      <c r="U242" s="2931"/>
    </row>
    <row r="243" spans="1:23" s="33" customFormat="1" ht="11.25" customHeight="1">
      <c r="A243" s="498"/>
      <c r="C243" s="134" t="s">
        <v>3641</v>
      </c>
      <c r="E243" s="2949"/>
      <c r="F243" s="2950"/>
      <c r="G243" s="2950"/>
      <c r="H243" s="2951"/>
      <c r="I243" s="2952"/>
      <c r="J243" s="2391" t="s">
        <v>2623</v>
      </c>
      <c r="K243" s="2949"/>
      <c r="L243" s="2950"/>
      <c r="M243" s="2950"/>
      <c r="N243" s="2950"/>
      <c r="O243" s="2952"/>
      <c r="P243" s="548"/>
      <c r="Q243" s="983"/>
      <c r="R243" s="2931"/>
      <c r="S243" s="2931"/>
      <c r="T243" s="2931"/>
      <c r="U243" s="2931"/>
    </row>
    <row r="244" spans="1:23" s="33" customFormat="1" ht="11.25" customHeight="1">
      <c r="A244" s="498"/>
      <c r="C244" s="134" t="s">
        <v>2142</v>
      </c>
      <c r="E244" s="2932"/>
      <c r="F244" s="2933"/>
      <c r="G244" s="2934"/>
      <c r="H244" s="1716" t="s">
        <v>1678</v>
      </c>
      <c r="I244" s="2323"/>
      <c r="J244" s="428" t="s">
        <v>1754</v>
      </c>
      <c r="K244" s="2932"/>
      <c r="L244" s="2933"/>
      <c r="M244" s="2933"/>
      <c r="N244" s="2933"/>
      <c r="O244" s="2934"/>
      <c r="Q244" s="983"/>
      <c r="R244" s="2931"/>
      <c r="S244" s="2931"/>
      <c r="T244" s="2931"/>
      <c r="U244" s="2931"/>
      <c r="V244" s="1023"/>
      <c r="W244" s="1023"/>
    </row>
    <row r="245" spans="1:23" ht="3" customHeight="1">
      <c r="A245" s="498"/>
      <c r="C245" s="985"/>
      <c r="D245" s="985"/>
      <c r="E245" s="985"/>
      <c r="F245" s="985"/>
      <c r="G245" s="985"/>
      <c r="H245" s="985"/>
      <c r="I245" s="985"/>
      <c r="J245" s="985"/>
      <c r="K245" s="985"/>
      <c r="L245" s="985"/>
      <c r="N245" s="27"/>
      <c r="O245" s="27"/>
      <c r="P245" s="27"/>
      <c r="Q245" s="983"/>
      <c r="R245" s="2931"/>
      <c r="S245" s="2931"/>
      <c r="T245" s="2931"/>
      <c r="U245" s="2931"/>
    </row>
    <row r="246" spans="1:23" ht="10.5" customHeight="1">
      <c r="A246" s="498"/>
      <c r="B246" s="562" t="s">
        <v>1937</v>
      </c>
      <c r="C246" s="985" t="s">
        <v>3737</v>
      </c>
      <c r="D246" s="981"/>
      <c r="E246" s="981"/>
      <c r="F246" s="981"/>
      <c r="G246" s="981"/>
      <c r="H246" s="981"/>
      <c r="I246" s="981"/>
      <c r="J246" s="981"/>
      <c r="K246" s="981"/>
      <c r="L246" s="981"/>
      <c r="M246" s="981"/>
      <c r="N246" s="981"/>
      <c r="O246" s="506" t="s">
        <v>2442</v>
      </c>
      <c r="P246" s="506" t="s">
        <v>2442</v>
      </c>
      <c r="Q246" s="981"/>
      <c r="R246" s="2931"/>
      <c r="S246" s="2931"/>
      <c r="T246" s="2931"/>
      <c r="U246" s="2931"/>
    </row>
    <row r="247" spans="1:23" s="33" customFormat="1" ht="21.75" customHeight="1">
      <c r="A247" s="2387"/>
      <c r="B247" s="588"/>
      <c r="C247" s="3160" t="s">
        <v>4758</v>
      </c>
      <c r="D247" s="3160"/>
      <c r="E247" s="3160"/>
      <c r="F247" s="3160"/>
      <c r="G247" s="3160"/>
      <c r="H247" s="3160"/>
      <c r="I247" s="3160"/>
      <c r="J247" s="3160"/>
      <c r="K247" s="3160"/>
      <c r="L247" s="3160"/>
      <c r="M247" s="3160"/>
      <c r="N247" s="388" t="s">
        <v>1937</v>
      </c>
      <c r="O247" s="2270"/>
      <c r="P247" s="1089"/>
      <c r="Q247" s="981"/>
      <c r="V247" s="1023"/>
      <c r="W247" s="1023"/>
    </row>
    <row r="248" spans="1:23" ht="11.25" customHeight="1">
      <c r="A248" s="498"/>
      <c r="B248" s="562" t="s">
        <v>1939</v>
      </c>
      <c r="C248" s="985" t="s">
        <v>3739</v>
      </c>
      <c r="D248" s="981"/>
      <c r="E248" s="981"/>
      <c r="F248" s="981"/>
      <c r="G248" s="465" t="s">
        <v>3590</v>
      </c>
      <c r="H248" s="981"/>
      <c r="I248" s="981"/>
      <c r="J248" s="981"/>
      <c r="K248" s="981"/>
      <c r="L248" s="981"/>
      <c r="M248" s="981"/>
      <c r="N248" s="981"/>
      <c r="O248" s="506" t="s">
        <v>2442</v>
      </c>
      <c r="P248" s="506" t="s">
        <v>2442</v>
      </c>
      <c r="Q248" s="981"/>
    </row>
    <row r="249" spans="1:23" ht="21" customHeight="1">
      <c r="A249" s="498"/>
      <c r="B249" s="987"/>
      <c r="C249" s="2945" t="s">
        <v>4571</v>
      </c>
      <c r="D249" s="2945"/>
      <c r="E249" s="2945"/>
      <c r="F249" s="2945"/>
      <c r="G249" s="2945"/>
      <c r="H249" s="2945"/>
      <c r="I249" s="2945"/>
      <c r="J249" s="2945"/>
      <c r="K249" s="2945"/>
      <c r="L249" s="2945"/>
      <c r="M249" s="2945"/>
      <c r="N249" s="388" t="s">
        <v>1939</v>
      </c>
      <c r="O249" s="2261"/>
      <c r="P249" s="1089"/>
      <c r="Q249" s="984"/>
      <c r="V249" s="1023"/>
      <c r="W249" s="1023"/>
    </row>
    <row r="250" spans="1:23" ht="11.25" customHeight="1">
      <c r="A250" s="138"/>
      <c r="B250" s="847" t="s">
        <v>2466</v>
      </c>
      <c r="C250" s="559" t="s">
        <v>3593</v>
      </c>
      <c r="D250" s="33"/>
      <c r="N250" s="27"/>
      <c r="O250" s="27"/>
      <c r="P250" s="27"/>
      <c r="Q250" s="114"/>
    </row>
    <row r="251" spans="1:23" s="33" customFormat="1" ht="21.75" customHeight="1">
      <c r="A251" s="498"/>
      <c r="B251" s="988"/>
      <c r="C251" s="3093" t="s">
        <v>3741</v>
      </c>
      <c r="D251" s="3093"/>
      <c r="E251" s="3093"/>
      <c r="F251" s="3093"/>
      <c r="G251" s="3093"/>
      <c r="H251" s="3093"/>
      <c r="I251" s="3093"/>
      <c r="J251" s="3093"/>
      <c r="K251" s="3093"/>
      <c r="L251" s="3093"/>
      <c r="M251" s="3093"/>
      <c r="N251" s="388" t="s">
        <v>2466</v>
      </c>
      <c r="O251" s="2261"/>
      <c r="P251" s="1089"/>
      <c r="Q251" s="984"/>
      <c r="V251" s="1023"/>
      <c r="W251" s="1023"/>
    </row>
    <row r="252" spans="1:23" s="33" customFormat="1" ht="10.5" customHeight="1">
      <c r="A252" s="498"/>
      <c r="B252" s="988"/>
      <c r="C252" s="2394"/>
      <c r="D252" s="2394"/>
      <c r="E252" s="2394"/>
      <c r="F252" s="2394"/>
      <c r="G252" s="588" t="s">
        <v>4381</v>
      </c>
      <c r="H252" s="2394"/>
      <c r="J252" s="3181"/>
      <c r="K252" s="3182"/>
      <c r="L252" s="2394"/>
      <c r="M252" s="2394"/>
      <c r="N252" s="2394"/>
      <c r="O252" s="2394"/>
      <c r="P252" s="2394"/>
      <c r="Q252" s="984"/>
      <c r="V252" s="1023"/>
      <c r="W252" s="1023"/>
    </row>
    <row r="253" spans="1:23" s="390" customFormat="1" ht="21" customHeight="1">
      <c r="A253" s="1727"/>
      <c r="B253" s="986" t="s">
        <v>2370</v>
      </c>
      <c r="C253" s="3093" t="s">
        <v>3742</v>
      </c>
      <c r="D253" s="3093"/>
      <c r="E253" s="3093"/>
      <c r="F253" s="3093"/>
      <c r="G253" s="3093"/>
      <c r="H253" s="3093"/>
      <c r="I253" s="3093"/>
      <c r="J253" s="3093"/>
      <c r="K253" s="3093"/>
      <c r="L253" s="3093"/>
      <c r="M253" s="3093"/>
      <c r="N253" s="986" t="s">
        <v>2370</v>
      </c>
      <c r="O253" s="2261"/>
      <c r="P253" s="1088"/>
      <c r="Q253" s="1728"/>
      <c r="V253" s="1729"/>
      <c r="W253" s="1729"/>
    </row>
    <row r="254" spans="1:23" s="33" customFormat="1" ht="11.25" customHeight="1">
      <c r="A254" s="498"/>
      <c r="B254" s="385" t="s">
        <v>2371</v>
      </c>
      <c r="C254" s="3160" t="s">
        <v>4315</v>
      </c>
      <c r="D254" s="3160"/>
      <c r="E254" s="3160"/>
      <c r="F254" s="3160"/>
      <c r="G254" s="3160"/>
      <c r="H254" s="3160"/>
      <c r="I254" s="3160"/>
      <c r="J254" s="3160"/>
      <c r="K254" s="3160"/>
      <c r="L254" s="3160"/>
      <c r="M254" s="3160"/>
      <c r="N254" s="385" t="s">
        <v>2371</v>
      </c>
      <c r="O254" s="2261"/>
      <c r="P254" s="520"/>
      <c r="Q254" s="984"/>
      <c r="V254" s="1023"/>
      <c r="W254" s="1023"/>
    </row>
    <row r="255" spans="1:23" ht="11.25" customHeight="1">
      <c r="A255" s="138"/>
      <c r="B255" s="847" t="s">
        <v>1197</v>
      </c>
      <c r="C255" s="559" t="s">
        <v>4316</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1197</v>
      </c>
      <c r="O256" s="2262"/>
      <c r="P256" s="517"/>
      <c r="Q256" s="984"/>
      <c r="V256" s="1023"/>
      <c r="W256" s="1023"/>
    </row>
    <row r="257" spans="1:24" ht="11.4" customHeight="1">
      <c r="A257" s="138" t="s">
        <v>1936</v>
      </c>
      <c r="B257" s="177" t="s">
        <v>3740</v>
      </c>
      <c r="D257" s="33"/>
      <c r="G257" s="465" t="s">
        <v>3590</v>
      </c>
      <c r="N257" s="27"/>
      <c r="O257" s="506" t="s">
        <v>2442</v>
      </c>
      <c r="P257" s="506" t="s">
        <v>2442</v>
      </c>
      <c r="Q257" s="983"/>
    </row>
    <row r="258" spans="1:24" ht="22.5" customHeight="1">
      <c r="B258" s="562" t="s">
        <v>1937</v>
      </c>
      <c r="C258" s="3155" t="s">
        <v>4572</v>
      </c>
      <c r="D258" s="3155"/>
      <c r="E258" s="3155"/>
      <c r="F258" s="3155"/>
      <c r="G258" s="3155"/>
      <c r="H258" s="3155"/>
      <c r="I258" s="3155"/>
      <c r="J258" s="3155"/>
      <c r="K258" s="3155"/>
      <c r="L258" s="3155"/>
      <c r="M258" s="1070" t="s">
        <v>1936</v>
      </c>
      <c r="N258" s="388" t="s">
        <v>1937</v>
      </c>
      <c r="O258" s="2389"/>
      <c r="P258" s="1088"/>
      <c r="Q258" s="983"/>
      <c r="V258" s="1023"/>
      <c r="W258" s="1023"/>
    </row>
    <row r="259" spans="1:24" s="33" customFormat="1" ht="11.25" customHeight="1">
      <c r="A259" s="498"/>
      <c r="B259" s="562" t="s">
        <v>1939</v>
      </c>
      <c r="C259" s="428" t="s">
        <v>4573</v>
      </c>
      <c r="D259" s="930"/>
      <c r="E259" s="930"/>
      <c r="F259" s="930"/>
      <c r="G259" s="930"/>
      <c r="H259" s="930"/>
      <c r="I259" s="930"/>
      <c r="J259" s="930"/>
      <c r="K259" s="930"/>
      <c r="L259" s="930"/>
      <c r="M259" s="930"/>
      <c r="N259" s="388" t="s">
        <v>1939</v>
      </c>
      <c r="O259" s="2261"/>
      <c r="P259" s="520"/>
      <c r="Q259" s="984"/>
      <c r="V259" s="1136"/>
      <c r="W259" s="1136"/>
    </row>
    <row r="260" spans="1:24" s="43" customFormat="1" ht="12" customHeight="1" thickBot="1">
      <c r="A260" s="42"/>
      <c r="B260" s="1132" t="s">
        <v>3564</v>
      </c>
      <c r="C260" s="42"/>
      <c r="D260" s="48"/>
      <c r="E260" s="48"/>
      <c r="F260" s="48"/>
      <c r="G260" s="48"/>
      <c r="H260" s="36"/>
      <c r="I260" s="134"/>
      <c r="M260" s="46"/>
      <c r="N260" s="62"/>
      <c r="O260" s="3"/>
      <c r="P260" s="2376"/>
    </row>
    <row r="261" spans="1:24" s="43" customFormat="1" ht="45.6" customHeight="1" thickTop="1" thickBot="1">
      <c r="A261" s="2942" t="s">
        <v>7039</v>
      </c>
      <c r="B261" s="2943"/>
      <c r="C261" s="2943"/>
      <c r="D261" s="2943"/>
      <c r="E261" s="2943"/>
      <c r="F261" s="2943"/>
      <c r="G261" s="2943"/>
      <c r="H261" s="2943"/>
      <c r="I261" s="2943"/>
      <c r="J261" s="2943"/>
      <c r="K261" s="2943"/>
      <c r="L261" s="2943"/>
      <c r="M261" s="2943"/>
      <c r="N261" s="2943"/>
      <c r="O261" s="2943"/>
      <c r="P261" s="2944"/>
      <c r="Q261" s="1027" t="s">
        <v>1227</v>
      </c>
    </row>
    <row r="262" spans="1:24" s="43" customFormat="1" ht="10.5" customHeight="1" thickTop="1">
      <c r="A262" s="42"/>
      <c r="B262" s="85" t="s">
        <v>1818</v>
      </c>
      <c r="C262" s="42"/>
      <c r="D262" s="85"/>
      <c r="E262" s="2377"/>
      <c r="F262" s="2377"/>
      <c r="G262" s="2377"/>
      <c r="H262" s="2377"/>
      <c r="I262" s="2377"/>
      <c r="J262" s="2377"/>
      <c r="K262" s="2377"/>
      <c r="L262" s="2377"/>
      <c r="M262" s="2377"/>
      <c r="N262" s="74"/>
      <c r="O262" s="70"/>
      <c r="P262" s="2374"/>
      <c r="Q262" s="422"/>
    </row>
    <row r="263" spans="1:24" s="43" customFormat="1" ht="22.2" customHeight="1">
      <c r="A263" s="4138"/>
      <c r="B263" s="4139"/>
      <c r="C263" s="4139"/>
      <c r="D263" s="4139"/>
      <c r="E263" s="4139"/>
      <c r="F263" s="4139"/>
      <c r="G263" s="4139"/>
      <c r="H263" s="4139"/>
      <c r="I263" s="4139"/>
      <c r="J263" s="4139"/>
      <c r="K263" s="4139"/>
      <c r="L263" s="4139"/>
      <c r="M263" s="4139"/>
      <c r="N263" s="4139"/>
      <c r="O263" s="4139"/>
      <c r="P263" s="4140"/>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4747</v>
      </c>
      <c r="M265" s="2374">
        <v>5</v>
      </c>
      <c r="N265" s="7"/>
      <c r="O265" s="1083">
        <f>O267+O276</f>
        <v>0</v>
      </c>
      <c r="P265" s="1083">
        <f>P267+P276</f>
        <v>0</v>
      </c>
      <c r="Q265" s="109" t="s">
        <v>433</v>
      </c>
      <c r="S265" s="2954" t="s">
        <v>4591</v>
      </c>
      <c r="T265" s="2955"/>
      <c r="U265" s="2956"/>
      <c r="V265" s="43"/>
      <c r="W265" s="43"/>
      <c r="X265" s="43"/>
    </row>
    <row r="266" spans="1:24" s="102" customFormat="1" ht="1.5" customHeight="1">
      <c r="A266" s="152"/>
      <c r="B266" s="106"/>
      <c r="C266" s="92"/>
      <c r="D266" s="59"/>
      <c r="E266" s="59"/>
      <c r="G266" s="172"/>
      <c r="M266" s="560"/>
      <c r="Q266" s="109"/>
      <c r="S266" s="2957"/>
      <c r="T266" s="2958"/>
      <c r="U266" s="2959"/>
      <c r="V266" s="43"/>
      <c r="W266" s="43"/>
      <c r="X266" s="43"/>
    </row>
    <row r="267" spans="1:24" s="102" customFormat="1" ht="11.25" customHeight="1">
      <c r="A267" s="3183" t="s">
        <v>1934</v>
      </c>
      <c r="B267" s="833" t="s">
        <v>4317</v>
      </c>
      <c r="C267" s="92"/>
      <c r="D267" s="59"/>
      <c r="E267" s="59"/>
      <c r="G267" s="465" t="s">
        <v>4728</v>
      </c>
      <c r="I267" s="1719" t="str">
        <f>'Part I-Project Information'!$O$38</f>
        <v>9702.00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189"/>
      <c r="Q267" s="109"/>
      <c r="S267" s="2957"/>
      <c r="T267" s="2958"/>
      <c r="U267" s="2959"/>
      <c r="V267" s="43"/>
      <c r="W267" s="43"/>
      <c r="X267" s="43"/>
    </row>
    <row r="268" spans="1:24" ht="11.4" customHeight="1">
      <c r="A268" s="3183"/>
      <c r="B268" s="110" t="s">
        <v>2701</v>
      </c>
      <c r="C268" s="502"/>
      <c r="D268" s="502"/>
      <c r="G268" s="503" t="str">
        <f>'Part I-Project Information'!$H$105</f>
        <v>Rural</v>
      </c>
      <c r="N268" s="1438" t="s">
        <v>1934</v>
      </c>
      <c r="O268" s="1112" t="s">
        <v>2442</v>
      </c>
      <c r="P268" s="1112" t="s">
        <v>2442</v>
      </c>
      <c r="S268" s="2957"/>
      <c r="T268" s="2958"/>
      <c r="U268" s="2959"/>
      <c r="V268" s="43"/>
      <c r="W268" s="43"/>
      <c r="X268" s="43"/>
    </row>
    <row r="269" spans="1:24" ht="11.4" customHeight="1">
      <c r="A269" s="3183"/>
      <c r="B269" s="847" t="s">
        <v>1937</v>
      </c>
      <c r="C269" s="433" t="s">
        <v>2607</v>
      </c>
      <c r="E269" s="116"/>
      <c r="M269" s="80"/>
      <c r="N269" s="174" t="s">
        <v>1937</v>
      </c>
      <c r="O269" s="2266"/>
      <c r="P269" s="518"/>
      <c r="Q269" s="2946" t="str">
        <f>IF(AND(O269="Yes",O272="Yes"),"Only 1 or 4 can be 'Yes'!","")</f>
        <v/>
      </c>
      <c r="R269" s="2946"/>
      <c r="S269" s="2957"/>
      <c r="T269" s="2958"/>
      <c r="U269" s="2959"/>
    </row>
    <row r="270" spans="1:24" ht="11.4" customHeight="1">
      <c r="B270" s="847" t="s">
        <v>1939</v>
      </c>
      <c r="C270" s="433" t="s">
        <v>2652</v>
      </c>
      <c r="G270" s="100" t="s">
        <v>2325</v>
      </c>
      <c r="I270" s="2324" t="s">
        <v>4343</v>
      </c>
      <c r="J270" s="433" t="s">
        <v>2653</v>
      </c>
      <c r="L270" s="134" t="s">
        <v>2651</v>
      </c>
      <c r="M270" s="848" t="str">
        <f>IF(O270&gt;I270,"CHECK ACTUAL PERCENT!!!","")</f>
        <v/>
      </c>
      <c r="N270" s="174" t="s">
        <v>1939</v>
      </c>
      <c r="O270" s="2325"/>
      <c r="P270" s="4190"/>
      <c r="Q270" s="2946"/>
      <c r="R270" s="2946"/>
      <c r="S270" s="2957"/>
      <c r="T270" s="2958"/>
      <c r="U270" s="2959"/>
    </row>
    <row r="271" spans="1:24" ht="11.4" customHeight="1">
      <c r="B271" s="847" t="s">
        <v>2466</v>
      </c>
      <c r="C271" s="412" t="s">
        <v>2326</v>
      </c>
      <c r="E271" s="116"/>
      <c r="G271" s="100" t="s">
        <v>2327</v>
      </c>
      <c r="J271" s="3192" t="s">
        <v>4468</v>
      </c>
      <c r="L271" s="428" t="s">
        <v>2646</v>
      </c>
      <c r="M271" s="33"/>
      <c r="N271" s="174" t="s">
        <v>2466</v>
      </c>
      <c r="O271" s="2326" t="s">
        <v>197</v>
      </c>
      <c r="P271" s="4191" t="s">
        <v>197</v>
      </c>
      <c r="Q271" s="2946"/>
      <c r="R271" s="2946"/>
      <c r="S271" s="2957"/>
      <c r="T271" s="2958"/>
      <c r="U271" s="2959"/>
    </row>
    <row r="272" spans="1:24" s="390" customFormat="1" ht="11.4" customHeight="1">
      <c r="B272" s="562" t="s">
        <v>1197</v>
      </c>
      <c r="C272" s="2945" t="s">
        <v>4574</v>
      </c>
      <c r="D272" s="2945"/>
      <c r="E272" s="2945"/>
      <c r="F272" s="2945"/>
      <c r="G272" s="2945"/>
      <c r="H272" s="2945"/>
      <c r="I272" s="2945"/>
      <c r="J272" s="3193"/>
      <c r="K272" s="3192" t="s">
        <v>3743</v>
      </c>
      <c r="M272" s="1074">
        <v>2</v>
      </c>
      <c r="N272" s="174" t="s">
        <v>1197</v>
      </c>
      <c r="O272" s="2388" t="s">
        <v>2883</v>
      </c>
      <c r="P272" s="2253"/>
      <c r="Q272" s="2946"/>
      <c r="R272" s="2946"/>
      <c r="S272" s="2957"/>
      <c r="T272" s="2958"/>
      <c r="U272" s="2959"/>
    </row>
    <row r="273" spans="1:21" ht="11.4" customHeight="1">
      <c r="B273" s="372"/>
      <c r="C273" s="2945"/>
      <c r="D273" s="2945"/>
      <c r="E273" s="2945"/>
      <c r="F273" s="2945"/>
      <c r="G273" s="2945"/>
      <c r="H273" s="2945"/>
      <c r="I273" s="2945"/>
      <c r="J273" s="3194"/>
      <c r="K273" s="3194"/>
      <c r="L273" s="3144" t="s">
        <v>3779</v>
      </c>
      <c r="M273" s="3145"/>
      <c r="N273" s="116"/>
      <c r="S273" s="2957"/>
      <c r="T273" s="2958"/>
      <c r="U273" s="2959"/>
    </row>
    <row r="274" spans="1:21" ht="23.25" customHeight="1">
      <c r="B274" s="372"/>
      <c r="C274" s="2945"/>
      <c r="D274" s="2945"/>
      <c r="E274" s="2945"/>
      <c r="F274" s="2945"/>
      <c r="G274" s="2945"/>
      <c r="H274" s="2945"/>
      <c r="I274" s="2945"/>
      <c r="J274" s="2327"/>
      <c r="K274" s="2328"/>
      <c r="L274" s="1071">
        <f>O64</f>
        <v>0</v>
      </c>
      <c r="M274" s="1072">
        <f>P64</f>
        <v>0</v>
      </c>
      <c r="N274" s="27"/>
      <c r="S274" s="2960"/>
      <c r="T274" s="2961"/>
      <c r="U274" s="2962"/>
    </row>
    <row r="275" spans="1:21" ht="2.25" customHeight="1">
      <c r="A275" s="505"/>
      <c r="B275" s="847"/>
      <c r="C275" s="412"/>
      <c r="E275" s="116"/>
      <c r="M275" s="1073"/>
      <c r="N275" s="1069"/>
      <c r="O275" s="846"/>
      <c r="P275" s="846"/>
      <c r="S275" s="1808"/>
      <c r="T275" s="1809"/>
      <c r="U275" s="1810"/>
    </row>
    <row r="276" spans="1:21" ht="11.4" customHeight="1">
      <c r="A276" s="1614" t="s">
        <v>1936</v>
      </c>
      <c r="B276" s="847" t="s">
        <v>4318</v>
      </c>
      <c r="C276" s="412"/>
      <c r="E276" s="116"/>
      <c r="G276" s="465" t="s">
        <v>6798</v>
      </c>
      <c r="I276" s="2329"/>
      <c r="K276" s="1438" t="s">
        <v>4609</v>
      </c>
      <c r="L276" s="2330"/>
      <c r="M276" s="1073">
        <v>2</v>
      </c>
      <c r="N276" s="1075" t="s">
        <v>1936</v>
      </c>
      <c r="O276" s="2291"/>
      <c r="P276" s="4185"/>
      <c r="Q276" s="978" t="str">
        <f>IF(O276&lt;=M276,"","*CHECK!*")</f>
        <v/>
      </c>
      <c r="R276" s="974" t="s">
        <v>4765</v>
      </c>
      <c r="S276" s="1811"/>
      <c r="T276" s="1807"/>
      <c r="U276" s="1812"/>
    </row>
    <row r="277" spans="1:21" ht="11.4" customHeight="1">
      <c r="A277" s="505"/>
      <c r="B277" s="847" t="s">
        <v>1937</v>
      </c>
      <c r="C277" s="134" t="s">
        <v>4464</v>
      </c>
      <c r="D277" s="134"/>
      <c r="E277" s="1717"/>
      <c r="F277" s="1720"/>
      <c r="G277" s="134" t="s">
        <v>4319</v>
      </c>
      <c r="H277" s="930"/>
      <c r="I277" s="930"/>
      <c r="J277" s="33"/>
      <c r="K277" s="33"/>
      <c r="L277" s="170" t="s">
        <v>6799</v>
      </c>
      <c r="M277" s="72"/>
      <c r="N277" s="174" t="s">
        <v>1937</v>
      </c>
      <c r="O277" s="2273"/>
      <c r="P277" s="1088"/>
      <c r="Q277" s="978"/>
      <c r="R277" s="974"/>
      <c r="S277" s="1807"/>
      <c r="T277" s="1807"/>
      <c r="U277" s="1807"/>
    </row>
    <row r="278" spans="1:21" ht="11.4" customHeight="1">
      <c r="A278" s="505"/>
      <c r="B278" s="847" t="s">
        <v>1939</v>
      </c>
      <c r="C278" s="134" t="s">
        <v>4465</v>
      </c>
      <c r="D278" s="134"/>
      <c r="E278" s="1717"/>
      <c r="F278" s="1718"/>
      <c r="G278" s="134" t="s">
        <v>4320</v>
      </c>
      <c r="H278" s="930"/>
      <c r="I278" s="930"/>
      <c r="J278" s="33"/>
      <c r="K278" s="33"/>
      <c r="L278" s="170" t="s">
        <v>6799</v>
      </c>
      <c r="M278" s="80"/>
      <c r="N278" s="174" t="s">
        <v>1939</v>
      </c>
      <c r="O278" s="2261"/>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3564</v>
      </c>
      <c r="C280" s="42"/>
      <c r="D280" s="48"/>
      <c r="E280" s="48"/>
      <c r="F280" s="48"/>
      <c r="G280" s="48"/>
      <c r="H280" s="36"/>
      <c r="I280" s="36"/>
      <c r="J280" s="36"/>
      <c r="K280" s="36"/>
      <c r="M280" s="46"/>
      <c r="N280" s="62"/>
      <c r="O280" s="3"/>
      <c r="P280" s="2376"/>
    </row>
    <row r="281" spans="1:21" s="43" customFormat="1" ht="34.950000000000003" customHeight="1" thickTop="1" thickBot="1">
      <c r="A281" s="2942" t="s">
        <v>7039</v>
      </c>
      <c r="B281" s="2943"/>
      <c r="C281" s="2943"/>
      <c r="D281" s="2943"/>
      <c r="E281" s="2943"/>
      <c r="F281" s="2943"/>
      <c r="G281" s="2943"/>
      <c r="H281" s="2943"/>
      <c r="I281" s="2943"/>
      <c r="J281" s="2943"/>
      <c r="K281" s="2943"/>
      <c r="L281" s="2943"/>
      <c r="M281" s="2943"/>
      <c r="N281" s="2943"/>
      <c r="O281" s="2943"/>
      <c r="P281" s="2944"/>
      <c r="Q281" s="1027" t="s">
        <v>1227</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77"/>
      <c r="F283" s="2377"/>
      <c r="G283" s="2377"/>
      <c r="H283" s="2377"/>
      <c r="I283" s="2377"/>
      <c r="J283" s="2377"/>
      <c r="K283" s="2377"/>
      <c r="L283" s="2377"/>
      <c r="M283" s="2377"/>
      <c r="N283" s="74"/>
      <c r="O283" s="70"/>
      <c r="P283" s="2374"/>
      <c r="Q283" s="422"/>
    </row>
    <row r="284" spans="1:21" s="43" customFormat="1" ht="11.25" customHeight="1">
      <c r="A284" s="4138"/>
      <c r="B284" s="4139"/>
      <c r="C284" s="4139"/>
      <c r="D284" s="4139"/>
      <c r="E284" s="4139"/>
      <c r="F284" s="4139"/>
      <c r="G284" s="4139"/>
      <c r="H284" s="4139"/>
      <c r="I284" s="4139"/>
      <c r="J284" s="4139"/>
      <c r="K284" s="4139"/>
      <c r="L284" s="4139"/>
      <c r="M284" s="4139"/>
      <c r="N284" s="4139"/>
      <c r="O284" s="4139"/>
      <c r="P284" s="4140"/>
      <c r="Q284" s="440"/>
    </row>
    <row r="285" spans="1:21" s="43" customFormat="1" ht="10.199999999999999" customHeight="1" thickBot="1">
      <c r="A285" s="42"/>
      <c r="D285" s="39"/>
      <c r="E285" s="36"/>
      <c r="F285" s="846"/>
      <c r="G285" s="846"/>
      <c r="H285" s="846"/>
      <c r="I285" s="846"/>
      <c r="J285" s="856"/>
      <c r="K285" s="856"/>
      <c r="L285" s="856"/>
      <c r="M285" s="60"/>
      <c r="N285" s="846"/>
      <c r="O285" s="2376"/>
      <c r="P285" s="3"/>
    </row>
    <row r="286" spans="1:21" ht="13.8" thickBot="1">
      <c r="A286" s="152" t="s">
        <v>356</v>
      </c>
      <c r="B286" s="1613" t="s">
        <v>4715</v>
      </c>
      <c r="C286" s="412"/>
      <c r="E286" s="116"/>
      <c r="G286" s="1616" t="s">
        <v>3603</v>
      </c>
      <c r="H286" s="2387" t="s">
        <v>3450</v>
      </c>
      <c r="I286" s="1446">
        <f>IF('Part VI-Revenues &amp; Expenses'!$P$67=0,0,'Part VI-Revenues &amp; Expenses'!$P$64/'Part VI-Revenues &amp; Expenses'!$P$67)</f>
        <v>0</v>
      </c>
      <c r="J286" s="1438" t="s">
        <v>4603</v>
      </c>
      <c r="K286" s="2977" t="str">
        <f>'Part I-Project Information'!$K$94</f>
        <v>40% of Units at 60% of AMI</v>
      </c>
      <c r="L286" s="2978"/>
      <c r="M286" s="150">
        <v>1</v>
      </c>
      <c r="N286" s="1069"/>
      <c r="O286" s="1041">
        <f>MIN($M$286,SUM(O287:O288))</f>
        <v>0</v>
      </c>
      <c r="P286" s="1041">
        <f>MIN($M$286,SUM(P287:P288))</f>
        <v>0</v>
      </c>
      <c r="Q286" s="109" t="s">
        <v>433</v>
      </c>
    </row>
    <row r="287" spans="1:21" ht="13.8">
      <c r="A287" s="2375" t="s">
        <v>1934</v>
      </c>
      <c r="B287" s="1615" t="s">
        <v>4601</v>
      </c>
      <c r="C287" s="412"/>
      <c r="D287" s="427" t="s">
        <v>4602</v>
      </c>
      <c r="M287" s="72">
        <v>1</v>
      </c>
      <c r="N287" s="455" t="s">
        <v>1934</v>
      </c>
      <c r="O287" s="2331"/>
      <c r="P287" s="4192"/>
      <c r="Q287" s="978" t="str">
        <f>IF(OR($O287=$M287,$O287=0,$O287=""),"","*CHECK!*")</f>
        <v/>
      </c>
      <c r="R287" s="974" t="s">
        <v>4765</v>
      </c>
    </row>
    <row r="288" spans="1:21" ht="13.8">
      <c r="A288" s="2375" t="s">
        <v>1936</v>
      </c>
      <c r="B288" s="1615" t="s">
        <v>4291</v>
      </c>
      <c r="C288" s="412"/>
      <c r="D288" s="427" t="s">
        <v>4721</v>
      </c>
      <c r="M288" s="80">
        <v>1</v>
      </c>
      <c r="N288" s="455" t="s">
        <v>1936</v>
      </c>
      <c r="O288" s="2287"/>
      <c r="P288" s="4162"/>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1818</v>
      </c>
      <c r="C290" s="42"/>
      <c r="D290" s="85"/>
      <c r="E290" s="2377"/>
      <c r="F290" s="2377"/>
      <c r="G290" s="2377"/>
      <c r="H290" s="2377"/>
      <c r="I290" s="2377"/>
      <c r="J290" s="2377"/>
      <c r="K290" s="2377"/>
      <c r="L290" s="2377"/>
      <c r="M290" s="2377"/>
      <c r="N290" s="74"/>
      <c r="O290" s="70"/>
      <c r="P290" s="2374"/>
      <c r="Q290" s="422"/>
    </row>
    <row r="291" spans="1:27" s="43" customFormat="1" ht="11.25" customHeight="1">
      <c r="A291" s="4138"/>
      <c r="B291" s="4139"/>
      <c r="C291" s="4139"/>
      <c r="D291" s="4139"/>
      <c r="E291" s="4139"/>
      <c r="F291" s="4139"/>
      <c r="G291" s="4139"/>
      <c r="H291" s="4139"/>
      <c r="I291" s="4139"/>
      <c r="J291" s="4139"/>
      <c r="K291" s="4139"/>
      <c r="L291" s="4139"/>
      <c r="M291" s="4139"/>
      <c r="N291" s="4139"/>
      <c r="O291" s="4139"/>
      <c r="P291" s="4140"/>
      <c r="Q291" s="440"/>
    </row>
    <row r="292" spans="1:27" s="43" customFormat="1" ht="10.199999999999999" customHeight="1" thickBot="1">
      <c r="A292" s="42"/>
      <c r="D292" s="39"/>
      <c r="E292" s="36"/>
      <c r="F292" s="846"/>
      <c r="G292" s="846"/>
      <c r="H292" s="846"/>
      <c r="I292" s="846"/>
      <c r="J292" s="856"/>
      <c r="K292" s="856"/>
      <c r="L292" s="856"/>
      <c r="M292" s="60"/>
      <c r="N292" s="846"/>
      <c r="O292" s="2376"/>
      <c r="P292" s="3"/>
    </row>
    <row r="293" spans="1:27" s="102" customFormat="1" ht="12.6" customHeight="1" thickBot="1">
      <c r="A293" s="152" t="s">
        <v>357</v>
      </c>
      <c r="B293" s="106" t="s">
        <v>3744</v>
      </c>
      <c r="C293" s="92"/>
      <c r="D293" s="59"/>
      <c r="E293" s="59"/>
      <c r="H293" s="172"/>
      <c r="I293" s="1616" t="s">
        <v>3603</v>
      </c>
      <c r="M293" s="2374">
        <v>10</v>
      </c>
      <c r="N293" s="7"/>
      <c r="O293" s="1041">
        <f>IF(OR(O193&gt;0,O265&gt;0),0,IF(OR(O294="Yes",O295="Yes"),$M$293,0))</f>
        <v>0</v>
      </c>
      <c r="P293" s="1041">
        <f>IF(OR(P193&gt;0,P265&gt;0),0,IF(OR(P294="Yes",P295="Yes"),$M$293,0))</f>
        <v>0</v>
      </c>
      <c r="Q293" s="109" t="s">
        <v>433</v>
      </c>
      <c r="R293" s="2930" t="s">
        <v>4763</v>
      </c>
      <c r="S293" s="2930"/>
      <c r="T293" s="2930"/>
      <c r="U293" s="2930"/>
      <c r="V293" s="2930"/>
    </row>
    <row r="294" spans="1:27" ht="11.25" customHeight="1">
      <c r="A294" s="2375" t="s">
        <v>1934</v>
      </c>
      <c r="B294" s="1076" t="s">
        <v>3596</v>
      </c>
      <c r="D294" s="588"/>
      <c r="E294" s="588"/>
      <c r="F294" s="588"/>
      <c r="G294" s="588"/>
      <c r="H294" s="588"/>
      <c r="I294" s="588"/>
      <c r="J294" s="588"/>
      <c r="K294" s="588"/>
      <c r="L294" s="989"/>
      <c r="M294" s="3195" t="str">
        <f>IF(OR(SUM(T294:T295)&gt;1,SUM(Q294:Q295)&gt;1),"Only one category can be met by other means!","")</f>
        <v/>
      </c>
      <c r="N294" s="455" t="s">
        <v>1934</v>
      </c>
      <c r="O294" s="2266"/>
      <c r="P294" s="518"/>
      <c r="Q294" s="999">
        <f>IF(L294="Yes",1,0)</f>
        <v>0</v>
      </c>
      <c r="R294" s="2930"/>
      <c r="S294" s="2930"/>
      <c r="T294" s="2930"/>
      <c r="U294" s="2930"/>
      <c r="V294" s="2930"/>
    </row>
    <row r="295" spans="1:27" ht="11.25" customHeight="1">
      <c r="A295" s="2375" t="s">
        <v>1936</v>
      </c>
      <c r="B295" s="1076" t="s">
        <v>3597</v>
      </c>
      <c r="D295" s="588"/>
      <c r="L295" s="989"/>
      <c r="M295" s="3195"/>
      <c r="N295" s="455" t="s">
        <v>1936</v>
      </c>
      <c r="O295" s="2261"/>
      <c r="P295" s="520"/>
      <c r="Q295" s="999">
        <f>IF(L295="Yes",1,0)</f>
        <v>0</v>
      </c>
      <c r="R295" s="2930"/>
      <c r="S295" s="2930"/>
      <c r="T295" s="2930"/>
      <c r="U295" s="2930"/>
      <c r="V295" s="2930"/>
    </row>
    <row r="296" spans="1:27" s="43" customFormat="1" ht="10.5" customHeight="1" thickBot="1">
      <c r="A296" s="42"/>
      <c r="B296" s="1132" t="s">
        <v>3564</v>
      </c>
      <c r="C296" s="42"/>
      <c r="D296" s="48"/>
      <c r="E296" s="48"/>
      <c r="F296" s="48"/>
      <c r="G296" s="48"/>
      <c r="H296" s="36"/>
      <c r="I296" s="36"/>
      <c r="J296" s="36"/>
      <c r="K296" s="36"/>
      <c r="M296" s="46"/>
      <c r="N296" s="62"/>
      <c r="O296" s="3"/>
      <c r="P296" s="2376"/>
      <c r="R296" s="2930"/>
      <c r="S296" s="2930"/>
      <c r="T296" s="2930"/>
      <c r="U296" s="2930"/>
      <c r="V296" s="2930"/>
    </row>
    <row r="297" spans="1:27" s="43" customFormat="1" ht="34.950000000000003" customHeight="1" thickTop="1" thickBot="1">
      <c r="A297" s="2942" t="s">
        <v>7039</v>
      </c>
      <c r="B297" s="2943"/>
      <c r="C297" s="2943"/>
      <c r="D297" s="2943"/>
      <c r="E297" s="2943"/>
      <c r="F297" s="2943"/>
      <c r="G297" s="2943"/>
      <c r="H297" s="2943"/>
      <c r="I297" s="2943"/>
      <c r="J297" s="2943"/>
      <c r="K297" s="2943"/>
      <c r="L297" s="2943"/>
      <c r="M297" s="2943"/>
      <c r="N297" s="2943"/>
      <c r="O297" s="2943"/>
      <c r="P297" s="2944"/>
      <c r="Q297" s="1027" t="s">
        <v>1227</v>
      </c>
    </row>
    <row r="298" spans="1:27" s="43" customFormat="1" ht="10.5" customHeight="1" thickTop="1">
      <c r="A298" s="42"/>
      <c r="B298" s="85" t="s">
        <v>1818</v>
      </c>
      <c r="C298" s="42"/>
      <c r="D298" s="85"/>
      <c r="E298" s="2377"/>
      <c r="F298" s="2377"/>
      <c r="G298" s="2377"/>
      <c r="H298" s="2377"/>
      <c r="I298" s="2377"/>
      <c r="J298" s="2377"/>
      <c r="K298" s="2377"/>
      <c r="L298" s="2377"/>
      <c r="M298" s="2377"/>
      <c r="N298" s="74"/>
      <c r="O298" s="70"/>
      <c r="P298" s="2374"/>
      <c r="Q298" s="422"/>
    </row>
    <row r="299" spans="1:27" s="43" customFormat="1" ht="11.25" customHeight="1">
      <c r="A299" s="4138"/>
      <c r="B299" s="4139"/>
      <c r="C299" s="4139"/>
      <c r="D299" s="4139"/>
      <c r="E299" s="4139"/>
      <c r="F299" s="4139"/>
      <c r="G299" s="4139"/>
      <c r="H299" s="4139"/>
      <c r="I299" s="4139"/>
      <c r="J299" s="4139"/>
      <c r="K299" s="4139"/>
      <c r="L299" s="4139"/>
      <c r="M299" s="4139"/>
      <c r="N299" s="4139"/>
      <c r="O299" s="4139"/>
      <c r="P299" s="4140"/>
      <c r="Q299" s="440"/>
    </row>
    <row r="300" spans="1:27" s="43" customFormat="1" ht="15" thickBot="1">
      <c r="A300" s="42"/>
      <c r="D300" s="39"/>
      <c r="E300" s="36"/>
      <c r="F300" s="846"/>
      <c r="G300" s="846"/>
      <c r="H300" s="846"/>
      <c r="I300" s="846"/>
      <c r="J300" s="856"/>
      <c r="K300" s="856"/>
      <c r="L300" s="856"/>
      <c r="M300" s="60"/>
      <c r="N300" s="846"/>
      <c r="O300" s="2376"/>
      <c r="P300" s="3"/>
    </row>
    <row r="301" spans="1:27" s="43" customFormat="1" ht="12" customHeight="1" thickBot="1">
      <c r="A301" s="152" t="s">
        <v>358</v>
      </c>
      <c r="B301" s="105" t="s">
        <v>4717</v>
      </c>
      <c r="D301" s="41"/>
      <c r="E301" s="41"/>
      <c r="F301" s="41"/>
      <c r="H301" s="61"/>
      <c r="J301" s="86" t="s">
        <v>2701</v>
      </c>
      <c r="K301" s="48"/>
      <c r="L301" s="587" t="str">
        <f>'Part I-Project Information'!$H$105</f>
        <v>Rural</v>
      </c>
      <c r="M301" s="2374">
        <v>3</v>
      </c>
      <c r="N301" s="6"/>
      <c r="O301" s="1081">
        <f>IF(AND($L$301="Flexible", $J$302="Yes- w/Master Plan",O303="Yes",O306="Yes",O307="No",O308="Yes",O309="Yes",O310="Yes"),$M301,0)</f>
        <v>0</v>
      </c>
      <c r="P301" s="1081">
        <f>IF(AND($L$301="Flexible", $J$302="Yes- w/Master Plan",P303="Yes",P306="Yes",P307="No",P308="Yes",P309="Yes",P310="Yes"),$M301,0)</f>
        <v>0</v>
      </c>
      <c r="Q301" s="109" t="s">
        <v>433</v>
      </c>
      <c r="R301" s="2953" t="s">
        <v>4575</v>
      </c>
      <c r="S301" s="2953"/>
      <c r="T301" s="2953"/>
      <c r="U301" s="2953"/>
      <c r="V301" s="2953"/>
      <c r="W301" s="1739"/>
      <c r="X301" s="1739"/>
    </row>
    <row r="302" spans="1:27" ht="11.25" customHeight="1">
      <c r="A302" s="2375"/>
      <c r="B302" s="1618" t="s">
        <v>4619</v>
      </c>
      <c r="D302" s="33"/>
      <c r="E302" s="33"/>
      <c r="F302" s="33"/>
      <c r="H302" s="86" t="s">
        <v>3505</v>
      </c>
      <c r="I302" s="427"/>
      <c r="J302" s="3184" t="str">
        <f>'Part I-Project Information'!$O$34</f>
        <v>No</v>
      </c>
      <c r="K302" s="3184"/>
      <c r="L302" s="887" t="str">
        <f>'Part I-Project Information'!$O$35</f>
        <v>N/A</v>
      </c>
      <c r="M302" s="72"/>
      <c r="N302" s="72"/>
      <c r="O302" s="72"/>
      <c r="P302" s="72"/>
      <c r="Q302" s="978" t="str">
        <f>IF(OR($O302=$M302,$O302=0,$O302=""),"","*CHECK!*")</f>
        <v/>
      </c>
      <c r="R302" s="2953"/>
      <c r="S302" s="2953"/>
      <c r="T302" s="2953"/>
      <c r="U302" s="2953"/>
      <c r="V302" s="2953"/>
    </row>
    <row r="303" spans="1:27" s="100" customFormat="1" ht="22.5" customHeight="1">
      <c r="A303" s="435" t="s">
        <v>1934</v>
      </c>
      <c r="B303" s="3093" t="s">
        <v>4618</v>
      </c>
      <c r="C303" s="3093"/>
      <c r="D303" s="3093"/>
      <c r="E303" s="3093"/>
      <c r="F303" s="3093"/>
      <c r="G303" s="3093"/>
      <c r="H303" s="3093"/>
      <c r="I303" s="3093"/>
      <c r="J303" s="3093"/>
      <c r="K303" s="3093"/>
      <c r="L303" s="3093"/>
      <c r="M303" s="3093"/>
      <c r="N303" s="160" t="s">
        <v>1934</v>
      </c>
      <c r="O303" s="2270"/>
      <c r="P303" s="1089"/>
      <c r="Q303" s="3188" t="s">
        <v>4620</v>
      </c>
      <c r="R303" s="2945"/>
      <c r="S303" s="2945"/>
      <c r="T303" s="2945"/>
      <c r="U303" s="982"/>
      <c r="V303" s="982"/>
      <c r="W303" s="982"/>
      <c r="X303" s="982"/>
      <c r="Y303" s="982"/>
      <c r="Z303" s="982"/>
      <c r="AA303" s="982"/>
    </row>
    <row r="304" spans="1:27" s="117" customFormat="1" ht="11.25" customHeight="1">
      <c r="A304" s="372"/>
      <c r="B304" s="134" t="s">
        <v>3609</v>
      </c>
      <c r="I304" s="385" t="s">
        <v>4324</v>
      </c>
      <c r="J304" s="2332"/>
      <c r="K304" s="385" t="s">
        <v>598</v>
      </c>
      <c r="L304" s="3185"/>
      <c r="M304" s="3186"/>
      <c r="N304" s="3186"/>
      <c r="O304" s="3186"/>
      <c r="P304" s="3187"/>
      <c r="Q304" s="3188"/>
      <c r="R304" s="2945"/>
      <c r="S304" s="2945"/>
      <c r="T304" s="2945"/>
    </row>
    <row r="305" spans="1:24" s="117" customFormat="1" ht="11.25" customHeight="1">
      <c r="A305" s="372"/>
      <c r="B305" s="134" t="s">
        <v>3639</v>
      </c>
      <c r="I305" s="385" t="s">
        <v>4324</v>
      </c>
      <c r="J305" s="2333"/>
      <c r="K305" s="385" t="s">
        <v>598</v>
      </c>
      <c r="L305" s="3090"/>
      <c r="M305" s="3091"/>
      <c r="N305" s="3091"/>
      <c r="O305" s="3091"/>
      <c r="P305" s="3092"/>
      <c r="Q305" s="3188"/>
      <c r="R305" s="2945"/>
      <c r="S305" s="2945"/>
      <c r="T305" s="2945"/>
    </row>
    <row r="306" spans="1:24" s="117" customFormat="1" ht="11.25" customHeight="1">
      <c r="A306" s="372" t="s">
        <v>1936</v>
      </c>
      <c r="B306" s="117" t="s">
        <v>940</v>
      </c>
      <c r="M306" s="7"/>
      <c r="N306" s="455" t="s">
        <v>1936</v>
      </c>
      <c r="O306" s="2264"/>
      <c r="P306" s="898"/>
      <c r="Q306" s="3188"/>
      <c r="R306" s="2945"/>
      <c r="S306" s="2945"/>
      <c r="T306" s="2945"/>
    </row>
    <row r="307" spans="1:24" s="117" customFormat="1" ht="11.25" customHeight="1">
      <c r="A307" s="372" t="s">
        <v>730</v>
      </c>
      <c r="B307" s="117" t="s">
        <v>941</v>
      </c>
      <c r="M307" s="7"/>
      <c r="N307" s="455" t="s">
        <v>730</v>
      </c>
      <c r="O307" s="2265"/>
      <c r="P307" s="519"/>
      <c r="Q307" s="3188"/>
      <c r="R307" s="2945"/>
      <c r="S307" s="2945"/>
      <c r="T307" s="2945"/>
    </row>
    <row r="308" spans="1:24" s="117" customFormat="1" ht="22.5" customHeight="1">
      <c r="A308" s="435" t="s">
        <v>2063</v>
      </c>
      <c r="B308" s="3093" t="s">
        <v>4621</v>
      </c>
      <c r="C308" s="3093"/>
      <c r="D308" s="3093"/>
      <c r="E308" s="3093"/>
      <c r="F308" s="3093"/>
      <c r="G308" s="3093"/>
      <c r="H308" s="3093"/>
      <c r="I308" s="3093"/>
      <c r="J308" s="3093"/>
      <c r="K308" s="3093"/>
      <c r="L308" s="3093"/>
      <c r="M308" s="3093"/>
      <c r="N308" s="160" t="s">
        <v>2063</v>
      </c>
      <c r="O308" s="2380"/>
      <c r="P308" s="2379"/>
      <c r="Q308" s="3188"/>
      <c r="R308" s="2945"/>
      <c r="S308" s="2945"/>
      <c r="T308" s="2945"/>
    </row>
    <row r="309" spans="1:24" s="117" customFormat="1" ht="11.25" customHeight="1">
      <c r="A309" s="372" t="s">
        <v>1691</v>
      </c>
      <c r="B309" s="134" t="s">
        <v>4325</v>
      </c>
      <c r="M309" s="7"/>
      <c r="N309" s="455" t="s">
        <v>1691</v>
      </c>
      <c r="O309" s="2261"/>
      <c r="P309" s="520"/>
      <c r="Q309" s="3188"/>
      <c r="R309" s="2945"/>
      <c r="S309" s="2945"/>
      <c r="T309" s="2945"/>
    </row>
    <row r="310" spans="1:24" s="117" customFormat="1" ht="11.25" customHeight="1">
      <c r="A310" s="372" t="s">
        <v>1692</v>
      </c>
      <c r="B310" s="117" t="s">
        <v>942</v>
      </c>
      <c r="M310" s="7"/>
      <c r="N310" s="455" t="s">
        <v>1692</v>
      </c>
      <c r="O310" s="2261"/>
      <c r="P310" s="520"/>
      <c r="Q310" s="3188"/>
      <c r="R310" s="2945"/>
      <c r="S310" s="2945"/>
      <c r="T310" s="2945"/>
    </row>
    <row r="311" spans="1:24" s="43" customFormat="1" ht="10.5" customHeight="1" thickBot="1">
      <c r="A311" s="42"/>
      <c r="B311" s="1132" t="s">
        <v>3564</v>
      </c>
      <c r="C311" s="42"/>
      <c r="D311" s="48"/>
      <c r="E311" s="48"/>
      <c r="F311" s="48"/>
      <c r="G311" s="48"/>
      <c r="H311" s="36"/>
      <c r="I311" s="36"/>
      <c r="J311" s="36"/>
      <c r="K311" s="36"/>
      <c r="M311" s="46"/>
      <c r="N311" s="62"/>
      <c r="O311" s="3"/>
      <c r="P311" s="2376"/>
    </row>
    <row r="312" spans="1:24" s="43" customFormat="1" ht="21.75" customHeight="1" thickTop="1" thickBot="1">
      <c r="A312" s="2942" t="s">
        <v>7039</v>
      </c>
      <c r="B312" s="2943"/>
      <c r="C312" s="2943"/>
      <c r="D312" s="2943"/>
      <c r="E312" s="2943"/>
      <c r="F312" s="2943"/>
      <c r="G312" s="2943"/>
      <c r="H312" s="2943"/>
      <c r="I312" s="2943"/>
      <c r="J312" s="2943"/>
      <c r="K312" s="2943"/>
      <c r="L312" s="2943"/>
      <c r="M312" s="2943"/>
      <c r="N312" s="2943"/>
      <c r="O312" s="2943"/>
      <c r="P312" s="2944"/>
      <c r="Q312" s="1027" t="s">
        <v>1227</v>
      </c>
    </row>
    <row r="313" spans="1:24" s="43" customFormat="1" ht="10.5" customHeight="1" thickTop="1">
      <c r="B313" s="85" t="s">
        <v>1818</v>
      </c>
      <c r="C313" s="98"/>
      <c r="D313" s="85"/>
      <c r="E313" s="99"/>
      <c r="F313" s="2377"/>
      <c r="G313" s="2377"/>
      <c r="H313" s="2377"/>
      <c r="I313" s="2377"/>
      <c r="J313" s="2377"/>
      <c r="K313" s="2377"/>
      <c r="L313" s="2377"/>
      <c r="M313" s="2377"/>
      <c r="N313" s="74"/>
      <c r="O313" s="70"/>
      <c r="P313" s="2374"/>
      <c r="Q313" s="422"/>
    </row>
    <row r="314" spans="1:24" s="43" customFormat="1" ht="11.25" customHeight="1">
      <c r="A314" s="2879"/>
      <c r="B314" s="2880"/>
      <c r="C314" s="2880"/>
      <c r="D314" s="2880"/>
      <c r="E314" s="2880"/>
      <c r="F314" s="2880"/>
      <c r="G314" s="2880"/>
      <c r="H314" s="2880"/>
      <c r="I314" s="2880"/>
      <c r="J314" s="2880"/>
      <c r="K314" s="2880"/>
      <c r="L314" s="2880"/>
      <c r="M314" s="2880"/>
      <c r="N314" s="2880"/>
      <c r="O314" s="2880"/>
      <c r="P314" s="2881"/>
      <c r="Q314" s="440"/>
    </row>
    <row r="315" spans="1:24" s="43" customFormat="1" ht="10.95" customHeight="1" thickBot="1">
      <c r="A315" s="42"/>
      <c r="D315" s="39"/>
      <c r="E315" s="36"/>
      <c r="F315" s="846"/>
      <c r="G315" s="846"/>
      <c r="H315" s="846"/>
      <c r="I315" s="846"/>
      <c r="J315" s="856"/>
      <c r="K315" s="856"/>
      <c r="L315" s="856"/>
      <c r="M315" s="60"/>
      <c r="N315" s="846"/>
      <c r="O315" s="2376"/>
      <c r="P315" s="3"/>
    </row>
    <row r="316" spans="1:24" s="43" customFormat="1" ht="12" customHeight="1" thickBot="1">
      <c r="A316" s="152" t="s">
        <v>1682</v>
      </c>
      <c r="B316" s="105" t="s">
        <v>4604</v>
      </c>
      <c r="D316" s="41"/>
      <c r="E316" s="41"/>
      <c r="F316" s="61" t="s">
        <v>3278</v>
      </c>
      <c r="H316" s="113" t="s">
        <v>4622</v>
      </c>
      <c r="I316" s="33"/>
      <c r="J316" s="848" t="str">
        <f>'Part I-Project Information'!F39</f>
        <v>City Limits</v>
      </c>
      <c r="M316" s="2374">
        <v>5</v>
      </c>
      <c r="N316" s="6"/>
      <c r="O316" s="1041">
        <f>IF(O301&gt;0,0,MIN($M$316,MAX(O318,O322)))</f>
        <v>0</v>
      </c>
      <c r="P316" s="1041">
        <f>IF(P301&gt;0,0,MIN($M$316,MAX(P318,P322)))</f>
        <v>0</v>
      </c>
      <c r="Q316" s="109" t="s">
        <v>433</v>
      </c>
      <c r="R316" s="2928" t="s">
        <v>4575</v>
      </c>
      <c r="S316" s="2928"/>
      <c r="T316" s="2928"/>
      <c r="U316" s="2928"/>
      <c r="V316" s="2928"/>
      <c r="W316" s="1739"/>
      <c r="X316" s="1739"/>
    </row>
    <row r="317" spans="1:24" s="33" customFormat="1" ht="11.25" customHeight="1">
      <c r="A317" s="2375" t="s">
        <v>1934</v>
      </c>
      <c r="B317" s="177" t="s">
        <v>4626</v>
      </c>
      <c r="D317" s="561"/>
      <c r="J317" s="1619" t="str">
        <f>CONCATENATE('Part I-Project Information'!F38,", ",'Part I-Project Information'!J39)</f>
        <v>Ludowici, Long</v>
      </c>
      <c r="R317" s="2928"/>
      <c r="S317" s="2928"/>
      <c r="T317" s="2928"/>
      <c r="U317" s="2928"/>
      <c r="V317" s="2928"/>
    </row>
    <row r="318" spans="1:24" s="33" customFormat="1" ht="36" customHeight="1">
      <c r="A318" s="2375"/>
      <c r="B318" s="3115" t="s">
        <v>4634</v>
      </c>
      <c r="C318" s="3115"/>
      <c r="D318" s="3115"/>
      <c r="E318" s="3115"/>
      <c r="F318" s="3115"/>
      <c r="G318" s="3115"/>
      <c r="H318" s="3115"/>
      <c r="I318" s="3115"/>
      <c r="J318" s="3115"/>
      <c r="K318" s="3115"/>
      <c r="L318" s="3115"/>
      <c r="M318" s="1621">
        <v>5</v>
      </c>
      <c r="N318" s="160" t="s">
        <v>1934</v>
      </c>
      <c r="O318" s="1622">
        <f>IF(AND(O319&gt;0,O320&gt;0),"Choose!",IF(O319&gt;0, $M$319,IF(O320&gt;0, $M$320, 0)))</f>
        <v>0</v>
      </c>
      <c r="P318" s="1622">
        <f>IF(AND(P319&gt;0,P320&gt;0),"Choose!",IF(P319&gt;0, $M$319,IF(P320&gt;0, $M$320, 0)))</f>
        <v>0</v>
      </c>
      <c r="R318" s="2928"/>
      <c r="S318" s="2928"/>
      <c r="T318" s="2928"/>
      <c r="U318" s="2928"/>
      <c r="V318" s="2928"/>
    </row>
    <row r="319" spans="1:24" s="33" customFormat="1" ht="11.25" customHeight="1">
      <c r="B319" s="847" t="s">
        <v>1937</v>
      </c>
      <c r="C319" s="559" t="s">
        <v>4624</v>
      </c>
      <c r="L319" s="374" t="str">
        <f>IF(OR($O319=$M319,$O319=0,$O319=""),"","* * Check Score! * *")</f>
        <v/>
      </c>
      <c r="M319" s="72">
        <v>5</v>
      </c>
      <c r="N319" s="430" t="s">
        <v>1937</v>
      </c>
      <c r="O319" s="2334"/>
      <c r="P319" s="4174"/>
      <c r="Q319" s="978" t="str">
        <f>IF(OR($O319=$M319,$O319=0,$O319=""),"","*CHECK!*")</f>
        <v/>
      </c>
      <c r="R319" s="974" t="s">
        <v>4765</v>
      </c>
    </row>
    <row r="320" spans="1:24" ht="11.25" customHeight="1">
      <c r="A320" s="560"/>
      <c r="B320" s="562" t="s">
        <v>1939</v>
      </c>
      <c r="C320" s="434" t="s">
        <v>4625</v>
      </c>
      <c r="D320" s="33"/>
      <c r="E320" s="33"/>
      <c r="F320" s="33"/>
      <c r="G320" s="40"/>
      <c r="H320" s="61"/>
      <c r="I320" s="40"/>
      <c r="L320" s="374" t="str">
        <f>IF(OR($O320=$M320,$O320=0,$O320=""),"","* * Check Score! * *")</f>
        <v/>
      </c>
      <c r="M320" s="80">
        <v>4</v>
      </c>
      <c r="N320" s="851" t="s">
        <v>1939</v>
      </c>
      <c r="O320" s="2287"/>
      <c r="P320" s="4162"/>
      <c r="Q320" s="978" t="str">
        <f>IF(OR($O320=$M320,$O320=0,$O320=""),"","*CHECK!*")</f>
        <v/>
      </c>
      <c r="R320" s="974" t="s">
        <v>4765</v>
      </c>
    </row>
    <row r="321" spans="1:21" s="33" customFormat="1" ht="11.25" customHeight="1">
      <c r="A321" s="2375" t="s">
        <v>1936</v>
      </c>
      <c r="B321" s="177" t="s">
        <v>4627</v>
      </c>
      <c r="D321" s="561"/>
      <c r="F321" s="1620" t="s">
        <v>4623</v>
      </c>
      <c r="H321" s="86" t="s">
        <v>2701</v>
      </c>
      <c r="I321" s="43"/>
      <c r="J321" s="587" t="str">
        <f>'Part I-Project Information'!$H$105</f>
        <v>Rural</v>
      </c>
    </row>
    <row r="322" spans="1:21" s="33" customFormat="1" ht="11.25" customHeight="1">
      <c r="A322" s="2375"/>
      <c r="B322" s="850" t="s">
        <v>4635</v>
      </c>
      <c r="D322" s="561"/>
      <c r="H322" s="61"/>
      <c r="M322" s="557">
        <v>3</v>
      </c>
      <c r="N322" s="455" t="s">
        <v>1936</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1937</v>
      </c>
      <c r="C323" s="559" t="s">
        <v>4629</v>
      </c>
      <c r="J323" s="1623" t="s">
        <v>4628</v>
      </c>
      <c r="L323" s="2941" t="str">
        <f>IF(OR(AND(O323&gt;0,O324&gt;0), AND(O326&gt;0,O327&gt;0), AND(O323+O324&gt;0,O326+O327&gt;0)),"Choose option 1 or 2 or 3 or 4!!!",IF(AND(J321="Rural", SUM(O326:O327)&gt;0),"Cannot choose options 3 or 4 if in Rural Pool!!!",""))</f>
        <v/>
      </c>
      <c r="M323" s="72">
        <v>3</v>
      </c>
      <c r="N323" s="430" t="s">
        <v>1937</v>
      </c>
      <c r="O323" s="2334"/>
      <c r="P323" s="4174"/>
      <c r="Q323" s="978" t="str">
        <f>IF(OR($O323=$M323,$O323=0,$O323=""),"","*CHECK!*")</f>
        <v/>
      </c>
      <c r="R323" s="974" t="s">
        <v>4765</v>
      </c>
    </row>
    <row r="324" spans="1:21" ht="11.25" customHeight="1">
      <c r="A324" s="560"/>
      <c r="B324" s="562" t="s">
        <v>1939</v>
      </c>
      <c r="C324" s="434" t="s">
        <v>4630</v>
      </c>
      <c r="D324" s="33"/>
      <c r="E324" s="33"/>
      <c r="F324" s="33"/>
      <c r="G324" s="40"/>
      <c r="H324" s="852"/>
      <c r="I324" s="40"/>
      <c r="J324" s="1623" t="s">
        <v>4628</v>
      </c>
      <c r="K324" s="1624"/>
      <c r="L324" s="2941"/>
      <c r="M324" s="80">
        <v>2</v>
      </c>
      <c r="N324" s="851" t="s">
        <v>1939</v>
      </c>
      <c r="O324" s="2287"/>
      <c r="P324" s="4162"/>
      <c r="Q324" s="978" t="str">
        <f>IF(OR($O324=$M324,$O324=0,$O324=""),"","*CHECK!*")</f>
        <v/>
      </c>
      <c r="R324" s="974" t="s">
        <v>4765</v>
      </c>
    </row>
    <row r="325" spans="1:21" ht="22.5" customHeight="1">
      <c r="A325" s="560"/>
      <c r="B325" s="3114" t="s">
        <v>4633</v>
      </c>
      <c r="C325" s="3114"/>
      <c r="D325" s="3114"/>
      <c r="E325" s="3114"/>
      <c r="F325" s="3114"/>
      <c r="G325" s="3114"/>
      <c r="H325" s="3114"/>
      <c r="I325" s="3114"/>
      <c r="J325" s="3114"/>
      <c r="K325" s="3114"/>
      <c r="L325" s="2941"/>
      <c r="M325" s="80"/>
      <c r="N325" s="80"/>
      <c r="O325" s="80"/>
      <c r="P325" s="80"/>
      <c r="Q325" s="978"/>
      <c r="R325" s="1039"/>
    </row>
    <row r="326" spans="1:21" ht="11.25" customHeight="1">
      <c r="A326" s="560"/>
      <c r="B326" s="562" t="s">
        <v>2466</v>
      </c>
      <c r="C326" s="559" t="s">
        <v>4631</v>
      </c>
      <c r="D326" s="33"/>
      <c r="E326" s="33"/>
      <c r="F326" s="33"/>
      <c r="G326" s="40"/>
      <c r="H326" s="852"/>
      <c r="I326" s="40"/>
      <c r="K326" s="1624"/>
      <c r="L326" s="2941"/>
      <c r="M326" s="80">
        <v>3</v>
      </c>
      <c r="N326" s="851" t="s">
        <v>2466</v>
      </c>
      <c r="O326" s="2335"/>
      <c r="P326" s="4193"/>
      <c r="Q326" s="978" t="str">
        <f>IF(OR($O326=$M326,$O326=0,$O326=""),"","*CHECK!*")</f>
        <v/>
      </c>
      <c r="R326" s="974" t="s">
        <v>4765</v>
      </c>
    </row>
    <row r="327" spans="1:21" ht="11.25" customHeight="1">
      <c r="A327" s="560"/>
      <c r="B327" s="562" t="s">
        <v>1197</v>
      </c>
      <c r="C327" s="434" t="s">
        <v>4632</v>
      </c>
      <c r="D327" s="33"/>
      <c r="E327" s="33"/>
      <c r="F327" s="33"/>
      <c r="G327" s="40"/>
      <c r="H327" s="61"/>
      <c r="I327" s="40"/>
      <c r="K327" s="1624"/>
      <c r="L327" s="2941"/>
      <c r="M327" s="80">
        <v>2</v>
      </c>
      <c r="N327" s="851" t="s">
        <v>1197</v>
      </c>
      <c r="O327" s="2287"/>
      <c r="P327" s="4162"/>
      <c r="Q327" s="978" t="str">
        <f>IF(OR($O327=$M327,$O327=0,$O327=""),"","*CHECK!*")</f>
        <v/>
      </c>
      <c r="R327" s="974" t="s">
        <v>4765</v>
      </c>
    </row>
    <row r="328" spans="1:21" s="43" customFormat="1" ht="10.5" customHeight="1" thickBot="1">
      <c r="A328" s="42"/>
      <c r="B328" s="1132" t="s">
        <v>3564</v>
      </c>
      <c r="C328" s="42"/>
      <c r="D328" s="48"/>
      <c r="E328" s="48"/>
      <c r="F328" s="48"/>
      <c r="G328" s="48"/>
      <c r="H328" s="36"/>
      <c r="I328" s="36"/>
      <c r="J328" s="36"/>
      <c r="K328" s="36"/>
      <c r="M328" s="46"/>
      <c r="N328" s="62"/>
      <c r="O328" s="3"/>
      <c r="P328" s="2376"/>
    </row>
    <row r="329" spans="1:21" s="43" customFormat="1" ht="21.75" customHeight="1" thickTop="1" thickBot="1">
      <c r="A329" s="2942" t="s">
        <v>7039</v>
      </c>
      <c r="B329" s="2943"/>
      <c r="C329" s="2943"/>
      <c r="D329" s="2943"/>
      <c r="E329" s="2943"/>
      <c r="F329" s="2943"/>
      <c r="G329" s="2943"/>
      <c r="H329" s="2943"/>
      <c r="I329" s="2943"/>
      <c r="J329" s="2943"/>
      <c r="K329" s="2943"/>
      <c r="L329" s="2943"/>
      <c r="M329" s="2943"/>
      <c r="N329" s="2943"/>
      <c r="O329" s="2943"/>
      <c r="P329" s="2944"/>
      <c r="Q329" s="1027" t="s">
        <v>1227</v>
      </c>
    </row>
    <row r="330" spans="1:21" s="43" customFormat="1" ht="10.5" customHeight="1" thickTop="1">
      <c r="B330" s="85" t="s">
        <v>1818</v>
      </c>
      <c r="C330" s="98"/>
      <c r="D330" s="85"/>
      <c r="E330" s="99"/>
      <c r="F330" s="2377"/>
      <c r="G330" s="2377"/>
      <c r="H330" s="2377"/>
      <c r="I330" s="2377"/>
      <c r="J330" s="2377"/>
      <c r="K330" s="2377"/>
      <c r="L330" s="2377"/>
      <c r="M330" s="2377"/>
      <c r="N330" s="74"/>
      <c r="O330" s="70"/>
      <c r="P330" s="2374"/>
      <c r="Q330" s="422"/>
    </row>
    <row r="331" spans="1:21" s="43" customFormat="1" ht="11.25" customHeight="1">
      <c r="A331" s="2879"/>
      <c r="B331" s="2880"/>
      <c r="C331" s="2880"/>
      <c r="D331" s="2880"/>
      <c r="E331" s="2880"/>
      <c r="F331" s="2880"/>
      <c r="G331" s="2880"/>
      <c r="H331" s="2880"/>
      <c r="I331" s="2880"/>
      <c r="J331" s="2880"/>
      <c r="K331" s="2880"/>
      <c r="L331" s="2880"/>
      <c r="M331" s="2880"/>
      <c r="N331" s="2880"/>
      <c r="O331" s="2880"/>
      <c r="P331" s="2881"/>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8"/>
      <c r="K333" s="48"/>
      <c r="L333" s="455" t="s">
        <v>4766</v>
      </c>
      <c r="M333" s="2374">
        <v>4</v>
      </c>
      <c r="N333" s="6"/>
      <c r="O333" s="1041">
        <f>IF(AND(O334&gt;0,O338&gt;0),"AorB?",MIN($M333,SUM(O334,O338,O340)))</f>
        <v>0</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7">
        <f>IF(OR(AND(O335="Yes",O336="Yes",O337="Yes"),AND(O335="Yes",O337="Yes"),AND(O336="Yes",O337="Yes"),AND(O335="Yes",O336="Yes")),"choose",IF(O335="Yes",$M$335,IF(O336="Yes",$M$336, IF(O337="Yes",$M$337,0))))</f>
        <v>0</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4326</v>
      </c>
      <c r="D335" s="61"/>
      <c r="E335" s="61"/>
      <c r="F335" s="44"/>
      <c r="G335" s="27"/>
      <c r="L335" s="374"/>
      <c r="M335" s="7">
        <v>3</v>
      </c>
      <c r="N335" s="430" t="s">
        <v>1937</v>
      </c>
      <c r="O335" s="2266"/>
      <c r="P335" s="518"/>
      <c r="Q335" s="978"/>
      <c r="R335" s="1039"/>
      <c r="T335" s="1023"/>
      <c r="U335" s="1023"/>
    </row>
    <row r="336" spans="1:21" s="102" customFormat="1" ht="11.25" customHeight="1">
      <c r="A336" s="138"/>
      <c r="B336" s="562" t="s">
        <v>1939</v>
      </c>
      <c r="C336" s="40" t="s">
        <v>4327</v>
      </c>
      <c r="D336" s="61"/>
      <c r="E336" s="61"/>
      <c r="F336" s="44"/>
      <c r="G336" s="27"/>
      <c r="L336" s="374"/>
      <c r="M336" s="7">
        <v>2</v>
      </c>
      <c r="N336" s="851" t="s">
        <v>1939</v>
      </c>
      <c r="O336" s="2265"/>
      <c r="P336" s="519"/>
      <c r="Q336" s="978"/>
      <c r="R336" s="1039"/>
      <c r="T336" s="1023"/>
      <c r="U336" s="1023"/>
    </row>
    <row r="337" spans="1:21" s="102" customFormat="1" ht="10.5" customHeight="1">
      <c r="A337" s="138"/>
      <c r="B337" s="562" t="s">
        <v>2466</v>
      </c>
      <c r="C337" s="40" t="s">
        <v>4328</v>
      </c>
      <c r="D337" s="61"/>
      <c r="E337" s="61"/>
      <c r="F337" s="44"/>
      <c r="G337" s="27"/>
      <c r="K337" s="455"/>
      <c r="M337" s="7">
        <v>1</v>
      </c>
      <c r="N337" s="851" t="s">
        <v>2466</v>
      </c>
      <c r="O337" s="2261"/>
      <c r="P337" s="520"/>
      <c r="R337" s="387"/>
      <c r="T337" s="1023"/>
      <c r="U337" s="1023"/>
    </row>
    <row r="338" spans="1:21" s="43" customFormat="1" ht="11.25" customHeight="1">
      <c r="A338" s="138" t="s">
        <v>1936</v>
      </c>
      <c r="B338" s="165" t="s">
        <v>4576</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892" t="s">
        <v>4577</v>
      </c>
      <c r="C339" s="2892"/>
      <c r="D339" s="2892"/>
      <c r="E339" s="2892"/>
      <c r="F339" s="2892"/>
      <c r="G339" s="2892"/>
      <c r="H339" s="2892"/>
      <c r="I339" s="2892"/>
      <c r="J339" s="2892"/>
      <c r="K339" s="2892"/>
      <c r="L339" s="2892"/>
      <c r="M339" s="7"/>
      <c r="N339" s="455"/>
      <c r="O339" s="2336"/>
      <c r="P339" s="4194"/>
      <c r="Q339" s="387"/>
      <c r="R339" s="374"/>
      <c r="T339" s="1023"/>
      <c r="U339" s="1023"/>
    </row>
    <row r="340" spans="1:21" s="43" customFormat="1" ht="11.25" customHeight="1">
      <c r="A340" s="138" t="s">
        <v>730</v>
      </c>
      <c r="B340" s="165" t="s">
        <v>4329</v>
      </c>
      <c r="D340" s="57"/>
      <c r="H340" s="172"/>
      <c r="K340" s="52"/>
      <c r="L340" s="374"/>
      <c r="M340" s="7">
        <v>1</v>
      </c>
      <c r="N340" s="455" t="s">
        <v>730</v>
      </c>
      <c r="O340" s="1087">
        <f>IF(O334=0,0,IF(O341="Yes",$M$340,0))</f>
        <v>0</v>
      </c>
      <c r="P340" s="1087">
        <f>IF(P334=0,0,IF(P341="Yes",$M$340,0))</f>
        <v>0</v>
      </c>
      <c r="Q340" s="978" t="str">
        <f>IF(OR($O340=$M340,$O340=0,$O340=""),"","*CHECK!*")</f>
        <v/>
      </c>
      <c r="R340" s="1039"/>
      <c r="T340" s="1023"/>
      <c r="U340" s="1023"/>
    </row>
    <row r="341" spans="1:21" s="43" customFormat="1" ht="33.75" customHeight="1">
      <c r="B341" s="2713" t="s">
        <v>4446</v>
      </c>
      <c r="C341" s="2713"/>
      <c r="D341" s="2713"/>
      <c r="E341" s="2713"/>
      <c r="F341" s="2713"/>
      <c r="G341" s="2713"/>
      <c r="H341" s="2713"/>
      <c r="I341" s="2713"/>
      <c r="J341" s="2713"/>
      <c r="K341" s="2713"/>
      <c r="L341" s="2713"/>
      <c r="M341" s="7"/>
      <c r="N341" s="455"/>
      <c r="O341" s="2388"/>
      <c r="P341" s="2253"/>
      <c r="Q341" s="387"/>
      <c r="R341" s="374"/>
      <c r="T341" s="1023"/>
      <c r="U341" s="1023"/>
    </row>
    <row r="342" spans="1:21" s="43" customFormat="1" ht="22.5" customHeight="1">
      <c r="B342" s="2713" t="s">
        <v>4447</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1818</v>
      </c>
      <c r="C343" s="98"/>
      <c r="D343" s="85"/>
      <c r="E343" s="99"/>
      <c r="F343" s="2377"/>
      <c r="G343" s="2377"/>
      <c r="H343" s="2377"/>
      <c r="I343" s="2377"/>
      <c r="J343" s="2377"/>
      <c r="K343" s="2377"/>
      <c r="L343" s="2377"/>
      <c r="M343" s="2377"/>
      <c r="N343" s="74"/>
      <c r="O343" s="70"/>
      <c r="P343" s="2374"/>
      <c r="Q343" s="422"/>
    </row>
    <row r="344" spans="1:21" s="43" customFormat="1" ht="11.25" customHeight="1">
      <c r="A344" s="2879"/>
      <c r="B344" s="2880"/>
      <c r="C344" s="2880"/>
      <c r="D344" s="2880"/>
      <c r="E344" s="2880"/>
      <c r="F344" s="2880"/>
      <c r="G344" s="2880"/>
      <c r="H344" s="2880"/>
      <c r="I344" s="2880"/>
      <c r="J344" s="2880"/>
      <c r="K344" s="2880"/>
      <c r="L344" s="2880"/>
      <c r="M344" s="2880"/>
      <c r="N344" s="2880"/>
      <c r="O344" s="2880"/>
      <c r="P344" s="2881"/>
      <c r="Q344" s="440"/>
    </row>
    <row r="345" spans="1:21" s="43" customFormat="1" ht="1.5" customHeight="1" thickBot="1">
      <c r="A345" s="42"/>
      <c r="B345" s="42"/>
      <c r="C345" s="2377"/>
      <c r="D345" s="2377"/>
      <c r="E345" s="2377"/>
      <c r="F345" s="2377"/>
      <c r="G345" s="2377"/>
      <c r="H345" s="2377"/>
      <c r="I345" s="2377"/>
      <c r="J345" s="2377"/>
      <c r="K345" s="2377"/>
      <c r="L345" s="2377"/>
      <c r="M345" s="2377"/>
      <c r="N345" s="74"/>
      <c r="O345" s="70"/>
      <c r="P345" s="846"/>
    </row>
    <row r="346" spans="1:21" s="43" customFormat="1" ht="12" customHeight="1" thickBot="1">
      <c r="A346" s="152" t="s">
        <v>2192</v>
      </c>
      <c r="B346" s="106" t="s">
        <v>3745</v>
      </c>
      <c r="C346" s="87"/>
      <c r="D346" s="58"/>
      <c r="E346" s="52"/>
      <c r="G346" s="55"/>
      <c r="M346" s="2374">
        <v>2</v>
      </c>
      <c r="N346" s="6"/>
      <c r="O346" s="6"/>
      <c r="P346" s="1081">
        <f>P347+P355</f>
        <v>0</v>
      </c>
      <c r="Q346" s="109" t="s">
        <v>433</v>
      </c>
    </row>
    <row r="347" spans="1:21" s="43" customFormat="1" ht="12" customHeight="1">
      <c r="A347" s="138" t="s">
        <v>1934</v>
      </c>
      <c r="B347" s="165" t="s">
        <v>3746</v>
      </c>
      <c r="C347" s="87"/>
      <c r="D347" s="58"/>
      <c r="E347" s="52"/>
      <c r="G347" s="1782" t="str">
        <f>'Part VIII-Threshold Criteria'!I352</f>
        <v>N/A</v>
      </c>
      <c r="L347" s="455" t="s">
        <v>4814</v>
      </c>
      <c r="M347" s="1781" t="str">
        <f>'Part I-Project Information'!H100</f>
        <v>No</v>
      </c>
      <c r="N347" s="455" t="s">
        <v>1934</v>
      </c>
      <c r="O347" s="454" t="str">
        <f>'Part I-Project Information'!$H$100</f>
        <v>No</v>
      </c>
      <c r="P347" s="4189"/>
      <c r="Q347" s="109"/>
      <c r="R347" s="1039" t="s">
        <v>2624</v>
      </c>
    </row>
    <row r="348" spans="1:21" s="102" customFormat="1" ht="10.5" customHeight="1">
      <c r="A348" s="138"/>
      <c r="B348" s="372" t="s">
        <v>1937</v>
      </c>
      <c r="C348" s="36" t="s">
        <v>4382</v>
      </c>
      <c r="D348" s="33"/>
      <c r="N348" s="430" t="s">
        <v>4383</v>
      </c>
      <c r="O348" s="2266"/>
      <c r="P348" s="518"/>
      <c r="R348" s="374"/>
    </row>
    <row r="349" spans="1:21" s="102" customFormat="1" ht="10.5" customHeight="1">
      <c r="A349" s="138"/>
      <c r="B349" s="372"/>
      <c r="C349" s="36" t="s">
        <v>4739</v>
      </c>
      <c r="D349" s="33"/>
      <c r="N349" s="430" t="s">
        <v>4384</v>
      </c>
      <c r="O349" s="2265"/>
      <c r="P349" s="519"/>
      <c r="R349" s="374"/>
    </row>
    <row r="350" spans="1:21" s="102" customFormat="1" ht="10.5" customHeight="1">
      <c r="A350" s="138"/>
      <c r="B350" s="372" t="s">
        <v>1939</v>
      </c>
      <c r="C350" s="36" t="s">
        <v>3754</v>
      </c>
      <c r="D350" s="33"/>
      <c r="N350" s="851" t="s">
        <v>1939</v>
      </c>
      <c r="O350" s="2265"/>
      <c r="P350" s="519"/>
      <c r="R350" s="374"/>
    </row>
    <row r="351" spans="1:21" s="102" customFormat="1" ht="10.5" customHeight="1">
      <c r="A351" s="138"/>
      <c r="B351" s="372" t="s">
        <v>2466</v>
      </c>
      <c r="C351" s="36" t="s">
        <v>4385</v>
      </c>
      <c r="D351" s="33"/>
      <c r="N351" s="851" t="s">
        <v>2466</v>
      </c>
      <c r="O351" s="2265"/>
      <c r="P351" s="519"/>
      <c r="R351" s="374"/>
    </row>
    <row r="352" spans="1:21" s="102" customFormat="1" ht="10.5" customHeight="1">
      <c r="B352" s="372" t="s">
        <v>1197</v>
      </c>
      <c r="C352" s="36" t="s">
        <v>4330</v>
      </c>
      <c r="D352" s="33"/>
      <c r="N352" s="851" t="s">
        <v>1197</v>
      </c>
      <c r="O352" s="2265"/>
      <c r="P352" s="519"/>
      <c r="R352" s="374"/>
    </row>
    <row r="353" spans="1:19" s="102" customFormat="1" ht="10.5" customHeight="1">
      <c r="A353" s="138"/>
      <c r="B353" s="372" t="s">
        <v>1198</v>
      </c>
      <c r="C353" s="36" t="s">
        <v>4331</v>
      </c>
      <c r="D353" s="33"/>
      <c r="N353" s="851" t="s">
        <v>1198</v>
      </c>
      <c r="O353" s="2265"/>
      <c r="P353" s="519"/>
      <c r="R353" s="374"/>
    </row>
    <row r="354" spans="1:19" s="102" customFormat="1" ht="10.5" customHeight="1">
      <c r="A354" s="138"/>
      <c r="B354" s="372" t="s">
        <v>1832</v>
      </c>
      <c r="C354" s="36" t="s">
        <v>3755</v>
      </c>
      <c r="D354" s="33"/>
      <c r="N354" s="851" t="s">
        <v>1832</v>
      </c>
      <c r="O354" s="2261"/>
      <c r="P354" s="520"/>
      <c r="R354" s="374"/>
    </row>
    <row r="355" spans="1:19" s="43" customFormat="1" ht="12" customHeight="1">
      <c r="A355" s="138" t="s">
        <v>1936</v>
      </c>
      <c r="B355" s="165" t="s">
        <v>3747</v>
      </c>
      <c r="C355" s="87"/>
      <c r="D355" s="58"/>
      <c r="E355" s="52"/>
      <c r="G355" s="1782">
        <f>'Part I-Project Information'!D164</f>
        <v>0</v>
      </c>
      <c r="I355" s="477"/>
      <c r="L355" s="1112"/>
      <c r="M355" s="1112"/>
      <c r="N355" s="455" t="s">
        <v>1936</v>
      </c>
      <c r="P355" s="4189"/>
      <c r="Q355" s="109"/>
      <c r="R355" s="1039" t="s">
        <v>2624</v>
      </c>
    </row>
    <row r="356" spans="1:19" s="102" customFormat="1" ht="10.5" customHeight="1">
      <c r="A356" s="153"/>
      <c r="B356" s="372" t="s">
        <v>1937</v>
      </c>
      <c r="C356" s="36" t="s">
        <v>4382</v>
      </c>
      <c r="D356" s="52"/>
      <c r="E356" s="52"/>
      <c r="M356" s="2374"/>
      <c r="N356" s="430" t="s">
        <v>4383</v>
      </c>
      <c r="O356" s="2256"/>
      <c r="P356" s="518"/>
      <c r="Q356" s="109"/>
    </row>
    <row r="357" spans="1:19" s="102" customFormat="1" ht="10.5" customHeight="1">
      <c r="A357" s="138"/>
      <c r="B357" s="372"/>
      <c r="C357" s="36" t="s">
        <v>4767</v>
      </c>
      <c r="D357" s="33"/>
      <c r="N357" s="430" t="s">
        <v>4384</v>
      </c>
      <c r="O357" s="2265"/>
      <c r="P357" s="519"/>
      <c r="R357" s="374"/>
    </row>
    <row r="358" spans="1:19" s="102" customFormat="1" ht="10.5" customHeight="1">
      <c r="A358" s="138"/>
      <c r="B358" s="372" t="s">
        <v>1939</v>
      </c>
      <c r="C358" s="36" t="s">
        <v>3766</v>
      </c>
      <c r="D358" s="33"/>
      <c r="N358" s="851" t="s">
        <v>1939</v>
      </c>
      <c r="O358" s="2265"/>
      <c r="P358" s="519"/>
      <c r="R358" s="374"/>
    </row>
    <row r="359" spans="1:19" s="102" customFormat="1" ht="10.5" customHeight="1">
      <c r="B359" s="372" t="s">
        <v>2466</v>
      </c>
      <c r="C359" s="36" t="s">
        <v>3755</v>
      </c>
      <c r="D359" s="33"/>
      <c r="N359" s="851" t="s">
        <v>2466</v>
      </c>
      <c r="O359" s="2261"/>
      <c r="P359" s="520"/>
      <c r="R359" s="374"/>
    </row>
    <row r="360" spans="1:19" s="43" customFormat="1" ht="10.5" customHeight="1">
      <c r="B360" s="85" t="s">
        <v>1818</v>
      </c>
      <c r="C360" s="98"/>
      <c r="D360" s="85"/>
      <c r="E360" s="99"/>
      <c r="F360" s="2377"/>
      <c r="G360" s="2377"/>
      <c r="H360" s="2377"/>
      <c r="I360" s="2377"/>
      <c r="J360" s="2377"/>
      <c r="K360" s="2377"/>
      <c r="L360" s="2377"/>
      <c r="M360" s="2377"/>
      <c r="N360" s="74"/>
      <c r="O360" s="70"/>
      <c r="P360" s="2374"/>
      <c r="Q360" s="422"/>
    </row>
    <row r="361" spans="1:19" s="43" customFormat="1" ht="11.25" customHeight="1">
      <c r="A361" s="2879"/>
      <c r="B361" s="2880"/>
      <c r="C361" s="2880"/>
      <c r="D361" s="2880"/>
      <c r="E361" s="2880"/>
      <c r="F361" s="2880"/>
      <c r="G361" s="2880"/>
      <c r="H361" s="2880"/>
      <c r="I361" s="2880"/>
      <c r="J361" s="2880"/>
      <c r="K361" s="2880"/>
      <c r="L361" s="2880"/>
      <c r="M361" s="2880"/>
      <c r="N361" s="2880"/>
      <c r="O361" s="2880"/>
      <c r="P361" s="2881"/>
      <c r="Q361" s="440"/>
    </row>
    <row r="362" spans="1:19" ht="2.25" customHeight="1"/>
    <row r="363" spans="1:19" s="43" customFormat="1" ht="2.25" customHeight="1" thickBot="1">
      <c r="A363" s="42"/>
      <c r="C363" s="2377"/>
      <c r="D363" s="2377"/>
      <c r="E363" s="2377"/>
      <c r="F363" s="2377"/>
      <c r="G363" s="2377"/>
      <c r="H363" s="2377"/>
      <c r="I363" s="2377"/>
      <c r="J363" s="2377"/>
      <c r="K363" s="2377"/>
      <c r="L363" s="2377"/>
      <c r="M363" s="2377"/>
      <c r="N363" s="74"/>
      <c r="O363" s="70"/>
      <c r="P363" s="846"/>
    </row>
    <row r="364" spans="1:19" s="43" customFormat="1" ht="12" customHeight="1" thickBot="1">
      <c r="A364" s="152" t="s">
        <v>3782</v>
      </c>
      <c r="B364" s="105" t="s">
        <v>1630</v>
      </c>
      <c r="D364" s="88"/>
      <c r="E364" s="88"/>
      <c r="G364" s="52"/>
      <c r="I364" s="449"/>
      <c r="J364" s="449"/>
      <c r="K364" s="1230"/>
      <c r="L364" s="1229"/>
      <c r="M364" s="846">
        <v>1</v>
      </c>
      <c r="N364" s="393"/>
      <c r="O364" s="2292"/>
      <c r="P364" s="4176"/>
      <c r="Q364" s="109" t="s">
        <v>433</v>
      </c>
      <c r="R364" s="2927" t="s">
        <v>4765</v>
      </c>
      <c r="S364" s="2927"/>
    </row>
    <row r="365" spans="1:19" s="43" customFormat="1" ht="11.25" customHeight="1">
      <c r="A365" s="138"/>
      <c r="B365" s="113" t="s">
        <v>3451</v>
      </c>
      <c r="D365" s="88"/>
      <c r="E365" s="88"/>
      <c r="G365" s="52"/>
      <c r="I365" s="3083" t="s">
        <v>6800</v>
      </c>
      <c r="J365" s="2951"/>
      <c r="K365" s="2951"/>
      <c r="L365" s="3084"/>
      <c r="M365" s="426"/>
      <c r="N365" s="393"/>
      <c r="O365" s="1112" t="s">
        <v>2442</v>
      </c>
      <c r="P365" s="1112" t="s">
        <v>2442</v>
      </c>
      <c r="Q365" s="978"/>
      <c r="R365" s="2927"/>
      <c r="S365" s="2927"/>
    </row>
    <row r="366" spans="1:19" s="43" customFormat="1" ht="11.25" customHeight="1">
      <c r="A366" s="138"/>
      <c r="B366" s="372" t="s">
        <v>1937</v>
      </c>
      <c r="C366" s="55" t="s">
        <v>6801</v>
      </c>
      <c r="D366" s="88"/>
      <c r="E366" s="1813" t="s">
        <v>4345</v>
      </c>
      <c r="G366" s="52"/>
      <c r="I366" s="1228"/>
      <c r="J366" s="997"/>
      <c r="K366" s="997"/>
      <c r="L366" s="997"/>
      <c r="M366" s="2390"/>
      <c r="N366" s="1458"/>
      <c r="O366" s="2266"/>
      <c r="P366" s="518"/>
      <c r="Q366" s="1459"/>
      <c r="R366" s="2927"/>
      <c r="S366" s="2927"/>
    </row>
    <row r="367" spans="1:19" s="102" customFormat="1" ht="11.25" customHeight="1">
      <c r="A367" s="138"/>
      <c r="B367" s="51"/>
      <c r="C367" s="36"/>
      <c r="D367" s="51" t="s">
        <v>1325</v>
      </c>
      <c r="E367" s="36" t="s">
        <v>6802</v>
      </c>
      <c r="G367" s="52"/>
      <c r="H367" s="1055"/>
      <c r="I367" s="36"/>
      <c r="J367" s="36"/>
      <c r="K367" s="36"/>
      <c r="L367" s="2337"/>
      <c r="N367" s="1458"/>
      <c r="O367" s="2261"/>
      <c r="P367" s="520"/>
      <c r="Q367" s="1814"/>
      <c r="R367" s="2927"/>
      <c r="S367" s="2927"/>
    </row>
    <row r="368" spans="1:19" s="43" customFormat="1" ht="11.25" customHeight="1">
      <c r="B368" s="372" t="s">
        <v>1939</v>
      </c>
      <c r="C368" s="40" t="s">
        <v>4346</v>
      </c>
      <c r="D368" s="102"/>
      <c r="E368" s="88"/>
      <c r="F368" s="52"/>
      <c r="G368" s="52"/>
      <c r="N368" s="455"/>
      <c r="O368" s="1112" t="s">
        <v>2442</v>
      </c>
      <c r="P368" s="1112" t="s">
        <v>2442</v>
      </c>
    </row>
    <row r="369" spans="1:19" s="117" customFormat="1" ht="10.5" customHeight="1">
      <c r="B369" s="373" t="s">
        <v>2370</v>
      </c>
      <c r="C369" s="428" t="s">
        <v>3748</v>
      </c>
      <c r="H369" s="39"/>
      <c r="I369" s="39"/>
      <c r="J369" s="39"/>
      <c r="K369" s="39"/>
      <c r="N369" s="373" t="s">
        <v>2370</v>
      </c>
      <c r="O369" s="2266"/>
      <c r="P369" s="518"/>
    </row>
    <row r="370" spans="1:19" s="117" customFormat="1" ht="10.5" customHeight="1">
      <c r="B370" s="386" t="s">
        <v>2371</v>
      </c>
      <c r="C370" s="428" t="s">
        <v>3749</v>
      </c>
      <c r="N370" s="386" t="s">
        <v>2371</v>
      </c>
      <c r="O370" s="2265"/>
      <c r="P370" s="519"/>
    </row>
    <row r="371" spans="1:19" s="117" customFormat="1" ht="10.5" customHeight="1">
      <c r="B371" s="373" t="s">
        <v>2372</v>
      </c>
      <c r="C371" s="428" t="s">
        <v>4578</v>
      </c>
      <c r="N371" s="373" t="s">
        <v>2372</v>
      </c>
      <c r="O371" s="2261"/>
      <c r="P371" s="520"/>
    </row>
    <row r="372" spans="1:19" s="100" customFormat="1" ht="11.25" customHeight="1">
      <c r="B372" s="179" t="s">
        <v>3452</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3564</v>
      </c>
      <c r="C374" s="42"/>
      <c r="D374" s="48"/>
      <c r="E374" s="48"/>
      <c r="F374" s="48"/>
      <c r="G374" s="48"/>
      <c r="H374" s="36"/>
      <c r="I374" s="36"/>
      <c r="J374" s="36"/>
      <c r="K374" s="36"/>
      <c r="M374" s="46"/>
      <c r="N374" s="6"/>
      <c r="O374" s="3"/>
      <c r="P374" s="2374"/>
    </row>
    <row r="375" spans="1:19" s="43" customFormat="1" ht="10.95" customHeight="1" thickTop="1" thickBot="1">
      <c r="A375" s="2942" t="s">
        <v>7039</v>
      </c>
      <c r="B375" s="2943"/>
      <c r="C375" s="2943"/>
      <c r="D375" s="2943"/>
      <c r="E375" s="2943"/>
      <c r="F375" s="2943"/>
      <c r="G375" s="2943"/>
      <c r="H375" s="2943"/>
      <c r="I375" s="2943"/>
      <c r="J375" s="2943"/>
      <c r="K375" s="2943"/>
      <c r="L375" s="2943"/>
      <c r="M375" s="2943"/>
      <c r="N375" s="2943"/>
      <c r="O375" s="2943"/>
      <c r="P375" s="2944"/>
      <c r="Q375" s="1027" t="s">
        <v>1227</v>
      </c>
    </row>
    <row r="376" spans="1:19" s="102" customFormat="1" ht="10.5" customHeight="1" thickTop="1">
      <c r="A376" s="42"/>
      <c r="B376" s="97" t="s">
        <v>1818</v>
      </c>
      <c r="C376" s="42"/>
      <c r="D376" s="97"/>
      <c r="E376" s="2381"/>
      <c r="F376" s="2381"/>
      <c r="G376" s="2381"/>
      <c r="H376" s="2381"/>
      <c r="I376" s="2381"/>
      <c r="J376" s="2381"/>
      <c r="K376" s="2381"/>
      <c r="L376" s="2381"/>
      <c r="M376" s="2381"/>
      <c r="N376" s="93"/>
      <c r="O376" s="836"/>
      <c r="P376" s="2374"/>
      <c r="Q376" s="422"/>
    </row>
    <row r="377" spans="1:19" s="43" customFormat="1" ht="11.25" customHeight="1">
      <c r="A377" s="2879"/>
      <c r="B377" s="2880"/>
      <c r="C377" s="2880"/>
      <c r="D377" s="2880"/>
      <c r="E377" s="2880"/>
      <c r="F377" s="2880"/>
      <c r="G377" s="2880"/>
      <c r="H377" s="2880"/>
      <c r="I377" s="2880"/>
      <c r="J377" s="2880"/>
      <c r="K377" s="2880"/>
      <c r="L377" s="2880"/>
      <c r="M377" s="2880"/>
      <c r="N377" s="2880"/>
      <c r="O377" s="2880"/>
      <c r="P377" s="2881"/>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4333</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82" t="str">
        <f>IF(OR(O381="No",O381="",O382="No",O382="",O383="No",O383="",O384="No",O384=""),"Unmet criterion results in no points!","")</f>
        <v>Unmet criterion results in no points!</v>
      </c>
      <c r="M381" s="3082"/>
      <c r="N381" s="373" t="s">
        <v>2370</v>
      </c>
      <c r="O381" s="2266"/>
      <c r="P381" s="518"/>
      <c r="R381" s="3180" t="str">
        <f>IF(OR(P381="No",P381="",P382="No",P382="",P383="No",P383="",P384="No",P384=""),"Unmet criterion results in no points!","")</f>
        <v>Unmet criterion results in no points!</v>
      </c>
      <c r="S381" s="3180" t="e">
        <f>IF(OR(V381="No",V381="",V382="No",V382="",V383="No",V383="",V384="No",V384="",#REF!="No",#REF!="",#REF!="No",#REF!=""),"Unmet criterion results in no points!","")</f>
        <v>#REF!</v>
      </c>
    </row>
    <row r="382" spans="1:19" s="100" customFormat="1" ht="12.75" customHeight="1">
      <c r="B382" s="373" t="s">
        <v>2371</v>
      </c>
      <c r="C382" s="134" t="s">
        <v>3612</v>
      </c>
      <c r="L382" s="3082"/>
      <c r="M382" s="3082"/>
      <c r="N382" s="373" t="s">
        <v>2371</v>
      </c>
      <c r="O382" s="2265"/>
      <c r="P382" s="519"/>
      <c r="R382" s="3180"/>
      <c r="S382" s="3180"/>
    </row>
    <row r="383" spans="1:19" s="100" customFormat="1" ht="12.75" customHeight="1">
      <c r="B383" s="373" t="s">
        <v>2372</v>
      </c>
      <c r="C383" s="134" t="s">
        <v>3611</v>
      </c>
      <c r="L383" s="3082"/>
      <c r="M383" s="3082"/>
      <c r="N383" s="373" t="s">
        <v>2372</v>
      </c>
      <c r="O383" s="2265"/>
      <c r="P383" s="519"/>
      <c r="R383" s="3180"/>
      <c r="S383" s="3180"/>
    </row>
    <row r="384" spans="1:19" s="100" customFormat="1" ht="33.75" customHeight="1">
      <c r="B384" s="386" t="s">
        <v>2373</v>
      </c>
      <c r="C384" s="3093" t="s">
        <v>4332</v>
      </c>
      <c r="D384" s="3093"/>
      <c r="E384" s="3093"/>
      <c r="F384" s="3093"/>
      <c r="G384" s="3093"/>
      <c r="H384" s="3093"/>
      <c r="I384" s="3093"/>
      <c r="J384" s="3093"/>
      <c r="K384" s="3093"/>
      <c r="L384" s="3093"/>
      <c r="M384" s="3093"/>
      <c r="N384" s="386" t="s">
        <v>2373</v>
      </c>
      <c r="O384" s="2388"/>
      <c r="P384" s="2253"/>
    </row>
    <row r="385" spans="1:20" ht="3" customHeight="1">
      <c r="C385" s="3093"/>
      <c r="D385" s="3093"/>
      <c r="E385" s="3093"/>
      <c r="F385" s="3093"/>
      <c r="G385" s="3093"/>
      <c r="H385" s="3093"/>
      <c r="I385" s="3093"/>
      <c r="J385" s="3093"/>
      <c r="K385" s="3093"/>
      <c r="L385" s="3093"/>
      <c r="M385" s="3093"/>
    </row>
    <row r="386" spans="1:20" ht="12.75" customHeight="1">
      <c r="A386" s="996" t="s">
        <v>1934</v>
      </c>
      <c r="B386" s="177" t="s">
        <v>3752</v>
      </c>
      <c r="L386" s="374" t="str">
        <f>IF(O386&lt;=M386,"","* * Check Score! * *")</f>
        <v/>
      </c>
      <c r="M386" s="1074">
        <v>3</v>
      </c>
      <c r="N386" s="455" t="s">
        <v>1934</v>
      </c>
      <c r="O386" s="2291"/>
      <c r="P386" s="4185"/>
      <c r="Q386" s="978" t="str">
        <f>IF(O386&lt;=M386,"","*CHECK!*")</f>
        <v/>
      </c>
      <c r="R386" s="3179" t="s">
        <v>4765</v>
      </c>
      <c r="S386" s="3179"/>
      <c r="T386" s="1745"/>
    </row>
    <row r="387" spans="1:20" ht="12.75" customHeight="1">
      <c r="A387" s="996"/>
      <c r="B387" s="562" t="s">
        <v>1937</v>
      </c>
      <c r="C387" s="981" t="s">
        <v>4335</v>
      </c>
      <c r="D387" s="981"/>
      <c r="E387" s="981"/>
      <c r="F387" s="981"/>
      <c r="G387" s="981"/>
      <c r="H387" s="981"/>
      <c r="I387" s="981"/>
      <c r="N387" s="27"/>
      <c r="O387" s="27"/>
      <c r="P387" s="27"/>
      <c r="R387" s="3179"/>
      <c r="S387" s="3179"/>
      <c r="T387" s="1745"/>
    </row>
    <row r="388" spans="1:20" ht="12.75" customHeight="1">
      <c r="A388" s="996"/>
      <c r="B388" s="435"/>
      <c r="C388" s="981" t="s">
        <v>4334</v>
      </c>
      <c r="D388" s="981"/>
      <c r="E388" s="981"/>
      <c r="F388" s="981"/>
      <c r="G388" s="981"/>
      <c r="H388" s="981"/>
      <c r="I388" s="981"/>
      <c r="J388" s="3081" t="s">
        <v>1941</v>
      </c>
      <c r="K388" s="3081"/>
      <c r="M388" s="3081" t="s">
        <v>1941</v>
      </c>
      <c r="N388" s="3081"/>
      <c r="O388" s="3081"/>
      <c r="P388" s="3081"/>
      <c r="R388" s="3179"/>
      <c r="S388" s="3179"/>
      <c r="T388" s="1745"/>
    </row>
    <row r="389" spans="1:20" s="43" customFormat="1" ht="12.75" customHeight="1">
      <c r="A389" s="175"/>
      <c r="B389" s="373" t="s">
        <v>2370</v>
      </c>
      <c r="C389" s="36" t="s">
        <v>1450</v>
      </c>
      <c r="I389" s="373" t="s">
        <v>2370</v>
      </c>
      <c r="J389" s="3098"/>
      <c r="K389" s="3099"/>
      <c r="L389" s="373" t="s">
        <v>2370</v>
      </c>
      <c r="M389" s="4195"/>
      <c r="N389" s="4196"/>
      <c r="O389" s="4196"/>
      <c r="P389" s="4197"/>
      <c r="R389" s="374"/>
    </row>
    <row r="390" spans="1:20" ht="12.75" customHeight="1">
      <c r="A390" s="176"/>
      <c r="B390" s="386" t="s">
        <v>2371</v>
      </c>
      <c r="C390" s="36" t="s">
        <v>3454</v>
      </c>
      <c r="I390" s="386" t="s">
        <v>2371</v>
      </c>
      <c r="J390" s="2947"/>
      <c r="K390" s="2948"/>
      <c r="L390" s="386" t="s">
        <v>2371</v>
      </c>
      <c r="M390" s="4198"/>
      <c r="N390" s="4199"/>
      <c r="O390" s="4199"/>
      <c r="P390" s="4200"/>
      <c r="R390" s="374"/>
    </row>
    <row r="391" spans="1:20" ht="12.75" customHeight="1">
      <c r="B391" s="373" t="s">
        <v>2372</v>
      </c>
      <c r="C391" s="36" t="s">
        <v>4579</v>
      </c>
      <c r="I391" s="373" t="s">
        <v>2372</v>
      </c>
      <c r="J391" s="2947"/>
      <c r="K391" s="2948"/>
      <c r="L391" s="373" t="s">
        <v>2372</v>
      </c>
      <c r="M391" s="4198"/>
      <c r="N391" s="4199"/>
      <c r="O391" s="4199"/>
      <c r="P391" s="4200"/>
      <c r="R391" s="374"/>
    </row>
    <row r="392" spans="1:20" ht="12.75" customHeight="1">
      <c r="A392" s="176"/>
      <c r="B392" s="373" t="s">
        <v>2373</v>
      </c>
      <c r="C392" s="36" t="s">
        <v>3342</v>
      </c>
      <c r="I392" s="373" t="s">
        <v>2373</v>
      </c>
      <c r="J392" s="2947"/>
      <c r="K392" s="2948"/>
      <c r="L392" s="373" t="s">
        <v>2373</v>
      </c>
      <c r="M392" s="4198"/>
      <c r="N392" s="4199"/>
      <c r="O392" s="4199"/>
      <c r="P392" s="4200"/>
      <c r="R392" s="374"/>
    </row>
    <row r="393" spans="1:20" s="43" customFormat="1" ht="12.75" customHeight="1">
      <c r="A393" s="175"/>
      <c r="B393" s="386" t="s">
        <v>2374</v>
      </c>
      <c r="C393" s="36" t="s">
        <v>2645</v>
      </c>
      <c r="I393" s="386" t="s">
        <v>2374</v>
      </c>
      <c r="J393" s="2947"/>
      <c r="K393" s="2948"/>
      <c r="L393" s="386" t="s">
        <v>2374</v>
      </c>
      <c r="M393" s="4198"/>
      <c r="N393" s="4199"/>
      <c r="O393" s="4199"/>
      <c r="P393" s="4200"/>
      <c r="R393" s="374"/>
    </row>
    <row r="394" spans="1:20" ht="12.75" customHeight="1">
      <c r="B394" s="373" t="s">
        <v>2390</v>
      </c>
      <c r="C394" s="36" t="s">
        <v>1449</v>
      </c>
      <c r="I394" s="373" t="s">
        <v>2390</v>
      </c>
      <c r="J394" s="2947"/>
      <c r="K394" s="2948"/>
      <c r="L394" s="373" t="s">
        <v>2390</v>
      </c>
      <c r="M394" s="4198"/>
      <c r="N394" s="4199"/>
      <c r="O394" s="4199"/>
      <c r="P394" s="4200"/>
      <c r="R394" s="374"/>
    </row>
    <row r="395" spans="1:20" ht="12.75" customHeight="1">
      <c r="A395" s="176"/>
      <c r="B395" s="373" t="s">
        <v>2391</v>
      </c>
      <c r="C395" s="36" t="s">
        <v>3453</v>
      </c>
      <c r="I395" s="373" t="s">
        <v>2391</v>
      </c>
      <c r="J395" s="2947"/>
      <c r="K395" s="2948"/>
      <c r="L395" s="373" t="s">
        <v>2391</v>
      </c>
      <c r="M395" s="4198"/>
      <c r="N395" s="4199"/>
      <c r="O395" s="4199"/>
      <c r="P395" s="4200"/>
      <c r="R395" s="374"/>
    </row>
    <row r="396" spans="1:20" ht="12.75" customHeight="1">
      <c r="B396" s="385" t="s">
        <v>2392</v>
      </c>
      <c r="C396" s="36" t="s">
        <v>4336</v>
      </c>
      <c r="I396" s="385" t="s">
        <v>2392</v>
      </c>
      <c r="J396" s="2947"/>
      <c r="K396" s="2948"/>
      <c r="L396" s="385" t="s">
        <v>2392</v>
      </c>
      <c r="M396" s="4198"/>
      <c r="N396" s="4199"/>
      <c r="O396" s="4199"/>
      <c r="P396" s="4200"/>
      <c r="R396" s="374"/>
    </row>
    <row r="397" spans="1:20" ht="12.75" customHeight="1">
      <c r="B397" s="385" t="s">
        <v>2393</v>
      </c>
      <c r="C397" s="36" t="s">
        <v>4337</v>
      </c>
      <c r="I397" s="385" t="s">
        <v>2393</v>
      </c>
      <c r="J397" s="2947"/>
      <c r="K397" s="2948"/>
      <c r="L397" s="385" t="s">
        <v>2393</v>
      </c>
      <c r="M397" s="4198"/>
      <c r="N397" s="4199"/>
      <c r="O397" s="4199"/>
      <c r="P397" s="4200"/>
      <c r="R397" s="374"/>
    </row>
    <row r="398" spans="1:20" ht="12.75" customHeight="1" thickBot="1">
      <c r="B398" s="385" t="s">
        <v>3455</v>
      </c>
      <c r="C398" s="36" t="s">
        <v>4338</v>
      </c>
      <c r="I398" s="385" t="s">
        <v>3455</v>
      </c>
      <c r="J398" s="2947"/>
      <c r="K398" s="2948"/>
      <c r="L398" s="385" t="s">
        <v>3455</v>
      </c>
      <c r="M398" s="4201"/>
      <c r="N398" s="4202"/>
      <c r="O398" s="4202"/>
      <c r="P398" s="4203"/>
      <c r="R398" s="374"/>
    </row>
    <row r="399" spans="1:20" ht="12.75" customHeight="1" thickBot="1">
      <c r="B399" s="1110" t="s">
        <v>4339</v>
      </c>
      <c r="H399" s="1131" t="s">
        <v>2557</v>
      </c>
      <c r="J399" s="2939">
        <f>SUM(J389:K398)</f>
        <v>0</v>
      </c>
      <c r="K399" s="2940"/>
      <c r="M399" s="2939">
        <f>SUM($M389:$M398)</f>
        <v>0</v>
      </c>
      <c r="N399" s="3097"/>
      <c r="O399" s="3097"/>
      <c r="P399" s="2940"/>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1939</v>
      </c>
      <c r="C401" s="505" t="s">
        <v>2556</v>
      </c>
      <c r="M401" s="492"/>
      <c r="N401" s="492"/>
      <c r="O401" s="158"/>
      <c r="P401" s="492"/>
    </row>
    <row r="402" spans="1:23" s="43" customFormat="1" ht="12" customHeight="1">
      <c r="A402" s="42"/>
      <c r="C402" s="3112" t="s">
        <v>4449</v>
      </c>
      <c r="D402" s="3112"/>
      <c r="E402" s="3112"/>
      <c r="F402" s="428" t="s">
        <v>4371</v>
      </c>
      <c r="H402" s="27"/>
      <c r="I402" s="2338"/>
      <c r="J402" s="3100">
        <f>'Part IV-A-Uses of Funds'!$G$132</f>
        <v>5691701.1975492882</v>
      </c>
      <c r="K402" s="3101"/>
      <c r="L402" s="524"/>
      <c r="M402" s="492"/>
      <c r="N402" s="492"/>
      <c r="O402" s="1064"/>
      <c r="P402" s="492"/>
    </row>
    <row r="403" spans="1:23" ht="12.75" customHeight="1">
      <c r="C403" s="3112"/>
      <c r="D403" s="3112"/>
      <c r="E403" s="3112"/>
      <c r="F403" s="432" t="s">
        <v>4370</v>
      </c>
      <c r="I403" s="2339"/>
      <c r="J403" s="3107">
        <f>IF($J402=0,0,$J399/$J402)</f>
        <v>0</v>
      </c>
      <c r="K403" s="3108"/>
      <c r="M403" s="3109">
        <f>IF($J402=0,0,$M399/$J402)</f>
        <v>0</v>
      </c>
      <c r="N403" s="3110"/>
      <c r="O403" s="3110"/>
      <c r="P403" s="3111"/>
    </row>
    <row r="404" spans="1:23" s="43" customFormat="1" ht="12.75" customHeight="1">
      <c r="C404" s="3112"/>
      <c r="D404" s="3112"/>
      <c r="E404" s="3112"/>
      <c r="F404" s="1013" t="s">
        <v>4369</v>
      </c>
      <c r="I404" s="2340"/>
      <c r="J404" s="3104">
        <f>IF(L381="", IF($J403&gt;=0.1, 3,IF($J403&gt;=0.05, 2,IF($J403&gt;=0.02,1,0))),0)</f>
        <v>0</v>
      </c>
      <c r="K404" s="3106"/>
      <c r="L404" s="503"/>
      <c r="M404" s="3104">
        <f>IF(R381="", IF($M403&gt;=0.1, 3,IF($M403&gt;=0.05, 2,IF($M403&gt;=0.02,1,0))),0)</f>
        <v>0</v>
      </c>
      <c r="N404" s="3105"/>
      <c r="O404" s="3105"/>
      <c r="P404" s="3106"/>
    </row>
    <row r="405" spans="1:23" ht="3" customHeight="1" thickBot="1"/>
    <row r="406" spans="1:23" s="102" customFormat="1" ht="12.75" customHeight="1" thickBot="1">
      <c r="A406" s="138" t="s">
        <v>1936</v>
      </c>
      <c r="B406" s="179" t="s">
        <v>3456</v>
      </c>
      <c r="D406" s="39"/>
      <c r="E406" s="36"/>
      <c r="F406" s="846"/>
      <c r="H406" s="36"/>
      <c r="I406" s="846"/>
      <c r="J406" s="856"/>
      <c r="K406" s="856"/>
      <c r="L406" s="374" t="str">
        <f>IF(OR($O406=$M406,$O406=0,$O406=""),"","* * Check Score! * *")</f>
        <v/>
      </c>
      <c r="M406" s="565">
        <v>1</v>
      </c>
      <c r="N406" s="64" t="s">
        <v>1936</v>
      </c>
      <c r="O406" s="2292"/>
      <c r="P406" s="4176"/>
      <c r="Q406" s="109" t="s">
        <v>433</v>
      </c>
      <c r="R406" s="974" t="s">
        <v>4765</v>
      </c>
      <c r="V406" s="1023"/>
      <c r="W406" s="1023"/>
    </row>
    <row r="407" spans="1:23" s="43" customFormat="1" ht="22.5" customHeight="1">
      <c r="A407" s="138"/>
      <c r="B407" s="986" t="s">
        <v>2370</v>
      </c>
      <c r="C407" s="2713" t="s">
        <v>3753</v>
      </c>
      <c r="D407" s="2713"/>
      <c r="E407" s="2713"/>
      <c r="F407" s="2713"/>
      <c r="G407" s="2713"/>
      <c r="H407" s="2713"/>
      <c r="I407" s="2713"/>
      <c r="J407" s="2713"/>
      <c r="K407" s="2713"/>
      <c r="L407" s="2713"/>
      <c r="M407" s="2713"/>
      <c r="N407" s="386" t="s">
        <v>2370</v>
      </c>
      <c r="O407" s="2274"/>
      <c r="P407" s="4204"/>
      <c r="V407" s="1023"/>
      <c r="W407" s="1023"/>
    </row>
    <row r="408" spans="1:23" s="43" customFormat="1" ht="12.75" customHeight="1">
      <c r="A408" s="138"/>
      <c r="B408" s="373" t="s">
        <v>2371</v>
      </c>
      <c r="C408" s="52" t="s">
        <v>3604</v>
      </c>
      <c r="D408" s="52"/>
      <c r="E408" s="52"/>
      <c r="F408" s="52"/>
      <c r="G408" s="52"/>
      <c r="H408" s="52"/>
      <c r="I408" s="52"/>
      <c r="J408" s="52"/>
      <c r="K408" s="52"/>
      <c r="M408" s="52"/>
      <c r="N408" s="386" t="s">
        <v>2371</v>
      </c>
      <c r="O408" s="2261"/>
      <c r="P408" s="520"/>
      <c r="V408" s="1023"/>
      <c r="W408" s="1023"/>
    </row>
    <row r="409" spans="1:23" ht="12.75" customHeight="1">
      <c r="B409" s="373" t="s">
        <v>2372</v>
      </c>
      <c r="C409" s="427" t="s">
        <v>4340</v>
      </c>
      <c r="N409" s="373" t="s">
        <v>2372</v>
      </c>
      <c r="O409" s="2261"/>
      <c r="P409" s="520"/>
    </row>
    <row r="410" spans="1:23" ht="12" customHeight="1" thickBot="1">
      <c r="B410" s="1132" t="s">
        <v>3564</v>
      </c>
    </row>
    <row r="411" spans="1:23" s="43" customFormat="1" ht="21.75" customHeight="1" thickTop="1" thickBot="1">
      <c r="A411" s="2942" t="s">
        <v>7039</v>
      </c>
      <c r="B411" s="2943"/>
      <c r="C411" s="2943"/>
      <c r="D411" s="2943"/>
      <c r="E411" s="2943"/>
      <c r="F411" s="2943"/>
      <c r="G411" s="2943"/>
      <c r="H411" s="2943"/>
      <c r="I411" s="2943"/>
      <c r="J411" s="2943"/>
      <c r="K411" s="2943"/>
      <c r="L411" s="2943"/>
      <c r="M411" s="2943"/>
      <c r="N411" s="2943"/>
      <c r="O411" s="2943"/>
      <c r="P411" s="2944"/>
      <c r="Q411" s="1027" t="s">
        <v>1227</v>
      </c>
    </row>
    <row r="412" spans="1:23" s="102" customFormat="1" ht="11.25" customHeight="1" thickTop="1">
      <c r="A412" s="42"/>
      <c r="B412" s="494" t="s">
        <v>1818</v>
      </c>
      <c r="C412" s="98"/>
      <c r="D412" s="97"/>
      <c r="E412" s="2399"/>
      <c r="F412" s="2381"/>
      <c r="G412" s="2381"/>
      <c r="H412" s="2381"/>
      <c r="I412" s="2381"/>
      <c r="J412" s="2381"/>
      <c r="K412" s="2381"/>
      <c r="L412" s="2381"/>
      <c r="M412" s="2381"/>
      <c r="N412" s="93"/>
      <c r="O412" s="836"/>
      <c r="P412" s="2374"/>
      <c r="Q412" s="422"/>
    </row>
    <row r="413" spans="1:23" s="43" customFormat="1" ht="11.25" customHeight="1">
      <c r="A413" s="2879"/>
      <c r="B413" s="2880"/>
      <c r="C413" s="2880"/>
      <c r="D413" s="2880"/>
      <c r="E413" s="2880"/>
      <c r="F413" s="2880"/>
      <c r="G413" s="2880"/>
      <c r="H413" s="2880"/>
      <c r="I413" s="2880"/>
      <c r="J413" s="2880"/>
      <c r="K413" s="2880"/>
      <c r="L413" s="2880"/>
      <c r="M413" s="2880"/>
      <c r="N413" s="2880"/>
      <c r="O413" s="2880"/>
      <c r="P413" s="2881"/>
      <c r="Q413" s="440"/>
    </row>
    <row r="414" spans="1:23" s="43" customFormat="1" ht="3" customHeight="1" thickBot="1">
      <c r="A414" s="42"/>
      <c r="B414" s="42"/>
      <c r="C414" s="2377"/>
      <c r="D414" s="2377"/>
      <c r="E414" s="2377"/>
      <c r="F414" s="2377"/>
      <c r="G414" s="2377"/>
      <c r="H414" s="2377"/>
      <c r="I414" s="2377"/>
      <c r="J414" s="2377"/>
      <c r="K414" s="2377"/>
      <c r="L414" s="2377"/>
      <c r="M414" s="2377"/>
      <c r="N414" s="74"/>
      <c r="O414" s="70"/>
      <c r="P414" s="846"/>
    </row>
    <row r="415" spans="1:23" s="43" customFormat="1" ht="13.5" customHeight="1" thickBot="1">
      <c r="A415" s="1722" t="s">
        <v>3781</v>
      </c>
      <c r="B415" s="105" t="s">
        <v>2638</v>
      </c>
      <c r="D415" s="40"/>
      <c r="G415" s="61" t="s">
        <v>3278</v>
      </c>
      <c r="J415" s="36"/>
      <c r="K415" s="36"/>
      <c r="L415" s="36"/>
      <c r="M415" s="237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83" t="s">
        <v>4440</v>
      </c>
      <c r="E417" s="2951"/>
      <c r="F417" s="2951"/>
      <c r="G417" s="2951"/>
      <c r="H417" s="2951"/>
      <c r="I417" s="3084"/>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4580</v>
      </c>
      <c r="C419" s="389"/>
      <c r="D419" s="389"/>
      <c r="E419" s="389"/>
      <c r="F419" s="389"/>
      <c r="G419" s="389"/>
      <c r="H419" s="389"/>
      <c r="I419" s="389"/>
      <c r="M419" s="410">
        <v>2</v>
      </c>
      <c r="N419" s="160" t="s">
        <v>1934</v>
      </c>
      <c r="O419" s="2291"/>
      <c r="P419" s="4185"/>
      <c r="Q419" s="978" t="str">
        <f>IF(OR($O419=$M419,$O419=0,$O419=""),"","*CHECK!*")</f>
        <v/>
      </c>
      <c r="R419" s="974" t="s">
        <v>4765</v>
      </c>
    </row>
    <row r="420" spans="1:19" s="409" customFormat="1" ht="12" customHeight="1">
      <c r="A420" s="408"/>
      <c r="B420" s="2726" t="s">
        <v>4582</v>
      </c>
      <c r="C420" s="2726"/>
      <c r="D420" s="2726"/>
      <c r="E420" s="2726"/>
      <c r="F420" s="2726"/>
      <c r="G420" s="2726"/>
      <c r="H420" s="2726"/>
      <c r="I420" s="2726"/>
      <c r="J420" s="2726"/>
      <c r="K420" s="2726"/>
      <c r="L420" s="2726"/>
      <c r="M420" s="3089" t="s">
        <v>4441</v>
      </c>
      <c r="N420" s="3089"/>
      <c r="Q420" s="172"/>
    </row>
    <row r="421" spans="1:19" s="409" customFormat="1" ht="12" customHeight="1">
      <c r="B421" s="2726"/>
      <c r="C421" s="2726"/>
      <c r="D421" s="2726"/>
      <c r="E421" s="2726"/>
      <c r="F421" s="2726"/>
      <c r="G421" s="2726"/>
      <c r="H421" s="2726"/>
      <c r="I421" s="2726"/>
      <c r="J421" s="2726"/>
      <c r="K421" s="2726"/>
      <c r="L421" s="2726"/>
      <c r="M421" s="3089"/>
      <c r="N421" s="3089"/>
      <c r="O421" s="3102">
        <f>'Part VI-Revenues &amp; Expenses'!$P$123</f>
        <v>0</v>
      </c>
      <c r="P421" s="3103"/>
      <c r="Q421" s="172"/>
    </row>
    <row r="422" spans="1:19" s="409" customFormat="1" ht="12" customHeight="1">
      <c r="B422" s="2726"/>
      <c r="C422" s="2726"/>
      <c r="D422" s="2726"/>
      <c r="E422" s="2726"/>
      <c r="F422" s="2726"/>
      <c r="G422" s="2726"/>
      <c r="H422" s="2726"/>
      <c r="I422" s="2726"/>
      <c r="J422" s="2726"/>
      <c r="K422" s="2726"/>
      <c r="L422" s="2726"/>
      <c r="M422" s="983" t="s">
        <v>2729</v>
      </c>
      <c r="N422" s="410"/>
      <c r="O422" s="3087">
        <f>'Part VI-Revenues &amp; Expenses'!$P$67</f>
        <v>40</v>
      </c>
      <c r="P422" s="3088"/>
      <c r="Q422" s="172"/>
    </row>
    <row r="423" spans="1:19" s="409" customFormat="1" ht="12" customHeight="1">
      <c r="B423" s="3113"/>
      <c r="C423" s="3113"/>
      <c r="D423" s="3113"/>
      <c r="E423" s="3113"/>
      <c r="F423" s="3113"/>
      <c r="G423" s="3113"/>
      <c r="H423" s="3113"/>
      <c r="I423" s="3113"/>
      <c r="J423" s="3113"/>
      <c r="K423" s="3113"/>
      <c r="L423" s="3113"/>
      <c r="M423" s="1451" t="s">
        <v>2730</v>
      </c>
      <c r="N423" s="410"/>
      <c r="O423" s="3085">
        <f>IF(O422=0,0,O421/O422)</f>
        <v>0</v>
      </c>
      <c r="P423" s="3086"/>
      <c r="Q423" s="172"/>
    </row>
    <row r="424" spans="1:19" s="43" customFormat="1" ht="66.75" customHeight="1">
      <c r="A424" s="513"/>
      <c r="B424" s="2751" t="s">
        <v>3842</v>
      </c>
      <c r="C424" s="2752"/>
      <c r="D424" s="2752"/>
      <c r="E424" s="2752"/>
      <c r="F424" s="2752"/>
      <c r="G424" s="2752"/>
      <c r="H424" s="2752"/>
      <c r="I424" s="2752"/>
      <c r="J424" s="2752"/>
      <c r="K424" s="2752"/>
      <c r="L424" s="2752"/>
      <c r="M424" s="2752"/>
      <c r="N424" s="2752"/>
      <c r="O424" s="2752"/>
      <c r="P424" s="2753"/>
      <c r="Q424" s="440" t="s">
        <v>1227</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4581</v>
      </c>
      <c r="C426" s="139"/>
      <c r="D426" s="835"/>
      <c r="H426" s="389"/>
      <c r="M426" s="410">
        <v>2</v>
      </c>
      <c r="N426" s="160" t="s">
        <v>1936</v>
      </c>
      <c r="O426" s="2291"/>
      <c r="P426" s="4185"/>
      <c r="Q426" s="978" t="str">
        <f>IF(OR($O426=$M426,$O426=0,$O426=""),"","*CHECK!*")</f>
        <v/>
      </c>
      <c r="R426" s="974" t="s">
        <v>4765</v>
      </c>
    </row>
    <row r="427" spans="1:19" s="409" customFormat="1" ht="11.25" customHeight="1">
      <c r="A427" s="514"/>
      <c r="B427" s="2713" t="s">
        <v>4341</v>
      </c>
      <c r="C427" s="2713"/>
      <c r="D427" s="2713"/>
      <c r="E427" s="2713"/>
      <c r="F427" s="2713"/>
      <c r="G427" s="2713"/>
      <c r="H427" s="2713"/>
      <c r="I427" s="2713"/>
      <c r="J427" s="2713"/>
      <c r="K427" s="2713"/>
      <c r="L427" s="2713"/>
      <c r="M427" s="1504" t="s">
        <v>4342</v>
      </c>
      <c r="O427" s="3095">
        <f>'Part VI-Revenues &amp; Expenses'!$P$125</f>
        <v>0</v>
      </c>
      <c r="P427" s="3096"/>
      <c r="Q427" s="172"/>
    </row>
    <row r="428" spans="1:19" s="409" customFormat="1" ht="11.25" customHeight="1">
      <c r="A428" s="514"/>
      <c r="B428" s="2713"/>
      <c r="C428" s="2713"/>
      <c r="D428" s="2713"/>
      <c r="E428" s="2713"/>
      <c r="F428" s="2713"/>
      <c r="G428" s="2713"/>
      <c r="H428" s="2713"/>
      <c r="I428" s="2713"/>
      <c r="J428" s="2713"/>
      <c r="K428" s="2713"/>
      <c r="L428" s="2713"/>
      <c r="M428" s="1146" t="s">
        <v>2729</v>
      </c>
      <c r="N428" s="410"/>
      <c r="O428" s="3087">
        <f>'Part VI-Revenues &amp; Expenses'!$P$67</f>
        <v>40</v>
      </c>
      <c r="P428" s="3088"/>
      <c r="Q428" s="172"/>
    </row>
    <row r="429" spans="1:19" s="409" customFormat="1" ht="11.25" customHeight="1">
      <c r="A429" s="514"/>
      <c r="B429" s="2713"/>
      <c r="C429" s="2713"/>
      <c r="D429" s="2713"/>
      <c r="E429" s="2713"/>
      <c r="F429" s="2713"/>
      <c r="G429" s="2713"/>
      <c r="H429" s="2713"/>
      <c r="I429" s="2713"/>
      <c r="J429" s="2713"/>
      <c r="K429" s="2713"/>
      <c r="L429" s="2713"/>
      <c r="M429" s="1451" t="s">
        <v>2730</v>
      </c>
      <c r="N429" s="410"/>
      <c r="O429" s="3085">
        <f>IF(O428=0,0,L415/O428)</f>
        <v>0</v>
      </c>
      <c r="P429" s="3086"/>
      <c r="Q429" s="172"/>
    </row>
    <row r="430" spans="1:19" s="43" customFormat="1" ht="11.25" customHeight="1" thickBot="1">
      <c r="A430" s="42"/>
      <c r="B430" s="1132" t="s">
        <v>3564</v>
      </c>
      <c r="C430" s="42"/>
      <c r="D430" s="48"/>
      <c r="E430" s="48"/>
      <c r="F430" s="48"/>
      <c r="G430" s="48"/>
      <c r="H430" s="36"/>
      <c r="I430" s="36"/>
      <c r="J430" s="36"/>
      <c r="K430" s="36"/>
      <c r="M430" s="46"/>
      <c r="N430" s="62"/>
      <c r="O430" s="3"/>
      <c r="P430" s="2376"/>
    </row>
    <row r="431" spans="1:19" s="43" customFormat="1" ht="66.599999999999994" customHeight="1" thickTop="1" thickBot="1">
      <c r="A431" s="2942" t="s">
        <v>7039</v>
      </c>
      <c r="B431" s="2943"/>
      <c r="C431" s="2943"/>
      <c r="D431" s="2943"/>
      <c r="E431" s="2943"/>
      <c r="F431" s="2943"/>
      <c r="G431" s="2943"/>
      <c r="H431" s="2943"/>
      <c r="I431" s="2943"/>
      <c r="J431" s="2943"/>
      <c r="K431" s="2943"/>
      <c r="L431" s="2943"/>
      <c r="M431" s="2943"/>
      <c r="N431" s="2943"/>
      <c r="O431" s="2943"/>
      <c r="P431" s="2944"/>
      <c r="Q431" s="1027" t="s">
        <v>1227</v>
      </c>
      <c r="R431" s="441"/>
    </row>
    <row r="432" spans="1:19" s="43" customFormat="1" ht="10.5" customHeight="1" thickTop="1">
      <c r="B432" s="85" t="s">
        <v>1818</v>
      </c>
      <c r="C432" s="98"/>
      <c r="D432" s="85"/>
      <c r="E432" s="99"/>
      <c r="F432" s="2377"/>
      <c r="G432" s="2377"/>
      <c r="H432" s="2377"/>
      <c r="I432" s="2377"/>
      <c r="J432" s="2377"/>
      <c r="K432" s="2377"/>
      <c r="L432" s="2377"/>
      <c r="M432" s="2377"/>
      <c r="N432" s="74"/>
      <c r="O432" s="70"/>
      <c r="P432" s="2374"/>
      <c r="Q432" s="422"/>
    </row>
    <row r="433" spans="1:18" s="43" customFormat="1" ht="22.2" customHeight="1">
      <c r="A433" s="2879"/>
      <c r="B433" s="2880"/>
      <c r="C433" s="2880"/>
      <c r="D433" s="2880"/>
      <c r="E433" s="2880"/>
      <c r="F433" s="2880"/>
      <c r="G433" s="2880"/>
      <c r="H433" s="2880"/>
      <c r="I433" s="2880"/>
      <c r="J433" s="2880"/>
      <c r="K433" s="2880"/>
      <c r="L433" s="2880"/>
      <c r="M433" s="2880"/>
      <c r="N433" s="2880"/>
      <c r="O433" s="2880"/>
      <c r="P433" s="2881"/>
      <c r="Q433" s="440"/>
    </row>
    <row r="434" spans="1:18" s="43" customFormat="1" ht="3" customHeight="1" thickBot="1">
      <c r="A434" s="42"/>
      <c r="B434" s="42"/>
      <c r="C434" s="2377"/>
      <c r="D434" s="2377"/>
      <c r="E434" s="2377"/>
      <c r="F434" s="2377"/>
      <c r="G434" s="2377"/>
      <c r="H434" s="2377"/>
      <c r="I434" s="2377"/>
      <c r="J434" s="2377"/>
      <c r="K434" s="2377"/>
      <c r="L434" s="2377"/>
      <c r="M434" s="2377"/>
      <c r="N434" s="74"/>
      <c r="O434" s="70"/>
      <c r="P434" s="846"/>
    </row>
    <row r="435" spans="1:18" s="102" customFormat="1" ht="11.25" customHeight="1" thickBot="1">
      <c r="A435" s="153" t="s">
        <v>3784</v>
      </c>
      <c r="B435" s="105" t="s">
        <v>4716</v>
      </c>
      <c r="D435" s="45"/>
      <c r="E435" s="45"/>
      <c r="F435" s="39"/>
      <c r="G435" s="36"/>
      <c r="I435" s="36"/>
      <c r="J435" s="36"/>
      <c r="K435" s="36"/>
      <c r="L435" s="374" t="str">
        <f>IF(OR($O435=$M435,$O435&lt;=0,$O435=""),"","* * Check Score! * *")</f>
        <v/>
      </c>
      <c r="M435" s="237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4"/>
      <c r="N436" s="6"/>
      <c r="O436" s="6"/>
      <c r="P436" s="6"/>
      <c r="Q436" s="109"/>
    </row>
    <row r="437" spans="1:18" s="102" customFormat="1" ht="10.5" customHeight="1">
      <c r="A437" s="153"/>
      <c r="B437" s="86" t="s">
        <v>3481</v>
      </c>
      <c r="D437" s="45"/>
      <c r="E437" s="45"/>
      <c r="F437" s="39"/>
      <c r="G437" s="36"/>
      <c r="I437" s="36"/>
      <c r="J437" s="36"/>
      <c r="K437" s="36"/>
      <c r="L437" s="374"/>
      <c r="M437" s="2374"/>
      <c r="N437" s="6"/>
      <c r="O437" s="1087">
        <v>10</v>
      </c>
      <c r="P437" s="1087">
        <v>10</v>
      </c>
      <c r="Q437" s="109"/>
    </row>
    <row r="438" spans="1:18" s="102" customFormat="1" ht="10.5" customHeight="1">
      <c r="A438" s="153"/>
      <c r="B438" s="86" t="s">
        <v>3482</v>
      </c>
      <c r="D438" s="45"/>
      <c r="E438" s="45"/>
      <c r="F438" s="39"/>
      <c r="G438" s="36"/>
      <c r="I438" s="36"/>
      <c r="J438" s="36"/>
      <c r="K438" s="36"/>
      <c r="L438" s="374"/>
      <c r="M438" s="2374"/>
      <c r="N438" s="6"/>
      <c r="O438" s="2341"/>
      <c r="P438" s="4192"/>
      <c r="Q438" s="109"/>
    </row>
    <row r="439" spans="1:18" s="102" customFormat="1" ht="10.5" customHeight="1">
      <c r="A439" s="153"/>
      <c r="B439" s="86" t="s">
        <v>3483</v>
      </c>
      <c r="D439" s="45"/>
      <c r="E439" s="45"/>
      <c r="F439" s="39"/>
      <c r="G439" s="36"/>
      <c r="I439" s="36"/>
      <c r="J439" s="36"/>
      <c r="K439" s="36"/>
      <c r="L439" s="374"/>
      <c r="M439" s="2374"/>
      <c r="N439" s="6"/>
      <c r="O439" s="2342">
        <v>5</v>
      </c>
      <c r="P439" s="4162"/>
      <c r="Q439" s="109"/>
    </row>
    <row r="440" spans="1:18" s="102" customFormat="1" ht="10.5" customHeight="1">
      <c r="A440" s="66"/>
      <c r="B440" s="66" t="s">
        <v>1818</v>
      </c>
      <c r="C440" s="50"/>
      <c r="D440" s="66"/>
      <c r="E440" s="2381"/>
      <c r="F440" s="2381"/>
      <c r="G440" s="2381"/>
      <c r="H440" s="2381"/>
      <c r="I440" s="2381"/>
      <c r="J440" s="2381"/>
      <c r="K440" s="2381"/>
      <c r="L440" s="2381"/>
      <c r="M440" s="2381"/>
      <c r="N440" s="93"/>
      <c r="O440" s="836"/>
      <c r="P440" s="2374"/>
    </row>
    <row r="441" spans="1:18" s="43" customFormat="1" ht="10.95" customHeight="1">
      <c r="A441" s="2879"/>
      <c r="B441" s="2880"/>
      <c r="C441" s="2880"/>
      <c r="D441" s="2880"/>
      <c r="E441" s="2880"/>
      <c r="F441" s="2880"/>
      <c r="G441" s="2880"/>
      <c r="H441" s="2880"/>
      <c r="I441" s="2880"/>
      <c r="J441" s="2880"/>
      <c r="K441" s="2880"/>
      <c r="L441" s="2880"/>
      <c r="M441" s="2880"/>
      <c r="N441" s="2880"/>
      <c r="O441" s="2880"/>
      <c r="P441" s="2881"/>
      <c r="Q441" s="1027" t="s">
        <v>1227</v>
      </c>
      <c r="R441" s="441"/>
    </row>
    <row r="442" spans="1:18" s="43" customFormat="1" ht="6" customHeight="1" thickBot="1">
      <c r="A442" s="153"/>
      <c r="B442" s="42"/>
      <c r="C442" s="2377"/>
      <c r="D442" s="2377"/>
      <c r="E442" s="2377"/>
      <c r="F442" s="2377"/>
      <c r="G442" s="2377"/>
      <c r="H442" s="2377"/>
      <c r="I442" s="2377"/>
      <c r="J442" s="2377"/>
      <c r="K442" s="2377"/>
      <c r="L442" s="2377"/>
      <c r="M442" s="2377"/>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20</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4"/>
      <c r="O444" s="2374"/>
      <c r="P444" s="453">
        <f>P232</f>
        <v>0</v>
      </c>
    </row>
    <row r="445" spans="1:18" s="42" customFormat="1" ht="11.25" customHeight="1">
      <c r="A445" s="54"/>
      <c r="B445" s="67"/>
      <c r="C445" s="54"/>
      <c r="D445" s="35"/>
      <c r="E445" s="35"/>
      <c r="F445" s="69"/>
      <c r="G445" s="69"/>
      <c r="H445" s="165" t="s">
        <v>3837</v>
      </c>
      <c r="J445" s="68"/>
      <c r="K445" s="68"/>
      <c r="L445" s="43"/>
      <c r="M445" s="35"/>
      <c r="N445" s="2374"/>
      <c r="O445" s="453"/>
      <c r="P445" s="453">
        <f>P346</f>
        <v>0</v>
      </c>
    </row>
    <row r="446" spans="1:18" s="43" customFormat="1" ht="11.25" customHeight="1">
      <c r="A446" s="42"/>
      <c r="D446" s="39"/>
      <c r="E446" s="36"/>
      <c r="F446" s="846"/>
      <c r="H446" s="165" t="s">
        <v>3839</v>
      </c>
      <c r="I446" s="846"/>
      <c r="J446" s="856"/>
      <c r="K446" s="856"/>
      <c r="L446" s="856"/>
      <c r="M446" s="60"/>
      <c r="N446" s="846"/>
      <c r="O446" s="2376"/>
      <c r="P446" s="1087">
        <f>P443-P444-P445</f>
        <v>20</v>
      </c>
    </row>
    <row r="447" spans="1:18" s="158" customFormat="1" ht="2.25" customHeight="1">
      <c r="A447" s="54"/>
      <c r="B447" s="67"/>
      <c r="C447" s="54"/>
      <c r="D447" s="147"/>
      <c r="E447" s="147"/>
      <c r="F447" s="40"/>
      <c r="G447" s="40"/>
      <c r="H447" s="69"/>
      <c r="I447" s="69"/>
      <c r="J447" s="470"/>
      <c r="K447" s="470"/>
      <c r="L447" s="43"/>
      <c r="M447" s="147"/>
      <c r="N447" s="2374"/>
      <c r="O447" s="2374"/>
      <c r="P447" s="3"/>
    </row>
    <row r="448" spans="1:18" s="43" customFormat="1" ht="22.5" customHeight="1">
      <c r="A448" s="3094" t="s">
        <v>6846</v>
      </c>
      <c r="B448" s="3094"/>
      <c r="C448" s="3094"/>
      <c r="D448" s="3094"/>
      <c r="E448" s="3094"/>
      <c r="F448" s="3094"/>
      <c r="G448" s="3094"/>
      <c r="H448" s="3094"/>
      <c r="I448" s="3094"/>
      <c r="J448" s="3094"/>
      <c r="K448" s="3094"/>
      <c r="L448" s="3094"/>
      <c r="M448" s="3094"/>
      <c r="N448" s="3094"/>
      <c r="O448" s="3094"/>
      <c r="P448" s="3094"/>
    </row>
    <row r="449" spans="1:20" s="43" customFormat="1" ht="409.2" customHeight="1">
      <c r="A449" s="2710" t="s">
        <v>7040</v>
      </c>
      <c r="B449" s="2711"/>
      <c r="C449" s="2711"/>
      <c r="D449" s="2711"/>
      <c r="E449" s="2711"/>
      <c r="F449" s="2711"/>
      <c r="G449" s="2711"/>
      <c r="H449" s="2711"/>
      <c r="I449" s="2711"/>
      <c r="J449" s="2711"/>
      <c r="K449" s="2711"/>
      <c r="L449" s="2711"/>
      <c r="M449" s="2711"/>
      <c r="N449" s="2711"/>
      <c r="O449" s="2711"/>
      <c r="P449" s="2712"/>
      <c r="Q449" s="440" t="s">
        <v>1227</v>
      </c>
      <c r="R449" s="441"/>
    </row>
    <row r="450" spans="1:20" s="158" customFormat="1">
      <c r="C450" s="446" t="s">
        <v>2040</v>
      </c>
      <c r="D450" s="446"/>
      <c r="E450" s="446"/>
      <c r="F450" s="446"/>
      <c r="G450" s="446"/>
      <c r="H450" s="446"/>
      <c r="I450" s="446"/>
      <c r="J450" s="1763" t="s">
        <v>1611</v>
      </c>
      <c r="K450" s="446"/>
      <c r="L450" s="446"/>
      <c r="M450" s="446"/>
      <c r="N450" s="447"/>
      <c r="O450" s="1760"/>
      <c r="P450" s="1760"/>
      <c r="Q450" s="1761"/>
      <c r="R450" s="1762"/>
      <c r="S450" s="1762"/>
      <c r="T450" s="1762"/>
    </row>
    <row r="451" spans="1:20" s="158" customFormat="1">
      <c r="C451" s="446" t="s">
        <v>2041</v>
      </c>
      <c r="D451" s="446"/>
      <c r="E451" s="446"/>
      <c r="F451" s="446"/>
      <c r="G451" s="446"/>
      <c r="H451" s="446"/>
      <c r="I451" s="446"/>
      <c r="J451" s="1763" t="s">
        <v>1612</v>
      </c>
      <c r="K451" s="446"/>
      <c r="L451" s="446"/>
      <c r="M451" s="446"/>
      <c r="N451" s="447"/>
      <c r="O451" s="1760"/>
      <c r="P451" s="1760"/>
      <c r="Q451" s="1761"/>
      <c r="R451" s="1762"/>
      <c r="S451" s="1762"/>
      <c r="T451" s="1762"/>
    </row>
    <row r="452" spans="1:20" s="158" customFormat="1">
      <c r="C452" s="1764" t="s">
        <v>2042</v>
      </c>
      <c r="D452" s="446"/>
      <c r="E452" s="446"/>
      <c r="F452" s="446"/>
      <c r="G452" s="446"/>
      <c r="H452" s="446"/>
      <c r="I452" s="446"/>
      <c r="J452" s="1763" t="s">
        <v>2438</v>
      </c>
      <c r="K452" s="446"/>
      <c r="L452" s="446"/>
      <c r="M452" s="446"/>
      <c r="N452" s="447"/>
      <c r="O452" s="1760"/>
      <c r="P452" s="1760"/>
      <c r="Q452" s="1761"/>
      <c r="R452" s="1762"/>
      <c r="S452" s="1762"/>
      <c r="T452" s="1762"/>
    </row>
    <row r="453" spans="1:20" s="158" customFormat="1">
      <c r="C453" s="1764" t="s">
        <v>2043</v>
      </c>
      <c r="D453" s="446"/>
      <c r="E453" s="446"/>
      <c r="F453" s="446"/>
      <c r="G453" s="446"/>
      <c r="H453" s="446"/>
      <c r="I453" s="446"/>
      <c r="J453" s="1763" t="s">
        <v>1613</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1614</v>
      </c>
      <c r="K454" s="446"/>
      <c r="L454" s="446"/>
      <c r="M454" s="446"/>
      <c r="N454" s="447"/>
      <c r="O454" s="1760"/>
      <c r="P454" s="1760"/>
      <c r="Q454" s="1761"/>
      <c r="R454" s="1762"/>
      <c r="S454" s="1762"/>
      <c r="T454" s="1762"/>
    </row>
    <row r="455" spans="1:20" s="158" customFormat="1">
      <c r="C455" s="446" t="s">
        <v>1726</v>
      </c>
      <c r="D455" s="446"/>
      <c r="E455" s="446"/>
      <c r="F455" s="446"/>
      <c r="G455" s="446"/>
      <c r="H455" s="446"/>
      <c r="I455" s="446"/>
      <c r="J455" s="1763" t="s">
        <v>1615</v>
      </c>
      <c r="K455" s="446"/>
      <c r="L455" s="446"/>
      <c r="M455" s="446"/>
      <c r="N455" s="447"/>
      <c r="O455" s="1760"/>
      <c r="P455" s="1760"/>
      <c r="Q455" s="1761"/>
      <c r="R455" s="1762"/>
      <c r="S455" s="1762"/>
      <c r="T455" s="1762"/>
    </row>
    <row r="456" spans="1:20" s="158" customFormat="1">
      <c r="C456" s="1765" t="s">
        <v>1362</v>
      </c>
      <c r="D456" s="446"/>
      <c r="E456" s="446"/>
      <c r="F456" s="446"/>
      <c r="G456" s="446"/>
      <c r="H456" s="446"/>
      <c r="I456" s="446"/>
      <c r="J456" s="1763" t="s">
        <v>1616</v>
      </c>
      <c r="K456" s="446"/>
      <c r="L456" s="446"/>
      <c r="M456" s="446"/>
      <c r="N456" s="447"/>
      <c r="O456" s="1760"/>
      <c r="P456" s="1760"/>
      <c r="Q456" s="1761"/>
      <c r="R456" s="1762"/>
      <c r="S456" s="1762"/>
      <c r="T456" s="1762"/>
    </row>
    <row r="457" spans="1:20" s="158" customFormat="1">
      <c r="C457" s="1765" t="s">
        <v>1363</v>
      </c>
      <c r="D457" s="446"/>
      <c r="E457" s="446"/>
      <c r="F457" s="446"/>
      <c r="G457" s="446"/>
      <c r="H457" s="446"/>
      <c r="I457" s="446"/>
      <c r="J457" s="1763" t="s">
        <v>1617</v>
      </c>
      <c r="K457" s="446"/>
      <c r="L457" s="446"/>
      <c r="M457" s="446"/>
      <c r="N457" s="447"/>
      <c r="O457" s="1760"/>
      <c r="P457" s="1760"/>
      <c r="Q457" s="1761"/>
      <c r="R457" s="1762"/>
      <c r="S457" s="1762"/>
      <c r="T457" s="1762"/>
    </row>
    <row r="458" spans="1:20" s="158" customFormat="1">
      <c r="C458" s="1766" t="s">
        <v>2081</v>
      </c>
      <c r="D458" s="446"/>
      <c r="E458" s="446"/>
      <c r="F458" s="446"/>
      <c r="G458" s="446"/>
      <c r="H458" s="446"/>
      <c r="I458" s="446"/>
      <c r="J458" s="1763" t="s">
        <v>1618</v>
      </c>
      <c r="K458" s="446"/>
      <c r="L458" s="446"/>
      <c r="M458" s="446"/>
      <c r="N458" s="447"/>
      <c r="O458" s="1760"/>
      <c r="P458" s="1760"/>
      <c r="Q458" s="1761"/>
      <c r="R458" s="1762"/>
      <c r="S458" s="1762"/>
      <c r="T458" s="1762"/>
    </row>
    <row r="459" spans="1:20" s="158" customFormat="1">
      <c r="C459" s="1766" t="s">
        <v>1359</v>
      </c>
      <c r="D459" s="446"/>
      <c r="E459" s="446"/>
      <c r="F459" s="446"/>
      <c r="G459" s="446"/>
      <c r="H459" s="446"/>
      <c r="I459" s="446"/>
      <c r="J459" s="1763" t="s">
        <v>573</v>
      </c>
      <c r="K459" s="446"/>
      <c r="L459" s="446"/>
      <c r="M459" s="446"/>
      <c r="N459" s="447"/>
      <c r="O459" s="1760"/>
      <c r="P459" s="1760"/>
      <c r="Q459" s="1761"/>
      <c r="R459" s="1762"/>
      <c r="S459" s="1762"/>
      <c r="T459" s="1762"/>
    </row>
    <row r="460" spans="1:20" s="158" customFormat="1">
      <c r="C460" s="1766" t="s">
        <v>1360</v>
      </c>
      <c r="D460" s="446"/>
      <c r="E460" s="446"/>
      <c r="F460" s="446"/>
      <c r="G460" s="446"/>
      <c r="H460" s="446"/>
      <c r="I460" s="446"/>
      <c r="J460" s="1763" t="s">
        <v>1619</v>
      </c>
      <c r="K460" s="446"/>
      <c r="L460" s="446"/>
      <c r="M460" s="446"/>
      <c r="N460" s="447"/>
      <c r="O460" s="1760"/>
      <c r="P460" s="1760"/>
      <c r="Q460" s="1761"/>
      <c r="R460" s="1762"/>
      <c r="S460" s="1762"/>
      <c r="T460" s="1762"/>
    </row>
    <row r="461" spans="1:20" s="158" customFormat="1">
      <c r="C461" s="1765" t="s">
        <v>2076</v>
      </c>
      <c r="D461" s="446"/>
      <c r="E461" s="446"/>
      <c r="F461" s="446"/>
      <c r="G461" s="446"/>
      <c r="H461" s="446"/>
      <c r="I461" s="446"/>
      <c r="J461" s="1763" t="s">
        <v>1620</v>
      </c>
      <c r="K461" s="446"/>
      <c r="L461" s="446"/>
      <c r="M461" s="446"/>
      <c r="N461" s="447"/>
      <c r="O461" s="1760"/>
      <c r="P461" s="1760"/>
      <c r="Q461" s="1761"/>
      <c r="R461" s="1762"/>
      <c r="S461" s="1762"/>
      <c r="T461" s="1762"/>
    </row>
    <row r="462" spans="1:20" s="158" customFormat="1">
      <c r="C462" s="1765" t="s">
        <v>2077</v>
      </c>
      <c r="D462" s="446"/>
      <c r="E462" s="446"/>
      <c r="F462" s="446"/>
      <c r="G462" s="446"/>
      <c r="H462" s="446"/>
      <c r="I462" s="446"/>
      <c r="J462" s="1763" t="s">
        <v>1621</v>
      </c>
      <c r="K462" s="446"/>
      <c r="L462" s="446"/>
      <c r="M462" s="446"/>
      <c r="N462" s="447"/>
      <c r="O462" s="1760"/>
      <c r="P462" s="1760"/>
      <c r="Q462" s="1761"/>
      <c r="R462" s="1762"/>
      <c r="S462" s="1762"/>
      <c r="T462" s="1762"/>
    </row>
    <row r="463" spans="1:20" s="158" customFormat="1">
      <c r="C463" s="1765" t="s">
        <v>2078</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2079</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2080</v>
      </c>
      <c r="D465" s="446"/>
      <c r="E465" s="446"/>
      <c r="F465" s="446"/>
      <c r="G465" s="446"/>
      <c r="H465" s="446"/>
      <c r="I465" s="446"/>
      <c r="J465" s="1767" t="s">
        <v>3298</v>
      </c>
      <c r="K465" s="446"/>
      <c r="L465" s="446"/>
      <c r="M465" s="446"/>
      <c r="N465" s="447"/>
      <c r="O465" s="1767" t="s">
        <v>3576</v>
      </c>
      <c r="P465" s="1760"/>
      <c r="Q465" s="1761"/>
      <c r="R465" s="1762"/>
      <c r="S465" s="1762"/>
      <c r="T465" s="1762"/>
    </row>
    <row r="466" spans="3:20" s="158" customFormat="1">
      <c r="C466" s="1765" t="s">
        <v>1361</v>
      </c>
      <c r="D466" s="446"/>
      <c r="E466" s="446"/>
      <c r="F466" s="446"/>
      <c r="G466" s="446"/>
      <c r="H466" s="446"/>
      <c r="I466" s="446"/>
      <c r="J466" s="1763" t="s">
        <v>3299</v>
      </c>
      <c r="K466" s="446"/>
      <c r="L466" s="446"/>
      <c r="M466" s="446"/>
      <c r="N466" s="447"/>
      <c r="O466" s="1760"/>
      <c r="P466" s="1760"/>
      <c r="Q466" s="1761"/>
      <c r="R466" s="1762"/>
      <c r="S466" s="1762"/>
      <c r="T466" s="1762"/>
    </row>
    <row r="467" spans="3:20" s="158" customFormat="1">
      <c r="C467" s="1765" t="s">
        <v>2222</v>
      </c>
      <c r="D467" s="446"/>
      <c r="E467" s="446"/>
      <c r="F467" s="446"/>
      <c r="G467" s="446"/>
      <c r="H467" s="446"/>
      <c r="I467" s="446"/>
      <c r="J467" s="446" t="s">
        <v>3283</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3284</v>
      </c>
      <c r="K468" s="446"/>
      <c r="L468" s="446"/>
      <c r="M468" s="446"/>
      <c r="N468" s="447"/>
      <c r="O468" s="1760">
        <v>2</v>
      </c>
      <c r="P468" s="1760"/>
      <c r="Q468" s="1761"/>
      <c r="R468" s="1762"/>
      <c r="S468" s="1762"/>
      <c r="T468" s="1762"/>
    </row>
    <row r="469" spans="3:20" s="158" customFormat="1">
      <c r="C469" s="446"/>
      <c r="D469" s="446"/>
      <c r="E469" s="446"/>
      <c r="F469" s="446"/>
      <c r="G469" s="2929" t="s">
        <v>1471</v>
      </c>
      <c r="H469" s="2929"/>
      <c r="I469" s="2929"/>
      <c r="J469" s="446" t="s">
        <v>3285</v>
      </c>
      <c r="K469" s="446"/>
      <c r="L469" s="446"/>
      <c r="M469" s="446"/>
      <c r="N469" s="447"/>
      <c r="O469" s="1760">
        <v>2</v>
      </c>
      <c r="P469" s="1760"/>
      <c r="Q469" s="1761"/>
      <c r="R469" s="1762"/>
      <c r="S469" s="1762"/>
      <c r="T469" s="1762"/>
    </row>
    <row r="470" spans="3:20" s="158" customFormat="1">
      <c r="C470" s="446" t="s">
        <v>2693</v>
      </c>
      <c r="D470" s="446"/>
      <c r="E470" s="446"/>
      <c r="F470" s="446"/>
      <c r="G470" s="1768" t="s">
        <v>4771</v>
      </c>
      <c r="H470" s="1769" t="s">
        <v>4772</v>
      </c>
      <c r="I470" s="1768" t="s">
        <v>4770</v>
      </c>
      <c r="J470" s="446" t="s">
        <v>3286</v>
      </c>
      <c r="K470" s="446"/>
      <c r="L470" s="1768"/>
      <c r="M470" s="446"/>
      <c r="N470" s="447"/>
      <c r="O470" s="1760">
        <v>2</v>
      </c>
      <c r="P470" s="1760"/>
      <c r="Q470" s="1761"/>
      <c r="R470" s="1762"/>
      <c r="S470" s="1762"/>
      <c r="T470" s="1762"/>
    </row>
    <row r="471" spans="3:20" s="158" customFormat="1">
      <c r="C471" s="1770" t="s">
        <v>2695</v>
      </c>
      <c r="D471" s="446"/>
      <c r="E471" s="446"/>
      <c r="F471" s="446"/>
      <c r="G471" s="1771" t="s">
        <v>2454</v>
      </c>
      <c r="H471" s="1769"/>
      <c r="I471" s="1771"/>
      <c r="J471" s="446" t="s">
        <v>3574</v>
      </c>
      <c r="K471" s="446"/>
      <c r="L471" s="1771"/>
      <c r="M471" s="446"/>
      <c r="N471" s="447"/>
      <c r="O471" s="1760">
        <v>2</v>
      </c>
      <c r="P471" s="1760"/>
      <c r="Q471" s="1761"/>
      <c r="R471" s="1762"/>
      <c r="S471" s="1762"/>
      <c r="T471" s="1762"/>
    </row>
    <row r="472" spans="3:20" s="158" customFormat="1">
      <c r="C472" s="1770" t="s">
        <v>2696</v>
      </c>
      <c r="D472" s="446"/>
      <c r="E472" s="446"/>
      <c r="F472" s="446"/>
      <c r="G472" s="1771" t="s">
        <v>454</v>
      </c>
      <c r="H472" s="447" t="s">
        <v>4774</v>
      </c>
      <c r="I472" s="1768" t="s">
        <v>2613</v>
      </c>
      <c r="J472" s="1769" t="s">
        <v>3287</v>
      </c>
      <c r="K472" s="446"/>
      <c r="L472" s="1772"/>
      <c r="M472" s="446"/>
      <c r="N472" s="447"/>
      <c r="O472" s="1760">
        <v>1</v>
      </c>
      <c r="P472" s="1760"/>
      <c r="Q472" s="1761"/>
      <c r="R472" s="1762"/>
      <c r="S472" s="1762"/>
      <c r="T472" s="1762"/>
    </row>
    <row r="473" spans="3:20" s="158" customFormat="1">
      <c r="C473" s="1770" t="s">
        <v>2697</v>
      </c>
      <c r="D473" s="446"/>
      <c r="E473" s="446"/>
      <c r="F473" s="446"/>
      <c r="G473" s="1771" t="s">
        <v>1737</v>
      </c>
      <c r="H473" s="447">
        <v>2020</v>
      </c>
      <c r="I473" s="447" t="s">
        <v>4773</v>
      </c>
      <c r="J473" s="1769" t="s">
        <v>3288</v>
      </c>
      <c r="K473" s="446"/>
      <c r="L473" s="1772"/>
      <c r="M473" s="446"/>
      <c r="N473" s="447"/>
      <c r="O473" s="1760">
        <v>1</v>
      </c>
      <c r="P473" s="1760"/>
      <c r="Q473" s="1761"/>
      <c r="R473" s="1762"/>
      <c r="S473" s="1762"/>
      <c r="T473" s="1762"/>
    </row>
    <row r="474" spans="3:20" s="158" customFormat="1">
      <c r="C474" s="1770" t="s">
        <v>2698</v>
      </c>
      <c r="D474" s="446"/>
      <c r="E474" s="446"/>
      <c r="F474" s="446"/>
      <c r="G474" s="1771" t="s">
        <v>2486</v>
      </c>
      <c r="H474" s="447" t="s">
        <v>1689</v>
      </c>
      <c r="I474" s="1768" t="s">
        <v>2613</v>
      </c>
      <c r="J474" s="1769" t="s">
        <v>3289</v>
      </c>
      <c r="K474" s="446"/>
      <c r="L474" s="1772"/>
      <c r="M474" s="446"/>
      <c r="N474" s="447"/>
      <c r="O474" s="1760">
        <v>1</v>
      </c>
      <c r="P474" s="1760"/>
      <c r="Q474" s="1761"/>
      <c r="R474" s="1762"/>
      <c r="S474" s="1762"/>
      <c r="T474" s="1762"/>
    </row>
    <row r="475" spans="3:20" s="158" customFormat="1">
      <c r="C475" s="1770" t="s">
        <v>2699</v>
      </c>
      <c r="D475" s="446"/>
      <c r="E475" s="446"/>
      <c r="F475" s="446"/>
      <c r="G475" s="1771" t="s">
        <v>1013</v>
      </c>
      <c r="H475" s="447">
        <v>2020</v>
      </c>
      <c r="I475" s="447" t="s">
        <v>4773</v>
      </c>
      <c r="J475" s="1769" t="s">
        <v>3575</v>
      </c>
      <c r="K475" s="446"/>
      <c r="L475" s="1772"/>
      <c r="M475" s="446"/>
      <c r="N475" s="447"/>
      <c r="O475" s="1760">
        <v>1</v>
      </c>
      <c r="P475" s="1760"/>
      <c r="Q475" s="1761"/>
      <c r="R475" s="1762"/>
      <c r="S475" s="1762"/>
      <c r="T475" s="1762"/>
    </row>
    <row r="476" spans="3:20" s="158" customFormat="1">
      <c r="C476" s="1770" t="s">
        <v>2700</v>
      </c>
      <c r="D476" s="446"/>
      <c r="E476" s="446"/>
      <c r="F476" s="446"/>
      <c r="G476" s="1771" t="s">
        <v>3610</v>
      </c>
      <c r="H476" s="447">
        <v>2019</v>
      </c>
      <c r="I476" s="447" t="s">
        <v>4773</v>
      </c>
      <c r="J476" s="1769" t="s">
        <v>3297</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1689</v>
      </c>
      <c r="I477" s="1768" t="s">
        <v>2613</v>
      </c>
      <c r="J477" s="1769" t="s">
        <v>3290</v>
      </c>
      <c r="K477" s="446"/>
      <c r="L477" s="1772"/>
      <c r="M477" s="446"/>
      <c r="N477" s="447"/>
      <c r="O477" s="1760">
        <v>1</v>
      </c>
      <c r="P477" s="1760"/>
      <c r="Q477" s="1761"/>
      <c r="R477" s="1762"/>
      <c r="S477" s="1762"/>
      <c r="T477" s="1762"/>
    </row>
    <row r="478" spans="3:20" s="158" customFormat="1">
      <c r="C478" s="1770"/>
      <c r="D478" s="446"/>
      <c r="E478" s="446"/>
      <c r="F478" s="446"/>
      <c r="G478" s="1771" t="s">
        <v>1713</v>
      </c>
      <c r="H478" s="447">
        <v>2020</v>
      </c>
      <c r="I478" s="447" t="s">
        <v>4773</v>
      </c>
      <c r="J478" s="1769" t="s">
        <v>3291</v>
      </c>
      <c r="K478" s="446"/>
      <c r="L478" s="1772"/>
      <c r="M478" s="446"/>
      <c r="N478" s="447"/>
      <c r="O478" s="1760">
        <v>1</v>
      </c>
      <c r="P478" s="1760"/>
      <c r="Q478" s="1761"/>
      <c r="R478" s="1762"/>
      <c r="S478" s="1762"/>
      <c r="T478" s="1762"/>
    </row>
    <row r="479" spans="3:20" s="158" customFormat="1">
      <c r="C479" s="1770"/>
      <c r="D479" s="446"/>
      <c r="E479" s="446"/>
      <c r="F479" s="446"/>
      <c r="G479" s="1771" t="s">
        <v>2010</v>
      </c>
      <c r="H479" s="447" t="s">
        <v>4774</v>
      </c>
      <c r="I479" s="1768" t="s">
        <v>2613</v>
      </c>
      <c r="J479" s="1769" t="s">
        <v>3292</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2613</v>
      </c>
      <c r="J480" s="1769" t="s">
        <v>3293</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873</v>
      </c>
      <c r="H481" s="447">
        <v>2019</v>
      </c>
      <c r="I481" s="447" t="s">
        <v>4773</v>
      </c>
      <c r="J481" s="1769" t="s">
        <v>3296</v>
      </c>
      <c r="K481" s="446"/>
      <c r="L481" s="1772"/>
      <c r="M481" s="446"/>
      <c r="N481" s="447"/>
      <c r="O481" s="1760">
        <v>1</v>
      </c>
      <c r="P481" s="1760"/>
      <c r="Q481" s="1761"/>
      <c r="R481" s="1762"/>
      <c r="S481" s="1762"/>
      <c r="T481" s="1762"/>
    </row>
    <row r="482" spans="1:20" s="158" customFormat="1">
      <c r="A482" s="998" t="s">
        <v>2702</v>
      </c>
      <c r="B482" s="1762"/>
      <c r="C482" s="446"/>
      <c r="D482" s="446"/>
      <c r="E482" s="446"/>
      <c r="F482" s="446"/>
      <c r="G482" s="1771" t="s">
        <v>2088</v>
      </c>
      <c r="H482" s="447" t="s">
        <v>4774</v>
      </c>
      <c r="I482" s="1768" t="s">
        <v>2613</v>
      </c>
      <c r="J482" s="1769" t="s">
        <v>3294</v>
      </c>
      <c r="K482" s="446"/>
      <c r="L482" s="1772"/>
      <c r="M482" s="446"/>
      <c r="N482" s="447"/>
      <c r="O482" s="1760">
        <v>1</v>
      </c>
      <c r="P482" s="1760"/>
      <c r="Q482" s="1761"/>
      <c r="R482" s="1762"/>
      <c r="S482" s="1762"/>
      <c r="T482" s="1762"/>
    </row>
    <row r="483" spans="1:20" s="158" customFormat="1">
      <c r="A483" s="998" t="s">
        <v>2725</v>
      </c>
      <c r="B483" s="1762"/>
      <c r="C483" s="446"/>
      <c r="D483" s="446"/>
      <c r="E483" s="446"/>
      <c r="F483" s="446"/>
      <c r="G483" s="1771" t="s">
        <v>2008</v>
      </c>
      <c r="H483" s="447">
        <v>2019</v>
      </c>
      <c r="I483" s="447" t="s">
        <v>4773</v>
      </c>
      <c r="J483" s="1769" t="s">
        <v>3295</v>
      </c>
      <c r="K483" s="446"/>
      <c r="L483" s="1772"/>
      <c r="M483" s="446"/>
      <c r="N483" s="447"/>
      <c r="O483" s="1760">
        <v>1</v>
      </c>
      <c r="P483" s="1760"/>
      <c r="Q483" s="1761"/>
      <c r="R483" s="1762"/>
      <c r="S483" s="1762"/>
      <c r="T483" s="1762"/>
    </row>
    <row r="484" spans="1:20" s="158" customFormat="1">
      <c r="A484" s="1778" t="s">
        <v>3263</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3264</v>
      </c>
      <c r="B485" s="1762"/>
      <c r="C485" s="446"/>
      <c r="D485" s="1770"/>
      <c r="E485" s="1770">
        <v>2</v>
      </c>
      <c r="F485" s="446"/>
      <c r="G485" s="1771" t="s">
        <v>851</v>
      </c>
      <c r="H485" s="447">
        <v>2019</v>
      </c>
      <c r="I485" s="447" t="s">
        <v>4773</v>
      </c>
      <c r="J485" s="446"/>
      <c r="K485" s="446"/>
      <c r="L485" s="1772"/>
      <c r="M485" s="446"/>
      <c r="N485" s="447"/>
      <c r="O485" s="1760"/>
      <c r="P485" s="1760"/>
      <c r="Q485" s="1761"/>
      <c r="R485" s="1762"/>
      <c r="S485" s="1762"/>
      <c r="T485" s="1762"/>
    </row>
    <row r="486" spans="1:20" s="158" customFormat="1">
      <c r="A486" s="1778" t="s">
        <v>3265</v>
      </c>
      <c r="B486" s="1762"/>
      <c r="C486" s="446"/>
      <c r="D486" s="1770"/>
      <c r="E486" s="1770">
        <v>10</v>
      </c>
      <c r="F486" s="446"/>
      <c r="G486" s="1771" t="s">
        <v>1879</v>
      </c>
      <c r="H486" s="447">
        <v>2019</v>
      </c>
      <c r="I486" s="447" t="s">
        <v>4773</v>
      </c>
      <c r="J486" s="1773" t="s">
        <v>3585</v>
      </c>
      <c r="K486" s="446"/>
      <c r="L486" s="1772"/>
      <c r="M486" s="446"/>
      <c r="N486" s="447"/>
      <c r="O486" s="1760"/>
      <c r="P486" s="1760"/>
      <c r="Q486" s="1761"/>
      <c r="R486" s="1762"/>
      <c r="S486" s="1762"/>
      <c r="T486" s="1762"/>
    </row>
    <row r="487" spans="1:20" s="158" customFormat="1">
      <c r="A487" s="1778" t="s">
        <v>2726</v>
      </c>
      <c r="B487" s="1762"/>
      <c r="C487" s="446"/>
      <c r="D487" s="1770"/>
      <c r="E487" s="1770"/>
      <c r="F487" s="446"/>
      <c r="G487" s="1771" t="s">
        <v>412</v>
      </c>
      <c r="H487" s="447">
        <v>2019</v>
      </c>
      <c r="I487" s="447" t="s">
        <v>4773</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962</v>
      </c>
      <c r="H488" s="447">
        <v>2020</v>
      </c>
      <c r="I488" s="447" t="s">
        <v>4773</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556</v>
      </c>
      <c r="H489" s="447">
        <v>2020</v>
      </c>
      <c r="I489" s="447" t="s">
        <v>4773</v>
      </c>
      <c r="J489" s="1769" t="s">
        <v>3578</v>
      </c>
      <c r="K489" s="1769"/>
      <c r="L489" s="1772"/>
      <c r="M489" s="446"/>
      <c r="N489" s="447"/>
      <c r="O489" s="1760"/>
      <c r="P489" s="1760"/>
      <c r="Q489" s="1761"/>
      <c r="R489" s="1762"/>
      <c r="S489" s="1762"/>
      <c r="T489" s="1762"/>
    </row>
    <row r="490" spans="1:20" s="158" customFormat="1">
      <c r="C490" s="1770"/>
      <c r="D490" s="446"/>
      <c r="E490" s="446"/>
      <c r="F490" s="446"/>
      <c r="G490" s="1771" t="s">
        <v>845</v>
      </c>
      <c r="H490" s="447" t="s">
        <v>4774</v>
      </c>
      <c r="I490" s="1768" t="s">
        <v>2613</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3279</v>
      </c>
      <c r="H491" s="447">
        <v>2019</v>
      </c>
      <c r="I491" s="447" t="s">
        <v>4773</v>
      </c>
      <c r="J491" s="1769" t="s">
        <v>3579</v>
      </c>
      <c r="K491" s="1769"/>
      <c r="L491" s="1772"/>
      <c r="M491" s="446"/>
      <c r="N491" s="447"/>
      <c r="O491" s="1760"/>
      <c r="P491" s="1760"/>
      <c r="Q491" s="1761"/>
      <c r="R491" s="1762"/>
      <c r="S491" s="1762"/>
      <c r="T491" s="1762"/>
    </row>
    <row r="492" spans="1:20" s="158" customFormat="1">
      <c r="C492" s="446"/>
      <c r="D492" s="446"/>
      <c r="E492" s="446"/>
      <c r="F492" s="446"/>
      <c r="G492" s="1771" t="s">
        <v>800</v>
      </c>
      <c r="H492" s="447">
        <v>2019</v>
      </c>
      <c r="I492" s="447" t="s">
        <v>4773</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3580</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4774</v>
      </c>
      <c r="I494" s="1768" t="s">
        <v>2613</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526</v>
      </c>
      <c r="H495" s="447">
        <v>2020</v>
      </c>
      <c r="I495" s="447" t="s">
        <v>4773</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1409</v>
      </c>
      <c r="H497" s="447" t="s">
        <v>4774</v>
      </c>
      <c r="I497" s="1768" t="s">
        <v>2613</v>
      </c>
      <c r="J497" s="1769" t="s">
        <v>3581</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4774</v>
      </c>
      <c r="I498" s="1768" t="s">
        <v>2613</v>
      </c>
      <c r="J498" s="1769" t="s">
        <v>3582</v>
      </c>
      <c r="K498" s="446"/>
      <c r="L498" s="1772"/>
      <c r="M498" s="446"/>
      <c r="N498" s="447"/>
      <c r="O498" s="1760"/>
      <c r="P498" s="1760"/>
      <c r="Q498" s="1761"/>
      <c r="R498" s="1762"/>
      <c r="S498" s="1762"/>
      <c r="T498" s="1762"/>
    </row>
    <row r="499" spans="3:20" s="158" customFormat="1">
      <c r="C499" s="446"/>
      <c r="D499" s="1775"/>
      <c r="E499" s="446"/>
      <c r="F499" s="446"/>
      <c r="G499" s="1771" t="s">
        <v>2070</v>
      </c>
      <c r="H499" s="447">
        <v>2020</v>
      </c>
      <c r="I499" s="447" t="s">
        <v>4773</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1412</v>
      </c>
      <c r="H500" s="447">
        <v>2019</v>
      </c>
      <c r="I500" s="447" t="s">
        <v>4773</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1020</v>
      </c>
      <c r="H502" s="447">
        <v>2020</v>
      </c>
      <c r="I502" s="447" t="s">
        <v>4773</v>
      </c>
      <c r="J502" s="1769" t="s">
        <v>3583</v>
      </c>
      <c r="K502" s="446"/>
      <c r="L502" s="1772"/>
      <c r="M502" s="446"/>
      <c r="N502" s="447"/>
      <c r="O502" s="1760"/>
      <c r="P502" s="1760"/>
      <c r="Q502" s="1761"/>
      <c r="R502" s="1762"/>
      <c r="S502" s="1762"/>
      <c r="T502" s="1762"/>
    </row>
    <row r="503" spans="3:20" s="158" customFormat="1">
      <c r="C503" s="1774"/>
      <c r="D503" s="446"/>
      <c r="E503" s="446"/>
      <c r="F503" s="446"/>
      <c r="G503" s="1771" t="s">
        <v>2208</v>
      </c>
      <c r="H503" s="447">
        <v>2020</v>
      </c>
      <c r="I503" s="447" t="s">
        <v>4773</v>
      </c>
      <c r="J503" s="1769" t="s">
        <v>3584</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2613</v>
      </c>
      <c r="J504" s="1769"/>
      <c r="K504" s="446"/>
      <c r="L504" s="1772"/>
      <c r="M504" s="446"/>
      <c r="N504" s="447"/>
      <c r="O504" s="1760"/>
      <c r="P504" s="1760"/>
      <c r="Q504" s="1761"/>
      <c r="R504" s="1762"/>
      <c r="S504" s="1762"/>
      <c r="T504" s="1762"/>
    </row>
    <row r="505" spans="3:20" s="158" customFormat="1">
      <c r="C505" s="1774"/>
      <c r="D505" s="446"/>
      <c r="E505" s="446"/>
      <c r="F505" s="446"/>
      <c r="G505" s="1771" t="s">
        <v>1839</v>
      </c>
      <c r="H505" s="447" t="s">
        <v>4774</v>
      </c>
      <c r="I505" s="1768" t="s">
        <v>2613</v>
      </c>
      <c r="J505" s="1769"/>
      <c r="K505" s="446"/>
      <c r="L505" s="1772"/>
      <c r="M505" s="446"/>
      <c r="N505" s="447"/>
      <c r="O505" s="1760"/>
      <c r="P505" s="1760"/>
      <c r="Q505" s="1761"/>
      <c r="R505" s="1762"/>
      <c r="S505" s="1762"/>
      <c r="T505" s="1762"/>
    </row>
    <row r="506" spans="3:20" s="158" customFormat="1">
      <c r="C506" s="1774"/>
      <c r="D506" s="446"/>
      <c r="E506" s="446"/>
      <c r="F506" s="446"/>
      <c r="G506" s="1771" t="s">
        <v>490</v>
      </c>
      <c r="H506" s="447" t="s">
        <v>4774</v>
      </c>
      <c r="I506" s="1768" t="s">
        <v>2613</v>
      </c>
      <c r="J506" s="1769"/>
      <c r="K506" s="446"/>
      <c r="L506" s="1772"/>
      <c r="M506" s="446"/>
      <c r="N506" s="447"/>
      <c r="O506" s="1760"/>
      <c r="P506" s="1760"/>
      <c r="Q506" s="1761"/>
      <c r="R506" s="1762"/>
      <c r="S506" s="1762"/>
      <c r="T506" s="1762"/>
    </row>
    <row r="507" spans="3:20" s="158" customFormat="1">
      <c r="C507" s="1774"/>
      <c r="D507" s="446"/>
      <c r="E507" s="446"/>
      <c r="F507" s="446"/>
      <c r="G507" s="1771" t="s">
        <v>2052</v>
      </c>
      <c r="H507" s="447" t="s">
        <v>4774</v>
      </c>
      <c r="I507" s="1768" t="s">
        <v>2613</v>
      </c>
      <c r="J507" s="1769"/>
      <c r="K507" s="446"/>
      <c r="L507" s="1772"/>
      <c r="M507" s="446"/>
      <c r="N507" s="447"/>
      <c r="O507" s="1760"/>
      <c r="P507" s="1760"/>
      <c r="Q507" s="1761"/>
      <c r="R507" s="1762"/>
      <c r="S507" s="1762"/>
      <c r="T507" s="1762"/>
    </row>
    <row r="508" spans="3:20" s="158" customFormat="1">
      <c r="C508" s="1774"/>
      <c r="D508" s="446"/>
      <c r="E508" s="446"/>
      <c r="F508" s="446"/>
      <c r="G508" s="1771" t="s">
        <v>2200</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2075</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2273</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1650</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1653</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1658</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1666</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1667</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1509</v>
      </c>
      <c r="H519" s="447" t="s">
        <v>4774</v>
      </c>
      <c r="I519" s="1768" t="s">
        <v>2613</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FpG/Kz4FjcAWuh9gCCMrsJjX6/5DIIF4XjLWRFoahqOwXGhUWtcj/6zdaxJcpaoldYNRnBUAWRGuhFOKiJRpAQ==" saltValue="GKBK1Mzqx8zVj5ddhoyG1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P152">
    <cfRule type="cellIs" dxfId="136" priority="85" operator="greaterThan">
      <formula>M150</formula>
    </cfRule>
  </conditionalFormatting>
  <conditionalFormatting sqref="Q95">
    <cfRule type="cellIs" dxfId="135" priority="83" stopIfTrue="1" operator="equal">
      <formula>"* * Check Score! * *"</formula>
    </cfRule>
  </conditionalFormatting>
  <conditionalFormatting sqref="N364:N367">
    <cfRule type="cellIs" dxfId="134" priority="82" stopIfTrue="1" operator="equal">
      <formula>"* * Check Score! * *"</formula>
    </cfRule>
  </conditionalFormatting>
  <conditionalFormatting sqref="R350">
    <cfRule type="cellIs" dxfId="133" priority="74" stopIfTrue="1" operator="equal">
      <formula>"* * Check Score! * *"</formula>
    </cfRule>
  </conditionalFormatting>
  <conditionalFormatting sqref="F66">
    <cfRule type="expression" dxfId="132" priority="122">
      <formula>AND($O$265&gt;0,$O$265&lt;4,OR($I$265="Statutory Redevelopment Plan",$I$265="Redevelopment Zone",$I$265="Local Redevelopment Plan"))</formula>
    </cfRule>
  </conditionalFormatting>
  <conditionalFormatting sqref="O68">
    <cfRule type="cellIs" priority="59" operator="notEqual">
      <formula>$M68</formula>
    </cfRule>
  </conditionalFormatting>
  <conditionalFormatting sqref="O67">
    <cfRule type="cellIs" priority="60" operator="notEqual">
      <formula>$M67</formula>
    </cfRule>
  </conditionalFormatting>
  <conditionalFormatting sqref="L114">
    <cfRule type="cellIs" dxfId="131" priority="42" stopIfTrue="1" operator="equal">
      <formula>"* * Check Score! * *"</formula>
    </cfRule>
  </conditionalFormatting>
  <conditionalFormatting sqref="L338">
    <cfRule type="cellIs" dxfId="130" priority="49" stopIfTrue="1" operator="equal">
      <formula>"* * Check Score! * *"</formula>
    </cfRule>
  </conditionalFormatting>
  <conditionalFormatting sqref="L335:L336">
    <cfRule type="cellIs" dxfId="129" priority="48" stopIfTrue="1" operator="equal">
      <formula>"* * Check Score! * *"</formula>
    </cfRule>
  </conditionalFormatting>
  <conditionalFormatting sqref="L214">
    <cfRule type="cellIs" dxfId="128" priority="45" stopIfTrue="1" operator="equal">
      <formula>"* * Check Score! * *"</formula>
    </cfRule>
  </conditionalFormatting>
  <conditionalFormatting sqref="L211:L212">
    <cfRule type="cellIs" dxfId="127" priority="43" stopIfTrue="1" operator="equal">
      <formula>"* * Check Score! * *"</formula>
    </cfRule>
  </conditionalFormatting>
  <conditionalFormatting sqref="L386">
    <cfRule type="cellIs" dxfId="126" priority="41" stopIfTrue="1" operator="equal">
      <formula>"* * Check Score! * *"</formula>
    </cfRule>
  </conditionalFormatting>
  <conditionalFormatting sqref="L406">
    <cfRule type="cellIs" dxfId="125" priority="40" stopIfTrue="1" operator="equal">
      <formula>"* * Check Score! * *"</formula>
    </cfRule>
  </conditionalFormatting>
  <conditionalFormatting sqref="L379">
    <cfRule type="cellIs" dxfId="124" priority="39" stopIfTrue="1" operator="equal">
      <formula>"* * Check Score! * *"</formula>
    </cfRule>
  </conditionalFormatting>
  <conditionalFormatting sqref="R351">
    <cfRule type="cellIs" dxfId="123" priority="38" stopIfTrue="1" operator="equal">
      <formula>"* * Check Score! * *"</formula>
    </cfRule>
  </conditionalFormatting>
  <conditionalFormatting sqref="L131">
    <cfRule type="cellIs" dxfId="122" priority="33" stopIfTrue="1" operator="equal">
      <formula>"* * Check Score! * *"</formula>
    </cfRule>
  </conditionalFormatting>
  <conditionalFormatting sqref="L119">
    <cfRule type="cellIs" dxfId="121" priority="34" stopIfTrue="1" operator="equal">
      <formula>"* * Check Score! * *"</formula>
    </cfRule>
  </conditionalFormatting>
  <conditionalFormatting sqref="F235:F239">
    <cfRule type="expression" dxfId="120" priority="123">
      <formula>AND($O$130&gt;0,$O$130&lt;4,OR(#REF!="Statutory Redevelopment Plan",#REF!="Redevelopment Zone",#REF!="Local Redevelopment Plan"))</formula>
    </cfRule>
  </conditionalFormatting>
  <conditionalFormatting sqref="O55">
    <cfRule type="cellIs" dxfId="119" priority="32" operator="notEqual">
      <formula>$M55</formula>
    </cfRule>
  </conditionalFormatting>
  <conditionalFormatting sqref="L340">
    <cfRule type="cellIs" dxfId="118" priority="30" stopIfTrue="1" operator="equal">
      <formula>"* * Check Score! * *"</formula>
    </cfRule>
  </conditionalFormatting>
  <conditionalFormatting sqref="R352">
    <cfRule type="cellIs" dxfId="117" priority="29" stopIfTrue="1" operator="equal">
      <formula>"* * Check Score! * *"</formula>
    </cfRule>
  </conditionalFormatting>
  <conditionalFormatting sqref="R353">
    <cfRule type="cellIs" dxfId="116" priority="28" stopIfTrue="1" operator="equal">
      <formula>"* * Check Score! * *"</formula>
    </cfRule>
  </conditionalFormatting>
  <conditionalFormatting sqref="L55:L56">
    <cfRule type="containsText" dxfId="115" priority="27" operator="containsText" text="CHOOSE EITHER A OR B, NOT BOTH!">
      <formula>NOT(ISERROR(SEARCH("CHOOSE EITHER A OR B, NOT BOTH!",L55)))</formula>
    </cfRule>
  </conditionalFormatting>
  <conditionalFormatting sqref="O91">
    <cfRule type="cellIs" dxfId="114" priority="25" operator="notEqual">
      <formula>$M91</formula>
    </cfRule>
  </conditionalFormatting>
  <conditionalFormatting sqref="O90">
    <cfRule type="cellIs" dxfId="113" priority="26" operator="notEqual">
      <formula>$M90</formula>
    </cfRule>
  </conditionalFormatting>
  <conditionalFormatting sqref="O92">
    <cfRule type="cellIs" dxfId="112" priority="24" operator="notEqual">
      <formula>$M92</formula>
    </cfRule>
  </conditionalFormatting>
  <conditionalFormatting sqref="O56">
    <cfRule type="cellIs" dxfId="111" priority="13" operator="notEqual">
      <formula>$M56</formula>
    </cfRule>
  </conditionalFormatting>
  <conditionalFormatting sqref="O99">
    <cfRule type="cellIs" dxfId="110" priority="22" operator="notEqual">
      <formula>$M99</formula>
    </cfRule>
  </conditionalFormatting>
  <conditionalFormatting sqref="O98">
    <cfRule type="cellIs" dxfId="109" priority="23" operator="notEqual">
      <formula>$M98</formula>
    </cfRule>
  </conditionalFormatting>
  <conditionalFormatting sqref="O100">
    <cfRule type="cellIs" dxfId="108" priority="21" operator="notEqual">
      <formula>$M100</formula>
    </cfRule>
  </conditionalFormatting>
  <conditionalFormatting sqref="O103">
    <cfRule type="cellIs" dxfId="107" priority="20" operator="notEqual">
      <formula>$M103</formula>
    </cfRule>
  </conditionalFormatting>
  <conditionalFormatting sqref="O114">
    <cfRule type="cellIs" dxfId="106" priority="19" operator="notEqual">
      <formula>$M114</formula>
    </cfRule>
  </conditionalFormatting>
  <conditionalFormatting sqref="O119">
    <cfRule type="cellIs" dxfId="105" priority="18" operator="notEqual">
      <formula>$M119</formula>
    </cfRule>
  </conditionalFormatting>
  <conditionalFormatting sqref="O211">
    <cfRule type="cellIs" dxfId="104" priority="15" operator="notEqual">
      <formula>$M211</formula>
    </cfRule>
  </conditionalFormatting>
  <conditionalFormatting sqref="O214">
    <cfRule type="cellIs" dxfId="103" priority="14" operator="notEqual">
      <formula>$M214</formula>
    </cfRule>
  </conditionalFormatting>
  <conditionalFormatting sqref="F240">
    <cfRule type="expression" dxfId="102" priority="12">
      <formula>AND($O$130&gt;0,$O$130&lt;4,OR(#REF!="Statutory Redevelopment Plan",#REF!="Redevelopment Zone",#REF!="Local Redevelopment Plan"))</formula>
    </cfRule>
  </conditionalFormatting>
  <conditionalFormatting sqref="R349">
    <cfRule type="cellIs" dxfId="101" priority="11" stopIfTrue="1" operator="equal">
      <formula>"* * Check Score! * *"</formula>
    </cfRule>
  </conditionalFormatting>
  <conditionalFormatting sqref="J52:K52">
    <cfRule type="containsText" dxfId="100" priority="10" operator="containsText" text="&lt;&lt; Select Election or Income Averaging &gt;&gt;">
      <formula>NOT(ISERROR(SEARCH("&lt;&lt; Select Election or Income Averaging &gt;&gt;",J52)))</formula>
    </cfRule>
  </conditionalFormatting>
  <conditionalFormatting sqref="O50">
    <cfRule type="containsText" dxfId="99" priority="9" operator="containsText" text="AorB?">
      <formula>NOT(ISERROR(SEARCH("AorB?",O50)))</formula>
    </cfRule>
  </conditionalFormatting>
  <conditionalFormatting sqref="H91">
    <cfRule type="containsText" dxfId="98" priority="8" operator="containsText" text="Pick A1 or A2!">
      <formula>NOT(ISERROR(SEARCH("Pick A1 or A2!",H91)))</formula>
    </cfRule>
  </conditionalFormatting>
  <conditionalFormatting sqref="F101">
    <cfRule type="containsText" dxfId="97" priority="7" operator="containsText" text="Choose only one option: B1 or B2 or B3!">
      <formula>NOT(ISERROR(SEARCH("Choose only one option: B1 or B2 or B3!",F101)))</formula>
    </cfRule>
  </conditionalFormatting>
  <conditionalFormatting sqref="P211">
    <cfRule type="cellIs" dxfId="96" priority="6" operator="notEqual">
      <formula>$M211</formula>
    </cfRule>
  </conditionalFormatting>
  <conditionalFormatting sqref="L319">
    <cfRule type="cellIs" dxfId="95" priority="5" stopIfTrue="1" operator="equal">
      <formula>"* * Check Score! * *"</formula>
    </cfRule>
  </conditionalFormatting>
  <conditionalFormatting sqref="L320">
    <cfRule type="cellIs" dxfId="94" priority="4" stopIfTrue="1" operator="equal">
      <formula>"* * Check Score! * *"</formula>
    </cfRule>
  </conditionalFormatting>
  <conditionalFormatting sqref="L323:L327">
    <cfRule type="cellIs" dxfId="93" priority="3" operator="equal">
      <formula>"Choose option 1 or 2 or 3 or 4!!!"</formula>
    </cfRule>
  </conditionalFormatting>
  <conditionalFormatting sqref="O131">
    <cfRule type="cellIs" dxfId="92" priority="2" operator="notEqual">
      <formula>$M131</formula>
    </cfRule>
  </conditionalFormatting>
  <conditionalFormatting sqref="O152">
    <cfRule type="cellIs" dxfId="91" priority="1" operator="greaterThan">
      <formula>M152</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196" t="s">
        <v>2808</v>
      </c>
      <c r="B1" s="3196"/>
      <c r="C1" s="3196"/>
      <c r="D1" s="3196"/>
      <c r="E1" s="3196"/>
      <c r="F1" s="3196"/>
      <c r="G1" s="3196"/>
      <c r="H1" s="3196"/>
      <c r="I1" s="3196"/>
      <c r="J1" s="3196"/>
    </row>
    <row r="2" spans="1:16" ht="15.6">
      <c r="A2" s="3196" t="str">
        <f>'Sensitivity Analysis'!C8</f>
        <v>Twin Oaks Commons</v>
      </c>
      <c r="B2" s="3196"/>
      <c r="C2" s="3196"/>
      <c r="D2" s="3196"/>
      <c r="E2" s="3196"/>
      <c r="F2" s="3196"/>
      <c r="G2" s="3196"/>
      <c r="H2" s="3196"/>
      <c r="I2" s="3196"/>
      <c r="J2" s="3196"/>
    </row>
    <row r="3" spans="1:16" ht="15.6">
      <c r="A3" s="3196" t="str">
        <f>'Subsidy Layering Memo'!F14</f>
        <v>Ludowici, Long</v>
      </c>
      <c r="B3" s="3196"/>
      <c r="C3" s="3196"/>
      <c r="D3" s="3196"/>
      <c r="E3" s="3196"/>
      <c r="F3" s="3196"/>
      <c r="G3" s="3196"/>
      <c r="H3" s="3196"/>
      <c r="I3" s="3196"/>
      <c r="J3" s="3196"/>
    </row>
    <row r="4" spans="1:16" ht="15.6">
      <c r="A4" s="3197" t="s">
        <v>2809</v>
      </c>
      <c r="B4" s="3196"/>
      <c r="C4" s="3196"/>
      <c r="D4" s="3196"/>
      <c r="E4" s="3196"/>
      <c r="F4" s="3196"/>
      <c r="G4" s="3196"/>
      <c r="H4" s="3196"/>
      <c r="I4" s="3196"/>
      <c r="J4" s="3196"/>
    </row>
    <row r="5" spans="1:16" ht="5.25" customHeight="1"/>
    <row r="6" spans="1:16" ht="5.25" customHeight="1"/>
    <row r="7" spans="1:16" ht="15.6">
      <c r="A7" s="3198" t="s">
        <v>2810</v>
      </c>
      <c r="B7" s="3198"/>
      <c r="C7" s="3199"/>
      <c r="M7" s="3200"/>
      <c r="N7" s="3200"/>
      <c r="O7" s="3200"/>
      <c r="P7" s="3200"/>
    </row>
    <row r="8" spans="1:16" ht="57" customHeight="1">
      <c r="A8" s="3201" t="s">
        <v>4471</v>
      </c>
      <c r="B8" s="3201"/>
      <c r="C8" s="3201"/>
      <c r="D8" s="3201"/>
      <c r="E8" s="3201"/>
      <c r="F8" s="3201"/>
      <c r="G8" s="3201"/>
      <c r="H8" s="3201"/>
      <c r="I8" s="3201"/>
      <c r="J8" s="3201"/>
      <c r="K8" s="611"/>
    </row>
    <row r="9" spans="1:16" ht="45.75" customHeight="1">
      <c r="A9" s="320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Ludowici, Long County, Georgia, with the development of 40 units (UNIT DESCRIPTION) set aside for Family.</v>
      </c>
      <c r="B9" s="3201"/>
      <c r="C9" s="3201"/>
      <c r="D9" s="3201"/>
      <c r="E9" s="3201"/>
      <c r="F9" s="3201"/>
      <c r="G9" s="3201"/>
      <c r="H9" s="3201"/>
      <c r="I9" s="3201"/>
      <c r="J9" s="3201"/>
      <c r="K9" s="611"/>
    </row>
    <row r="10" spans="1:16" ht="15.6">
      <c r="A10" s="612" t="s">
        <v>2811</v>
      </c>
    </row>
    <row r="11" spans="1:16" ht="16.5" customHeight="1">
      <c r="A11" s="3201" t="str">
        <f>'Subsidy Layering Memo'!A44</f>
        <v xml:space="preserve">Ownership entity:  (NAME) LP, a Georgia Limited Partnership, will be the ownership entity for the proposed project. </v>
      </c>
      <c r="B11" s="3203"/>
      <c r="C11" s="3203"/>
      <c r="D11" s="3203"/>
      <c r="E11" s="3203"/>
      <c r="F11" s="3203"/>
      <c r="G11" s="3203"/>
      <c r="H11" s="3203"/>
      <c r="I11" s="3203"/>
      <c r="J11" s="3201"/>
    </row>
    <row r="12" spans="1:16" ht="63.75" customHeight="1">
      <c r="A12" s="3201" t="s">
        <v>2841</v>
      </c>
      <c r="B12" s="3201"/>
      <c r="C12" s="3201"/>
      <c r="D12" s="3201"/>
      <c r="E12" s="3201"/>
      <c r="F12" s="3201"/>
      <c r="G12" s="3201"/>
      <c r="H12" s="3201"/>
      <c r="I12" s="3201"/>
      <c r="J12" s="3201"/>
    </row>
    <row r="13" spans="1:16" ht="48.75" customHeight="1">
      <c r="A13" s="3201" t="s">
        <v>2842</v>
      </c>
      <c r="B13" s="3201"/>
      <c r="C13" s="3201"/>
      <c r="D13" s="3201"/>
      <c r="E13" s="3201"/>
      <c r="F13" s="3201"/>
      <c r="G13" s="3201"/>
      <c r="H13" s="3201"/>
      <c r="I13" s="3201"/>
      <c r="J13" s="3201"/>
    </row>
    <row r="14" spans="1:16" ht="15.6">
      <c r="A14" s="612" t="s">
        <v>2812</v>
      </c>
      <c r="B14" s="613"/>
    </row>
    <row r="15" spans="1:16">
      <c r="A15" s="610" t="s">
        <v>2813</v>
      </c>
      <c r="D15" s="1530" t="s">
        <v>2814</v>
      </c>
    </row>
    <row r="16" spans="1:16">
      <c r="A16" s="610" t="s">
        <v>2815</v>
      </c>
      <c r="D16" s="1528">
        <f>'Sensitivity Analysis'!C25</f>
        <v>375000</v>
      </c>
    </row>
    <row r="17" spans="1:11">
      <c r="A17" s="614" t="s">
        <v>2816</v>
      </c>
      <c r="D17" s="1529">
        <f>'Sensitivity Analysis'!C13</f>
        <v>40</v>
      </c>
    </row>
    <row r="18" spans="1:11" ht="14.25" customHeight="1"/>
    <row r="19" spans="1:11" ht="15.6">
      <c r="A19" s="612" t="s">
        <v>2817</v>
      </c>
      <c r="B19" s="613"/>
      <c r="C19" s="613"/>
    </row>
    <row r="20" spans="1:11" ht="48.75" customHeight="1">
      <c r="A20" s="3204" t="s">
        <v>2844</v>
      </c>
      <c r="B20" s="3204"/>
      <c r="C20" s="3204"/>
      <c r="D20" s="3204"/>
      <c r="E20" s="3204"/>
      <c r="F20" s="3204"/>
      <c r="G20" s="3204"/>
      <c r="H20" s="3204"/>
      <c r="I20" s="3204"/>
      <c r="J20" s="3204"/>
    </row>
    <row r="21" spans="1:11" ht="72.75" customHeight="1">
      <c r="A21" s="3201" t="s">
        <v>4470</v>
      </c>
      <c r="B21" s="3201"/>
      <c r="C21" s="3201"/>
      <c r="D21" s="3201"/>
      <c r="E21" s="3201"/>
      <c r="F21" s="3201"/>
      <c r="G21" s="3201"/>
      <c r="H21" s="3201"/>
      <c r="I21" s="3201"/>
      <c r="J21" s="3201"/>
    </row>
    <row r="22" spans="1:11" ht="15.6">
      <c r="A22" s="612" t="s">
        <v>2818</v>
      </c>
      <c r="B22" s="613"/>
      <c r="C22" s="613"/>
      <c r="D22" s="613"/>
      <c r="E22" s="613"/>
      <c r="F22" s="613"/>
    </row>
    <row r="23" spans="1:11" ht="102.75" customHeight="1">
      <c r="A23" s="3205" t="s">
        <v>2837</v>
      </c>
      <c r="B23" s="3205"/>
      <c r="C23" s="3205"/>
      <c r="D23" s="3205"/>
      <c r="E23" s="3205"/>
      <c r="F23" s="3205"/>
      <c r="G23" s="3205"/>
      <c r="H23" s="3205"/>
      <c r="I23" s="3205"/>
      <c r="J23" s="3205"/>
      <c r="K23" s="1232"/>
    </row>
    <row r="24" spans="1:11" ht="15" customHeight="1">
      <c r="A24" s="3202"/>
      <c r="B24" s="3202"/>
      <c r="C24" s="3202"/>
      <c r="D24" s="3202"/>
      <c r="E24" s="3202"/>
      <c r="F24" s="3202"/>
      <c r="G24" s="3202"/>
      <c r="H24" s="3202"/>
      <c r="I24" s="3202"/>
      <c r="J24" s="3202"/>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903</v>
      </c>
      <c r="F29" s="610" t="s">
        <v>2821</v>
      </c>
      <c r="I29" s="610" t="s">
        <v>903</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7"/>
    </row>
    <row r="12" spans="1:10">
      <c r="A12" s="620" t="s">
        <v>2831</v>
      </c>
      <c r="D12" s="619" t="s">
        <v>598</v>
      </c>
      <c r="F12" s="1527" t="str">
        <f>'Sensitivity Analysis'!$C$8</f>
        <v>Twin Oaks Commons</v>
      </c>
    </row>
    <row r="13" spans="1:10">
      <c r="A13" s="620"/>
      <c r="D13" s="619" t="s">
        <v>2832</v>
      </c>
      <c r="F13" s="1527" t="str">
        <f>'Sensitivity Analysis'!E8</f>
        <v>2020-050</v>
      </c>
    </row>
    <row r="14" spans="1:10">
      <c r="A14" s="620"/>
      <c r="D14" s="619" t="s">
        <v>2833</v>
      </c>
      <c r="F14" s="1527" t="str">
        <f>'Sensitivity Analysis'!H8</f>
        <v>Ludowici, Long</v>
      </c>
    </row>
    <row r="15" spans="1:10">
      <c r="A15" s="620"/>
      <c r="D15" s="619" t="s">
        <v>3195</v>
      </c>
      <c r="F15" s="3218">
        <f>'Sensitivity Analysis'!$C$25</f>
        <v>375000</v>
      </c>
      <c r="G15" s="3218"/>
      <c r="H15" s="3218"/>
    </row>
    <row r="16" spans="1:10">
      <c r="A16" s="620"/>
      <c r="D16" s="622" t="s">
        <v>2834</v>
      </c>
      <c r="F16" s="623">
        <f>'Sensitivity Analysis'!C13</f>
        <v>40</v>
      </c>
      <c r="G16" s="624" t="s">
        <v>3196</v>
      </c>
      <c r="H16" s="1168">
        <f>'Sensitivity Analysis'!E13</f>
        <v>40</v>
      </c>
    </row>
    <row r="17" spans="1:18">
      <c r="A17" s="620"/>
      <c r="D17" s="622" t="s">
        <v>2798</v>
      </c>
      <c r="F17" s="623" t="str">
        <f>'Sensitivity Analysis'!C14</f>
        <v>Family</v>
      </c>
    </row>
    <row r="18" spans="1:18">
      <c r="A18" s="620"/>
      <c r="D18" s="622" t="s">
        <v>3200</v>
      </c>
      <c r="F18" s="1527" t="str">
        <f>'Sensitivity Analysis'!H15</f>
        <v>Rural</v>
      </c>
    </row>
    <row r="19" spans="1:18">
      <c r="A19" s="620"/>
      <c r="D19" s="622" t="s">
        <v>3197</v>
      </c>
      <c r="F19" s="1527" t="str">
        <f>'Sensitivity Analysis'!E16</f>
        <v>No</v>
      </c>
    </row>
    <row r="20" spans="1:18">
      <c r="A20" s="620"/>
      <c r="D20" s="622"/>
    </row>
    <row r="21" spans="1:18">
      <c r="A21" s="625" t="s">
        <v>2835</v>
      </c>
    </row>
    <row r="22" spans="1:18" ht="111.75" customHeight="1">
      <c r="A22" s="3207" t="s">
        <v>3372</v>
      </c>
      <c r="B22" s="3207"/>
      <c r="C22" s="3207"/>
      <c r="D22" s="3207"/>
      <c r="E22" s="3207"/>
      <c r="F22" s="3207"/>
      <c r="G22" s="3207"/>
      <c r="H22" s="3207"/>
      <c r="I22" s="3207"/>
      <c r="J22" s="3207"/>
      <c r="K22" s="3206" t="s">
        <v>4472</v>
      </c>
      <c r="L22" s="3206"/>
      <c r="M22" s="3206"/>
      <c r="N22" s="3206"/>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08"/>
      <c r="B24" s="3208"/>
      <c r="C24" s="3208"/>
      <c r="D24" s="3208"/>
      <c r="E24" s="3208"/>
      <c r="F24" s="3208"/>
      <c r="G24" s="3208"/>
      <c r="H24" s="3208"/>
      <c r="I24" s="3208"/>
      <c r="J24" s="3208"/>
    </row>
    <row r="25" spans="1:18" ht="10.5" hidden="1" customHeight="1">
      <c r="A25" s="3209"/>
      <c r="B25" s="3209"/>
      <c r="C25" s="3209"/>
      <c r="D25" s="3209"/>
      <c r="E25" s="3209"/>
      <c r="F25" s="3209"/>
      <c r="G25" s="3209"/>
      <c r="H25" s="3209"/>
      <c r="I25" s="3209"/>
      <c r="J25" s="3209"/>
    </row>
    <row r="26" spans="1:18">
      <c r="A26" s="625" t="s">
        <v>2836</v>
      </c>
    </row>
    <row r="27" spans="1:18" ht="14.25" customHeight="1">
      <c r="A27" s="3210" t="s">
        <v>2837</v>
      </c>
      <c r="B27" s="3210"/>
      <c r="C27" s="3210"/>
      <c r="D27" s="3210"/>
      <c r="E27" s="3210"/>
      <c r="F27" s="3210"/>
      <c r="G27" s="3210"/>
      <c r="H27" s="3210"/>
      <c r="I27" s="3210"/>
      <c r="J27" s="3210"/>
    </row>
    <row r="28" spans="1:18" ht="14.25" customHeight="1">
      <c r="A28" s="3210"/>
      <c r="B28" s="3210"/>
      <c r="C28" s="3210"/>
      <c r="D28" s="3210"/>
      <c r="E28" s="3210"/>
      <c r="F28" s="3210"/>
      <c r="G28" s="3210"/>
      <c r="H28" s="3210"/>
      <c r="I28" s="3210"/>
      <c r="J28" s="3210"/>
    </row>
    <row r="29" spans="1:18" ht="6.75" customHeight="1">
      <c r="A29" s="3210"/>
      <c r="B29" s="3210"/>
      <c r="C29" s="3210"/>
      <c r="D29" s="3210"/>
      <c r="E29" s="3210"/>
      <c r="F29" s="3210"/>
      <c r="G29" s="3210"/>
      <c r="H29" s="3210"/>
      <c r="I29" s="3210"/>
      <c r="J29" s="3210"/>
    </row>
    <row r="30" spans="1:18" ht="14.25" customHeight="1">
      <c r="A30" s="3210"/>
      <c r="B30" s="3210"/>
      <c r="C30" s="3210"/>
      <c r="D30" s="3210"/>
      <c r="E30" s="3210"/>
      <c r="F30" s="3210"/>
      <c r="G30" s="3210"/>
      <c r="H30" s="3210"/>
      <c r="I30" s="3210"/>
      <c r="J30" s="3210"/>
    </row>
    <row r="31" spans="1:18" ht="14.25" customHeight="1">
      <c r="A31" s="3210"/>
      <c r="B31" s="3210"/>
      <c r="C31" s="3210"/>
      <c r="D31" s="3210"/>
      <c r="E31" s="3210"/>
      <c r="F31" s="3210"/>
      <c r="G31" s="3210"/>
      <c r="H31" s="3210"/>
      <c r="I31" s="3210"/>
      <c r="J31" s="3210"/>
    </row>
    <row r="32" spans="1:18" ht="54.75" customHeight="1">
      <c r="A32" s="3210"/>
      <c r="B32" s="3210"/>
      <c r="C32" s="3210"/>
      <c r="D32" s="3210"/>
      <c r="E32" s="3210"/>
      <c r="F32" s="3210"/>
      <c r="G32" s="3210"/>
      <c r="H32" s="3210"/>
      <c r="I32" s="3210"/>
      <c r="J32" s="3210"/>
    </row>
    <row r="33" spans="1:10" ht="0.75" hidden="1" customHeight="1">
      <c r="A33" s="3210"/>
      <c r="B33" s="3210"/>
      <c r="C33" s="3210"/>
      <c r="D33" s="3210"/>
      <c r="E33" s="3210"/>
      <c r="F33" s="3210"/>
      <c r="G33" s="3210"/>
      <c r="H33" s="3210"/>
      <c r="I33" s="3210"/>
      <c r="J33" s="3210"/>
    </row>
    <row r="34" spans="1:10" ht="3.75" hidden="1" customHeight="1">
      <c r="A34" s="3210"/>
      <c r="B34" s="3210"/>
      <c r="C34" s="3210"/>
      <c r="D34" s="3210"/>
      <c r="E34" s="3210"/>
      <c r="F34" s="3210"/>
      <c r="G34" s="3210"/>
      <c r="H34" s="3210"/>
      <c r="I34" s="3210"/>
      <c r="J34" s="3210"/>
    </row>
    <row r="35" spans="1:10" ht="5.25" customHeight="1">
      <c r="A35" s="1523"/>
      <c r="B35" s="1523"/>
      <c r="C35" s="1523"/>
      <c r="D35" s="1523"/>
      <c r="E35" s="1523"/>
      <c r="F35" s="1523"/>
      <c r="G35" s="1523"/>
      <c r="H35" s="1523"/>
      <c r="I35" s="1523"/>
      <c r="J35" s="1523"/>
    </row>
    <row r="36" spans="1:10" ht="19.5" customHeight="1">
      <c r="A36" s="3208" t="s">
        <v>2838</v>
      </c>
      <c r="B36" s="3208"/>
      <c r="C36" s="3208"/>
      <c r="D36" s="1521"/>
      <c r="E36" s="1521"/>
      <c r="F36" s="1521"/>
      <c r="G36" s="1521"/>
      <c r="H36" s="1521"/>
      <c r="I36" s="1521"/>
      <c r="J36" s="1521"/>
    </row>
    <row r="37" spans="1:10" ht="15" customHeight="1">
      <c r="A37" s="3201"/>
      <c r="B37" s="3201"/>
      <c r="C37" s="3201"/>
      <c r="D37" s="3201"/>
      <c r="E37" s="3201"/>
      <c r="F37" s="3201"/>
      <c r="G37" s="3201"/>
      <c r="H37" s="3201"/>
      <c r="I37" s="3201"/>
      <c r="J37" s="3201"/>
    </row>
    <row r="38" spans="1:10" ht="33.75" customHeight="1">
      <c r="A38" s="3201"/>
      <c r="B38" s="3201"/>
      <c r="C38" s="3201"/>
      <c r="D38" s="3201"/>
      <c r="E38" s="3201"/>
      <c r="F38" s="3201"/>
      <c r="G38" s="3201"/>
      <c r="H38" s="3201"/>
      <c r="I38" s="3201"/>
      <c r="J38" s="3201"/>
    </row>
    <row r="39" spans="1:10" ht="2.25" customHeight="1">
      <c r="A39" s="1521"/>
      <c r="B39" s="1521"/>
      <c r="C39" s="1521"/>
      <c r="D39" s="1521"/>
      <c r="E39" s="1521"/>
      <c r="F39" s="1521"/>
      <c r="G39" s="1521"/>
      <c r="H39" s="1521"/>
      <c r="I39" s="1521"/>
      <c r="J39" s="1521"/>
    </row>
    <row r="40" spans="1:10">
      <c r="A40" s="625" t="s">
        <v>2839</v>
      </c>
    </row>
    <row r="41" spans="1:10" ht="135" customHeight="1">
      <c r="A41" s="3209" t="s">
        <v>4469</v>
      </c>
      <c r="B41" s="3209"/>
      <c r="C41" s="3209"/>
      <c r="D41" s="3209"/>
      <c r="E41" s="3209"/>
      <c r="F41" s="3209"/>
      <c r="G41" s="3209"/>
      <c r="H41" s="3209"/>
      <c r="I41" s="3209"/>
      <c r="J41" s="3209"/>
    </row>
    <row r="42" spans="1:10" ht="6" customHeight="1">
      <c r="A42" s="1522"/>
      <c r="B42" s="1522"/>
      <c r="C42" s="1522"/>
      <c r="D42" s="1522"/>
      <c r="E42" s="1522"/>
      <c r="F42" s="1522"/>
      <c r="G42" s="1522"/>
      <c r="H42" s="1522"/>
      <c r="I42" s="1522"/>
      <c r="J42" s="1522"/>
    </row>
    <row r="43" spans="1:10">
      <c r="A43" s="625" t="s">
        <v>2840</v>
      </c>
    </row>
    <row r="44" spans="1:10" ht="33" customHeight="1">
      <c r="A44" s="3201" t="s">
        <v>3880</v>
      </c>
      <c r="B44" s="3203"/>
      <c r="C44" s="3203"/>
      <c r="D44" s="3203"/>
      <c r="E44" s="3203"/>
      <c r="F44" s="3203"/>
      <c r="G44" s="3203"/>
      <c r="H44" s="3203"/>
      <c r="I44" s="3203"/>
      <c r="J44" s="3201"/>
    </row>
    <row r="45" spans="1:10" ht="3" customHeight="1"/>
    <row r="46" spans="1:10" ht="72.75" customHeight="1">
      <c r="A46" s="3201" t="s">
        <v>3881</v>
      </c>
      <c r="B46" s="3201"/>
      <c r="C46" s="3201"/>
      <c r="D46" s="3201"/>
      <c r="E46" s="3201"/>
      <c r="F46" s="3201"/>
      <c r="G46" s="3201"/>
      <c r="H46" s="3201"/>
      <c r="I46" s="3201"/>
      <c r="J46" s="3201"/>
    </row>
    <row r="47" spans="1:10" ht="3" customHeight="1">
      <c r="A47" s="1521"/>
      <c r="B47" s="1521"/>
      <c r="C47" s="1521"/>
      <c r="D47" s="1521"/>
      <c r="E47" s="1521"/>
      <c r="F47" s="1521"/>
      <c r="G47" s="1521"/>
      <c r="H47" s="1521"/>
      <c r="I47" s="1521"/>
      <c r="J47" s="1521"/>
    </row>
    <row r="48" spans="1:10" ht="56.25" customHeight="1">
      <c r="A48" s="3201" t="s">
        <v>3882</v>
      </c>
      <c r="B48" s="3201"/>
      <c r="C48" s="3201"/>
      <c r="D48" s="3201"/>
      <c r="E48" s="3201"/>
      <c r="F48" s="3201"/>
      <c r="G48" s="3201"/>
      <c r="H48" s="3201"/>
      <c r="I48" s="3201"/>
      <c r="J48" s="3201"/>
    </row>
    <row r="49" spans="1:17" ht="3" customHeight="1">
      <c r="A49" s="1521"/>
      <c r="B49" s="1521"/>
      <c r="C49" s="1521"/>
      <c r="D49" s="1521"/>
      <c r="E49" s="1521"/>
      <c r="F49" s="1521"/>
      <c r="G49" s="1521"/>
      <c r="H49" s="1521"/>
      <c r="I49" s="1521"/>
      <c r="J49" s="1521"/>
    </row>
    <row r="50" spans="1:17" ht="49.5" customHeight="1">
      <c r="A50" s="3201" t="s">
        <v>3883</v>
      </c>
      <c r="B50" s="3201"/>
      <c r="C50" s="3201"/>
      <c r="D50" s="3201"/>
      <c r="E50" s="3201"/>
      <c r="F50" s="3201"/>
      <c r="G50" s="3201"/>
      <c r="H50" s="3201"/>
      <c r="I50" s="3201"/>
      <c r="J50" s="1521"/>
    </row>
    <row r="51" spans="1:17" ht="3" customHeight="1">
      <c r="A51" s="1521"/>
      <c r="B51" s="1521"/>
      <c r="C51" s="1521"/>
      <c r="D51" s="1521"/>
      <c r="E51" s="1521"/>
      <c r="F51" s="1521"/>
      <c r="G51" s="1521"/>
      <c r="H51" s="1521"/>
      <c r="I51" s="1521"/>
      <c r="J51" s="1521"/>
    </row>
    <row r="52" spans="1:17" ht="54.75" customHeight="1">
      <c r="A52" s="3223" t="s">
        <v>3205</v>
      </c>
      <c r="B52" s="3213"/>
      <c r="C52" s="3213"/>
      <c r="D52" s="3213"/>
      <c r="E52" s="3213"/>
      <c r="F52" s="3213"/>
      <c r="G52" s="3213"/>
      <c r="H52" s="3213"/>
      <c r="I52" s="3213"/>
      <c r="J52" s="1521"/>
    </row>
    <row r="53" spans="1:17" ht="3" customHeight="1">
      <c r="A53" s="1521"/>
      <c r="B53" s="1521"/>
      <c r="C53" s="1521"/>
      <c r="D53" s="1521"/>
      <c r="E53" s="1521"/>
      <c r="F53" s="1521"/>
      <c r="G53" s="1521"/>
      <c r="H53" s="1521"/>
      <c r="I53" s="1521"/>
      <c r="J53" s="1521"/>
    </row>
    <row r="54" spans="1:17" ht="62.25" customHeight="1">
      <c r="A54" s="3213" t="s">
        <v>3884</v>
      </c>
      <c r="B54" s="3213"/>
      <c r="C54" s="3213"/>
      <c r="D54" s="3213"/>
      <c r="E54" s="3213"/>
      <c r="F54" s="3213"/>
      <c r="G54" s="3213"/>
      <c r="H54" s="3213"/>
      <c r="I54" s="3213"/>
      <c r="J54" s="3213"/>
    </row>
    <row r="55" spans="1:17" ht="3" customHeight="1"/>
    <row r="56" spans="1:17" ht="73.5" customHeight="1">
      <c r="A56" s="3201" t="s">
        <v>3885</v>
      </c>
      <c r="B56" s="3201"/>
      <c r="C56" s="3201"/>
      <c r="D56" s="3201"/>
      <c r="E56" s="3201"/>
      <c r="F56" s="3201"/>
      <c r="G56" s="3201"/>
      <c r="H56" s="3201"/>
      <c r="I56" s="3201"/>
      <c r="J56" s="3201"/>
    </row>
    <row r="57" spans="1:17" ht="6" customHeight="1">
      <c r="A57" s="1521" t="s">
        <v>238</v>
      </c>
      <c r="B57" s="1521"/>
      <c r="C57" s="1521"/>
      <c r="D57" s="1521"/>
      <c r="E57" s="1521"/>
      <c r="F57" s="1521"/>
      <c r="G57" s="1521"/>
      <c r="H57" s="1521"/>
      <c r="I57" s="1521"/>
      <c r="J57" s="1521"/>
    </row>
    <row r="58" spans="1:17">
      <c r="A58" s="625" t="s">
        <v>2843</v>
      </c>
      <c r="L58" s="626" t="s">
        <v>3364</v>
      </c>
    </row>
    <row r="59" spans="1:17" ht="73.5" customHeight="1">
      <c r="A59" s="3207" t="s">
        <v>2844</v>
      </c>
      <c r="B59" s="3207"/>
      <c r="C59" s="3207"/>
      <c r="D59" s="3207"/>
      <c r="E59" s="3207"/>
      <c r="F59" s="3207"/>
      <c r="G59" s="3207"/>
      <c r="H59" s="3207"/>
      <c r="I59" s="3207"/>
      <c r="J59" s="3207"/>
      <c r="L59" s="627">
        <f>'Closing term sheet'!C133</f>
        <v>235234.5</v>
      </c>
      <c r="M59" s="628"/>
      <c r="N59" s="628"/>
      <c r="O59" s="628"/>
    </row>
    <row r="60" spans="1:17" ht="7.5" customHeight="1">
      <c r="A60" s="1521"/>
      <c r="B60" s="1521"/>
      <c r="C60" s="1521"/>
      <c r="D60" s="1521"/>
      <c r="E60" s="1521"/>
      <c r="F60" s="1521"/>
      <c r="G60" s="1521"/>
      <c r="H60" s="1521"/>
      <c r="I60" s="1521"/>
      <c r="J60" s="1521"/>
      <c r="L60" s="629" t="s">
        <v>3365</v>
      </c>
      <c r="M60" s="630" t="s">
        <v>3370</v>
      </c>
      <c r="N60" s="631" t="s">
        <v>3367</v>
      </c>
      <c r="O60" s="629" t="s">
        <v>3366</v>
      </c>
      <c r="P60" s="630" t="s">
        <v>3369</v>
      </c>
      <c r="Q60" s="631" t="s">
        <v>3368</v>
      </c>
    </row>
    <row r="61" spans="1:17" ht="78.75" customHeight="1">
      <c r="A61" s="3213" t="s">
        <v>3277</v>
      </c>
      <c r="B61" s="3213"/>
      <c r="C61" s="3213"/>
      <c r="D61" s="3213"/>
      <c r="E61" s="3213"/>
      <c r="F61" s="3213"/>
      <c r="G61" s="3213"/>
      <c r="H61" s="3213"/>
      <c r="I61" s="3213"/>
      <c r="J61" s="632"/>
      <c r="L61" s="633">
        <f>'Part III-Sources of Funds'!I49</f>
        <v>3299670</v>
      </c>
      <c r="M61" s="634">
        <f>'Part IV-A-Uses of Funds'!$J$184</f>
        <v>375000</v>
      </c>
      <c r="N61" s="635">
        <f>'Part IV-A-Uses of Funds'!N175</f>
        <v>0.88</v>
      </c>
      <c r="O61" s="633">
        <f>'Part III-Sources of Funds'!I50</f>
        <v>1987500</v>
      </c>
      <c r="P61" s="634">
        <f>M61</f>
        <v>375000</v>
      </c>
      <c r="Q61" s="635">
        <f>'Part IV-A-Uses of Funds'!Q175</f>
        <v>0.53</v>
      </c>
    </row>
    <row r="62" spans="1:17" ht="18.75" customHeight="1">
      <c r="A62" s="636" t="s">
        <v>2845</v>
      </c>
    </row>
    <row r="63" spans="1:17" ht="177" customHeight="1">
      <c r="A63" s="3213" t="s">
        <v>3886</v>
      </c>
      <c r="B63" s="3213"/>
      <c r="C63" s="3213"/>
      <c r="D63" s="3213"/>
      <c r="E63" s="3213"/>
      <c r="F63" s="3213"/>
      <c r="G63" s="3213"/>
      <c r="H63" s="3213"/>
      <c r="I63" s="3213"/>
      <c r="J63" s="3213"/>
      <c r="L63" s="637">
        <f>'Part VII-Pro Forma'!K71</f>
        <v>0</v>
      </c>
      <c r="M63" s="3211" t="s">
        <v>3371</v>
      </c>
      <c r="N63" s="3212"/>
    </row>
    <row r="64" spans="1:17" ht="6" customHeight="1">
      <c r="A64" s="625"/>
    </row>
    <row r="65" spans="1:10">
      <c r="A65" s="625" t="s">
        <v>2846</v>
      </c>
    </row>
    <row r="66" spans="1:10" ht="72.599999999999994" customHeight="1">
      <c r="A66" s="3213" t="s">
        <v>2847</v>
      </c>
      <c r="B66" s="3213"/>
      <c r="C66" s="3213"/>
      <c r="D66" s="3213"/>
      <c r="E66" s="3213"/>
      <c r="F66" s="3213"/>
      <c r="G66" s="3213"/>
      <c r="H66" s="3213"/>
      <c r="I66" s="3213"/>
      <c r="J66" s="3213"/>
    </row>
    <row r="67" spans="1:10" ht="36" customHeight="1">
      <c r="A67" s="3213" t="s">
        <v>2848</v>
      </c>
      <c r="B67" s="3213"/>
      <c r="C67" s="3213"/>
      <c r="D67" s="3213"/>
      <c r="E67" s="3213"/>
      <c r="F67" s="3213"/>
      <c r="G67" s="3213"/>
      <c r="H67" s="3213"/>
      <c r="I67" s="3213"/>
      <c r="J67" s="3213"/>
    </row>
    <row r="68" spans="1:10" ht="6" customHeight="1">
      <c r="A68" s="625"/>
    </row>
    <row r="69" spans="1:10">
      <c r="A69" s="625" t="s">
        <v>2849</v>
      </c>
    </row>
    <row r="70" spans="1:10" ht="105.75" customHeight="1">
      <c r="A70" s="3201" t="s">
        <v>2850</v>
      </c>
      <c r="B70" s="3201"/>
      <c r="C70" s="3201"/>
      <c r="D70" s="3201"/>
      <c r="E70" s="3201"/>
      <c r="F70" s="3201"/>
      <c r="G70" s="3201"/>
      <c r="H70" s="3201"/>
      <c r="I70" s="3201"/>
      <c r="J70" s="3201"/>
    </row>
    <row r="71" spans="1:10" ht="6" customHeight="1">
      <c r="A71" s="625"/>
    </row>
    <row r="72" spans="1:10">
      <c r="A72" s="625" t="s">
        <v>2851</v>
      </c>
    </row>
    <row r="73" spans="1:10" ht="66" customHeight="1">
      <c r="A73" s="3201" t="s">
        <v>2852</v>
      </c>
      <c r="B73" s="3201"/>
      <c r="C73" s="3201"/>
      <c r="D73" s="3201"/>
      <c r="E73" s="3201"/>
      <c r="F73" s="3201"/>
      <c r="G73" s="3201"/>
      <c r="H73" s="3201"/>
      <c r="I73" s="3201"/>
      <c r="J73" s="3201"/>
    </row>
    <row r="74" spans="1:10" s="1523" customFormat="1" ht="6" customHeight="1">
      <c r="A74" s="3201"/>
      <c r="B74" s="3201"/>
      <c r="C74" s="3201"/>
      <c r="D74" s="3201"/>
      <c r="E74" s="3201"/>
      <c r="F74" s="3201"/>
      <c r="G74" s="3201"/>
      <c r="H74" s="3201"/>
      <c r="I74" s="3201"/>
      <c r="J74" s="3201"/>
    </row>
    <row r="75" spans="1:10" ht="16.5" customHeight="1">
      <c r="A75" s="1525" t="s">
        <v>2853</v>
      </c>
      <c r="B75" s="624"/>
      <c r="C75" s="624"/>
      <c r="D75" s="1527"/>
      <c r="E75" s="624"/>
      <c r="F75" s="624"/>
      <c r="G75" s="624"/>
      <c r="H75" s="624"/>
      <c r="I75" s="624"/>
      <c r="J75" s="638"/>
    </row>
    <row r="76" spans="1:10" s="1523" customFormat="1" ht="63" customHeight="1">
      <c r="A76" s="3201" t="s">
        <v>4094</v>
      </c>
      <c r="B76" s="3201"/>
      <c r="C76" s="3201"/>
      <c r="D76" s="3201"/>
      <c r="E76" s="3201"/>
      <c r="F76" s="3201"/>
      <c r="G76" s="3201"/>
      <c r="H76" s="3201"/>
      <c r="I76" s="3201"/>
      <c r="J76" s="3201"/>
    </row>
    <row r="77" spans="1:10" s="1523" customFormat="1" ht="6" customHeight="1">
      <c r="A77" s="1521"/>
      <c r="B77" s="1521"/>
      <c r="C77" s="1521"/>
      <c r="D77" s="1521"/>
      <c r="E77" s="1521"/>
      <c r="F77" s="1521"/>
      <c r="G77" s="1521"/>
      <c r="H77" s="1521"/>
      <c r="I77" s="1521"/>
      <c r="J77" s="1521"/>
    </row>
    <row r="78" spans="1:10" ht="16.5" customHeight="1">
      <c r="A78" s="3215" t="s">
        <v>2854</v>
      </c>
      <c r="B78" s="3216"/>
      <c r="C78" s="3216"/>
      <c r="D78" s="624"/>
      <c r="E78" s="624"/>
      <c r="F78" s="624"/>
      <c r="G78" s="624"/>
      <c r="H78" s="624"/>
      <c r="I78" s="624"/>
      <c r="J78" s="638"/>
    </row>
    <row r="79" spans="1:10" ht="41.25" customHeight="1">
      <c r="A79" s="3213" t="s">
        <v>3887</v>
      </c>
      <c r="B79" s="3217"/>
      <c r="C79" s="3217"/>
      <c r="D79" s="3217"/>
      <c r="E79" s="3217"/>
      <c r="F79" s="3217"/>
      <c r="G79" s="3217"/>
      <c r="H79" s="3217"/>
      <c r="I79" s="3217"/>
      <c r="J79" s="3217"/>
    </row>
    <row r="80" spans="1:10" ht="6" customHeight="1">
      <c r="A80" s="639"/>
      <c r="B80" s="624"/>
      <c r="C80" s="624"/>
      <c r="D80" s="624"/>
      <c r="E80" s="624"/>
      <c r="F80" s="624"/>
      <c r="G80" s="624"/>
      <c r="H80" s="624"/>
      <c r="I80" s="624"/>
      <c r="J80" s="638"/>
    </row>
    <row r="81" spans="1:15">
      <c r="A81" s="625" t="s">
        <v>2855</v>
      </c>
    </row>
    <row r="82" spans="1:15" ht="124.2" customHeight="1">
      <c r="A82" s="3213" t="s">
        <v>2856</v>
      </c>
      <c r="B82" s="3213"/>
      <c r="C82" s="3213"/>
      <c r="D82" s="3213"/>
      <c r="E82" s="3213"/>
      <c r="F82" s="3213"/>
      <c r="G82" s="3213"/>
      <c r="H82" s="3213"/>
      <c r="I82" s="3213"/>
      <c r="J82" s="3213"/>
      <c r="L82" s="3206" t="s">
        <v>2857</v>
      </c>
      <c r="M82" s="3206"/>
      <c r="N82" s="3206"/>
    </row>
    <row r="83" spans="1:15" ht="6" customHeight="1">
      <c r="A83" s="1524"/>
      <c r="B83" s="1524"/>
      <c r="C83" s="1524"/>
      <c r="D83" s="1524"/>
      <c r="E83" s="1524"/>
      <c r="F83" s="1524"/>
      <c r="G83" s="1524"/>
      <c r="H83" s="1524"/>
      <c r="I83" s="1524"/>
      <c r="J83" s="1524"/>
      <c r="L83" s="1526"/>
      <c r="M83" s="1526"/>
      <c r="N83" s="1526"/>
    </row>
    <row r="84" spans="1:15" ht="17.25" customHeight="1">
      <c r="A84" s="625" t="s">
        <v>2858</v>
      </c>
    </row>
    <row r="85" spans="1:15" ht="105" customHeight="1">
      <c r="A85" s="3213" t="s">
        <v>2859</v>
      </c>
      <c r="B85" s="3213"/>
      <c r="C85" s="3213"/>
      <c r="D85" s="3213"/>
      <c r="E85" s="3213"/>
      <c r="F85" s="3213"/>
      <c r="G85" s="3213"/>
      <c r="H85" s="3213"/>
      <c r="I85" s="3213"/>
      <c r="J85" s="3213"/>
      <c r="L85" s="3206" t="s">
        <v>2860</v>
      </c>
      <c r="M85" s="3206"/>
      <c r="N85" s="640" t="e">
        <f>'After-Tax Analysis'!G66</f>
        <v>#VALUE!</v>
      </c>
      <c r="O85" s="641" t="s">
        <v>2861</v>
      </c>
    </row>
    <row r="86" spans="1:15" ht="6" customHeight="1">
      <c r="A86" s="625"/>
    </row>
    <row r="87" spans="1:15">
      <c r="A87" s="625" t="s">
        <v>2862</v>
      </c>
    </row>
    <row r="88" spans="1:15" ht="118.5" customHeight="1">
      <c r="A88" s="3201" t="s">
        <v>2863</v>
      </c>
      <c r="B88" s="3201"/>
      <c r="C88" s="3201"/>
      <c r="D88" s="3201"/>
      <c r="E88" s="3201"/>
      <c r="F88" s="3201"/>
      <c r="G88" s="3201"/>
      <c r="H88" s="3201"/>
      <c r="I88" s="3201"/>
      <c r="J88" s="3201"/>
    </row>
    <row r="89" spans="1:15" ht="20.25" customHeight="1">
      <c r="A89" s="3203" t="s">
        <v>2864</v>
      </c>
      <c r="B89" s="3203"/>
      <c r="C89" s="3203"/>
      <c r="D89" s="3201"/>
      <c r="E89" s="1521"/>
      <c r="F89" s="1521"/>
      <c r="G89" s="1521"/>
      <c r="H89" s="1521"/>
      <c r="I89" s="1521"/>
      <c r="J89" s="1521"/>
    </row>
    <row r="90" spans="1:15" ht="109.5" customHeight="1">
      <c r="A90" s="3221" t="s">
        <v>2865</v>
      </c>
      <c r="B90" s="3222"/>
      <c r="C90" s="3222"/>
      <c r="D90" s="3222"/>
      <c r="E90" s="3222"/>
      <c r="F90" s="3222"/>
      <c r="G90" s="3222"/>
      <c r="H90" s="3222"/>
      <c r="I90" s="3222"/>
      <c r="J90" s="3222"/>
    </row>
    <row r="91" spans="1:15" ht="11.25" customHeight="1">
      <c r="A91" s="625"/>
    </row>
    <row r="92" spans="1:15">
      <c r="A92" s="625" t="s">
        <v>2866</v>
      </c>
    </row>
    <row r="93" spans="1:15" ht="110.4" customHeight="1">
      <c r="A93" s="3207" t="s">
        <v>2867</v>
      </c>
      <c r="B93" s="3207"/>
      <c r="C93" s="3207"/>
      <c r="D93" s="3207"/>
      <c r="E93" s="3207"/>
      <c r="F93" s="3207"/>
      <c r="G93" s="3207"/>
      <c r="H93" s="3207"/>
      <c r="I93" s="3207"/>
      <c r="J93" s="3207"/>
      <c r="L93" s="1172">
        <f>'Part VII-Pro Forma'!K71</f>
        <v>0</v>
      </c>
      <c r="M93" s="3214" t="s">
        <v>2868</v>
      </c>
      <c r="N93" s="3214"/>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03" t="s">
        <v>2869</v>
      </c>
      <c r="B97" s="3203"/>
      <c r="C97" s="3203"/>
      <c r="D97" s="1521"/>
      <c r="E97" s="1521"/>
      <c r="F97" s="1521"/>
      <c r="G97" s="1521"/>
      <c r="H97" s="1521"/>
      <c r="I97" s="1521"/>
      <c r="J97" s="638"/>
    </row>
    <row r="98" spans="1:10" ht="37.5" customHeight="1">
      <c r="A98" s="3213" t="s">
        <v>2870</v>
      </c>
      <c r="B98" s="3213"/>
      <c r="C98" s="3213"/>
      <c r="D98" s="3213"/>
      <c r="E98" s="3213"/>
      <c r="F98" s="3213"/>
      <c r="G98" s="3213"/>
      <c r="H98" s="3213"/>
      <c r="I98" s="3213"/>
      <c r="J98" s="3213"/>
    </row>
    <row r="99" spans="1:10" ht="6" customHeight="1">
      <c r="A99" s="625"/>
    </row>
    <row r="100" spans="1:10">
      <c r="A100" s="625" t="s">
        <v>2871</v>
      </c>
    </row>
    <row r="101" spans="1:10" ht="43.5" customHeight="1">
      <c r="A101" s="3201" t="s">
        <v>2872</v>
      </c>
      <c r="B101" s="3201"/>
      <c r="C101" s="3201"/>
      <c r="D101" s="3201"/>
      <c r="E101" s="3201"/>
      <c r="F101" s="3201"/>
      <c r="G101" s="3201"/>
      <c r="H101" s="3201"/>
      <c r="I101" s="3201"/>
      <c r="J101" s="3201"/>
    </row>
    <row r="102" spans="1:10" ht="6" customHeight="1">
      <c r="A102" s="1521"/>
      <c r="B102" s="1521"/>
      <c r="C102" s="1521"/>
      <c r="D102" s="1521"/>
      <c r="E102" s="1521"/>
      <c r="F102" s="1521"/>
      <c r="G102" s="1521"/>
      <c r="H102" s="1521"/>
      <c r="I102" s="1521"/>
      <c r="J102" s="1521"/>
    </row>
    <row r="103" spans="1:10">
      <c r="A103" s="625" t="s">
        <v>2873</v>
      </c>
    </row>
    <row r="105" spans="1:10" ht="18" thickBot="1">
      <c r="A105" s="2026" t="s">
        <v>2874</v>
      </c>
      <c r="B105" s="2026"/>
      <c r="C105" s="2026"/>
      <c r="D105" s="2026"/>
      <c r="E105" s="2026"/>
      <c r="F105" s="2026"/>
      <c r="G105" s="2027"/>
      <c r="H105" s="619" t="s">
        <v>2875</v>
      </c>
      <c r="I105" s="2026"/>
      <c r="J105" s="2026"/>
    </row>
    <row r="108" spans="1:10" ht="13.95" customHeight="1" thickBot="1">
      <c r="G108" s="2027"/>
      <c r="H108" s="619" t="s">
        <v>2876</v>
      </c>
    </row>
    <row r="109" spans="1:10">
      <c r="A109" s="619" t="s">
        <v>2877</v>
      </c>
    </row>
    <row r="112" spans="1:10" ht="14.4" thickBot="1">
      <c r="A112" s="642"/>
      <c r="B112" s="642"/>
      <c r="C112" s="642"/>
      <c r="D112" s="642"/>
      <c r="E112" s="2024"/>
      <c r="F112" s="642"/>
      <c r="G112" s="642"/>
      <c r="H112" s="642"/>
      <c r="I112" s="642"/>
      <c r="J112" s="642"/>
    </row>
    <row r="113" spans="1:10">
      <c r="A113" s="3219" t="s">
        <v>6835</v>
      </c>
      <c r="B113" s="3219"/>
      <c r="C113" s="3219"/>
      <c r="D113" s="3219"/>
      <c r="E113" s="3220"/>
      <c r="F113" s="2022" t="s">
        <v>6836</v>
      </c>
      <c r="G113" s="2022"/>
      <c r="H113" s="2025"/>
      <c r="I113" s="2025"/>
      <c r="J113" s="2022"/>
    </row>
    <row r="115" spans="1:10" ht="14.4" thickBot="1">
      <c r="A115" s="619" t="s">
        <v>2878</v>
      </c>
      <c r="B115" s="642"/>
      <c r="C115" s="642"/>
      <c r="H115" s="619" t="s">
        <v>2878</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2020-050  Twin Oaks Commons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2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224"/>
      <c r="J7" s="3224"/>
      <c r="K7" s="3224"/>
      <c r="L7" s="610"/>
      <c r="M7" s="610"/>
    </row>
    <row r="8" spans="1:14" ht="15.6">
      <c r="A8" s="613" t="s">
        <v>2881</v>
      </c>
      <c r="B8" s="613"/>
      <c r="C8" s="3224" t="str">
        <f>'Part I-Project Information'!F34</f>
        <v>Twin Oaks Commons</v>
      </c>
      <c r="D8" s="3224"/>
      <c r="E8" s="1233" t="str">
        <f>'Part I-Project Information'!O6</f>
        <v>2020-050</v>
      </c>
      <c r="F8" s="649" t="s">
        <v>2882</v>
      </c>
      <c r="G8" s="648"/>
      <c r="H8" s="3224" t="str">
        <f>CONCATENATE('Part I-Project Information'!F38,", ",'Part I-Project Information'!J39)</f>
        <v>Ludowici, Long</v>
      </c>
      <c r="I8" s="3224"/>
      <c r="J8" s="3224"/>
      <c r="K8" s="3224"/>
      <c r="L8" s="610"/>
      <c r="M8" s="650"/>
    </row>
    <row r="9" spans="1:14" ht="15.6">
      <c r="A9" s="613" t="s">
        <v>2884</v>
      </c>
      <c r="B9" s="613"/>
      <c r="C9" s="3224" t="s">
        <v>1726</v>
      </c>
      <c r="D9" s="3224"/>
      <c r="E9" s="648"/>
      <c r="F9" s="649" t="s">
        <v>2885</v>
      </c>
      <c r="G9" s="648"/>
      <c r="H9" s="3224" t="str">
        <f>'Part II-Development Team'!H5</f>
        <v>Twin Oaks Commons LLC</v>
      </c>
      <c r="I9" s="3224"/>
      <c r="J9" s="3224"/>
      <c r="K9" s="3224"/>
      <c r="L9" s="3224"/>
      <c r="M9" s="650"/>
    </row>
    <row r="10" spans="1:14" ht="15.6">
      <c r="A10" s="613" t="s">
        <v>2887</v>
      </c>
      <c r="B10" s="610"/>
      <c r="C10" s="1233" t="str">
        <f>'Part II-Development Team'!H14</f>
        <v>MVAH Twin Oaks Commons LLC</v>
      </c>
      <c r="D10" s="648"/>
      <c r="E10" s="648"/>
      <c r="F10" s="649" t="s">
        <v>3426</v>
      </c>
      <c r="G10" s="648"/>
      <c r="H10" s="3224" t="str">
        <f>'Part II-Development Team'!H33</f>
        <v>PNC Bank, N.A.</v>
      </c>
      <c r="I10" s="3224"/>
      <c r="J10" s="3224"/>
      <c r="K10" s="3224" t="str">
        <f>'Part II-Development Team'!H39</f>
        <v>Monarch Private Capital</v>
      </c>
      <c r="L10" s="3224"/>
    </row>
    <row r="11" spans="1:14" ht="15.6">
      <c r="A11" s="613" t="s">
        <v>2888</v>
      </c>
      <c r="B11" s="610"/>
      <c r="C11" s="1233" t="str">
        <f>IF('Part II-Development Team'!H20="","",'Part II-Development Team'!H20)</f>
        <v>N/A</v>
      </c>
      <c r="D11" s="648"/>
      <c r="E11" s="1165" t="str">
        <f>IF('Part II-Development Team'!H26="","",'Part II-Development Team'!H26)</f>
        <v>N/A</v>
      </c>
      <c r="F11" s="649" t="s">
        <v>633</v>
      </c>
      <c r="G11" s="648"/>
      <c r="H11" s="3224" t="str">
        <f>'Part II-Development Team'!H54</f>
        <v>MVAH Development LLC</v>
      </c>
      <c r="I11" s="3224"/>
      <c r="J11" s="3224"/>
      <c r="K11" s="3224" t="str">
        <f>'Part II-Development Team'!H60</f>
        <v>N/A</v>
      </c>
      <c r="L11" s="3224"/>
      <c r="M11" s="3224" t="str">
        <f>'Part II-Development Team'!H66</f>
        <v>N/A</v>
      </c>
      <c r="N11" s="3224"/>
    </row>
    <row r="12" spans="1:14" ht="15.6">
      <c r="A12" s="613" t="s">
        <v>2889</v>
      </c>
      <c r="B12" s="610"/>
      <c r="C12" s="1233" t="str">
        <f>'Part II-Development Team'!H86</f>
        <v>Empire Corporation of Tennessee, Inc.</v>
      </c>
      <c r="D12" s="648"/>
      <c r="E12" s="648"/>
      <c r="F12" s="649" t="s">
        <v>2890</v>
      </c>
      <c r="G12" s="648"/>
      <c r="H12" s="3224" t="str">
        <f>'Part II-Development Team'!H92</f>
        <v>MVAH Management LLC</v>
      </c>
      <c r="I12" s="3224"/>
      <c r="J12" s="3224"/>
      <c r="K12" s="3224"/>
      <c r="L12" s="610"/>
      <c r="M12" s="610"/>
    </row>
    <row r="13" spans="1:14" ht="15.6">
      <c r="A13" s="613" t="s">
        <v>2891</v>
      </c>
      <c r="B13" s="649"/>
      <c r="C13" s="609">
        <f>'Part VI-Revenues &amp; Expenses'!$P$67</f>
        <v>40</v>
      </c>
      <c r="E13" s="1166">
        <f>'Part VI-Revenues &amp; Expenses'!$P$63</f>
        <v>40</v>
      </c>
      <c r="F13" s="649" t="s">
        <v>3879</v>
      </c>
      <c r="G13" s="648"/>
      <c r="H13" s="1234">
        <f>'Part I-Project Information'!H76</f>
        <v>8</v>
      </c>
      <c r="I13" s="1167"/>
      <c r="J13" s="1167"/>
      <c r="K13" s="1234">
        <f>'Part I-Project Information'!P75</f>
        <v>38100</v>
      </c>
      <c r="L13" s="610"/>
      <c r="M13" s="610"/>
    </row>
    <row r="14" spans="1:14" ht="15.6">
      <c r="A14" s="613" t="s">
        <v>3198</v>
      </c>
      <c r="B14" s="610"/>
      <c r="C14" s="1234" t="str">
        <f>'Part I-Project Information'!H82</f>
        <v>Family</v>
      </c>
      <c r="D14" s="3224" t="str">
        <f>IF('Part I-Project Information'!N74=0,"",'Part I-Project Information'!N74)</f>
        <v/>
      </c>
      <c r="E14" s="3224"/>
      <c r="F14" s="649" t="s">
        <v>2892</v>
      </c>
      <c r="G14" s="648"/>
      <c r="H14" s="3225" t="s">
        <v>3373</v>
      </c>
      <c r="I14" s="3225"/>
      <c r="J14" s="3225"/>
      <c r="K14" s="3225" t="s">
        <v>3373</v>
      </c>
      <c r="L14" s="3225"/>
      <c r="M14" s="610"/>
    </row>
    <row r="15" spans="1:14" ht="15.6">
      <c r="A15" s="613" t="s">
        <v>2893</v>
      </c>
      <c r="B15" s="610"/>
      <c r="C15" s="651" t="s">
        <v>1726</v>
      </c>
      <c r="D15" s="648"/>
      <c r="E15" s="648"/>
      <c r="F15" s="649" t="s">
        <v>3199</v>
      </c>
      <c r="G15" s="648"/>
      <c r="H15" s="1233" t="str">
        <f>'Part I-Project Information'!K40</f>
        <v>Rural</v>
      </c>
      <c r="I15" s="648"/>
      <c r="J15" s="648"/>
      <c r="K15" s="648"/>
      <c r="L15" s="610"/>
      <c r="M15" s="610"/>
    </row>
    <row r="16" spans="1:14" ht="15.6">
      <c r="A16" s="613" t="s">
        <v>3402</v>
      </c>
      <c r="B16" s="610"/>
      <c r="C16" s="1233" t="str">
        <f>'Part I-Project Information'!H100</f>
        <v>No</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5691701.1975492882</v>
      </c>
      <c r="D18" s="1212">
        <f>IF(C18=0,"",$C$29/C18)</f>
        <v>6.5885398228822362E-2</v>
      </c>
      <c r="E18" s="648" t="s">
        <v>3202</v>
      </c>
      <c r="F18" s="649" t="s">
        <v>3203</v>
      </c>
      <c r="G18" s="648"/>
      <c r="H18" s="3226">
        <f>'Part IV-A-Uses of Funds'!B44</f>
        <v>2360253.5499999998</v>
      </c>
      <c r="I18" s="3226"/>
      <c r="J18" s="1211">
        <f>IF(H18=0,"",$C$29/H18)</f>
        <v>0.15888123545031849</v>
      </c>
      <c r="K18" s="3224" t="s">
        <v>3204</v>
      </c>
      <c r="L18" s="3224"/>
      <c r="M18" s="610"/>
    </row>
    <row r="19" spans="1:13" ht="15.6">
      <c r="A19" s="613" t="s">
        <v>2894</v>
      </c>
      <c r="B19" s="610"/>
      <c r="C19" s="1235">
        <f>C18/C13</f>
        <v>142292.52993873222</v>
      </c>
      <c r="D19" s="648"/>
      <c r="E19" s="610"/>
      <c r="F19" s="613" t="s">
        <v>2894</v>
      </c>
      <c r="G19" s="610"/>
      <c r="H19" s="3227">
        <f>H18/C13</f>
        <v>59006.338749999995</v>
      </c>
      <c r="I19" s="3227"/>
      <c r="J19" s="610"/>
      <c r="K19" s="610"/>
      <c r="L19" s="610"/>
      <c r="M19" s="610"/>
    </row>
    <row r="20" spans="1:13" ht="15.6">
      <c r="A20" s="613" t="s">
        <v>2895</v>
      </c>
      <c r="B20" s="610"/>
      <c r="C20" s="1237">
        <f>C18/K13</f>
        <v>149.38848287530939</v>
      </c>
      <c r="D20" s="653"/>
      <c r="E20" s="654"/>
      <c r="F20" s="613" t="s">
        <v>2895</v>
      </c>
      <c r="G20" s="610"/>
      <c r="H20" s="3228">
        <f>H18/K13</f>
        <v>61.94891207349081</v>
      </c>
      <c r="I20" s="3227"/>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PNC Bank, N.A.</v>
      </c>
      <c r="C25" s="660">
        <f>'Part III-Sources of Funds'!I38</f>
        <v>375000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375000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5287170</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375000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6.5885398228822362E-2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0.15888123545031849</v>
      </c>
      <c r="D40" s="610"/>
      <c r="E40" s="610"/>
      <c r="F40" s="613"/>
      <c r="G40" s="613" t="s">
        <v>2915</v>
      </c>
      <c r="H40" s="610"/>
      <c r="I40" s="610"/>
      <c r="K40" s="662">
        <f>C30/C18</f>
        <v>0.92892613587595396</v>
      </c>
      <c r="L40" s="610"/>
      <c r="M40" s="610"/>
    </row>
    <row r="46" spans="1:13" ht="15.6">
      <c r="A46" s="673" t="s">
        <v>2916</v>
      </c>
      <c r="B46" s="643"/>
      <c r="C46" s="643"/>
      <c r="D46" s="643"/>
      <c r="E46" s="643"/>
      <c r="F46" s="643"/>
      <c r="G46" s="643"/>
      <c r="H46" s="643"/>
      <c r="I46" s="643"/>
      <c r="J46" s="643"/>
      <c r="K46" s="643"/>
      <c r="L46" s="643"/>
      <c r="M46" s="610"/>
    </row>
    <row r="47" spans="1:13" ht="15.6">
      <c r="A47" s="673" t="str">
        <f>C8</f>
        <v>Twin Oaks Commons</v>
      </c>
      <c r="B47" s="643"/>
      <c r="C47" s="643"/>
      <c r="D47" s="643"/>
      <c r="E47" s="643"/>
      <c r="F47" s="643"/>
      <c r="G47" s="643"/>
      <c r="H47" s="643"/>
      <c r="I47" s="643"/>
      <c r="J47" s="643"/>
      <c r="K47" s="643"/>
      <c r="L47" s="643"/>
      <c r="M47" s="610"/>
    </row>
    <row r="50" spans="1:14" s="610" customFormat="1" ht="15.6">
      <c r="A50" s="613" t="s">
        <v>2917</v>
      </c>
      <c r="C50" s="674" t="s">
        <v>2918</v>
      </c>
      <c r="E50" s="675" t="s">
        <v>3374</v>
      </c>
      <c r="F50" s="676">
        <v>0.1</v>
      </c>
      <c r="G50" s="675" t="s">
        <v>3375</v>
      </c>
      <c r="H50" s="676">
        <v>0.05</v>
      </c>
      <c r="I50" s="675" t="s">
        <v>3376</v>
      </c>
      <c r="J50" s="676">
        <v>0.03</v>
      </c>
      <c r="K50" s="3229" t="s">
        <v>2919</v>
      </c>
      <c r="L50" s="3230"/>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226128</v>
      </c>
      <c r="D52" s="679"/>
      <c r="E52" s="679">
        <f>$C$52</f>
        <v>226128</v>
      </c>
      <c r="F52" s="679"/>
      <c r="G52" s="679">
        <f>$C$52</f>
        <v>226128</v>
      </c>
      <c r="H52" s="679"/>
      <c r="I52" s="679">
        <f>$C$52</f>
        <v>226128</v>
      </c>
      <c r="J52" s="679"/>
      <c r="K52" s="679">
        <f>$C$52</f>
        <v>226128</v>
      </c>
      <c r="L52" s="680"/>
      <c r="M52" s="27"/>
      <c r="N52" s="27"/>
    </row>
    <row r="53" spans="1:14" s="610" customFormat="1" ht="18.75" customHeight="1">
      <c r="B53" s="678" t="s">
        <v>2923</v>
      </c>
      <c r="C53" s="679">
        <f>'Part VII-Pro Forma'!B15</f>
        <v>4522.5600000000004</v>
      </c>
      <c r="D53" s="679"/>
      <c r="E53" s="679">
        <f>$C$53</f>
        <v>4522.5600000000004</v>
      </c>
      <c r="F53" s="679"/>
      <c r="G53" s="679">
        <f>$C$53</f>
        <v>4522.5600000000004</v>
      </c>
      <c r="H53" s="679"/>
      <c r="I53" s="679">
        <f>$C$53</f>
        <v>4522.5600000000004</v>
      </c>
      <c r="J53" s="679"/>
      <c r="K53" s="679">
        <f>$C$53</f>
        <v>4522.5600000000004</v>
      </c>
      <c r="L53" s="680"/>
      <c r="M53" s="27"/>
      <c r="N53" s="27"/>
    </row>
    <row r="54" spans="1:14" s="610" customFormat="1" ht="18.75" customHeight="1">
      <c r="B54" s="678" t="s">
        <v>2921</v>
      </c>
      <c r="C54" s="679">
        <f>'Part VII-Pro Forma'!B16</f>
        <v>-16145.539200000001</v>
      </c>
      <c r="D54" s="679"/>
      <c r="E54" s="679">
        <f>-($C$52+E53)*F50</f>
        <v>-23065.056</v>
      </c>
      <c r="F54" s="681"/>
      <c r="G54" s="679">
        <f>-($C$52+G53)*0.07</f>
        <v>-16145.539200000001</v>
      </c>
      <c r="H54" s="679"/>
      <c r="I54" s="679">
        <f>-($C$52+I53)*0.07</f>
        <v>-16145.539200000001</v>
      </c>
      <c r="J54" s="679"/>
      <c r="K54" s="679">
        <f>-($C$52+K53)*L54</f>
        <v>-23065.056</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214505.0208</v>
      </c>
      <c r="D56" s="679"/>
      <c r="E56" s="685">
        <f>SUM(E52:E55)</f>
        <v>207585.50399999999</v>
      </c>
      <c r="F56" s="679"/>
      <c r="G56" s="685">
        <f>SUM(G52:G55)</f>
        <v>214505.0208</v>
      </c>
      <c r="H56" s="679"/>
      <c r="I56" s="685">
        <f>SUM(I52:I55)</f>
        <v>214505.0208</v>
      </c>
      <c r="J56" s="679"/>
      <c r="K56" s="685">
        <f>SUM(K52:K55)</f>
        <v>207585.50399999999</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79250</v>
      </c>
      <c r="D58" s="679"/>
      <c r="E58" s="679">
        <f>$C$58</f>
        <v>79250</v>
      </c>
      <c r="F58" s="679"/>
      <c r="G58" s="679">
        <f>$C$58</f>
        <v>79250</v>
      </c>
      <c r="H58" s="679"/>
      <c r="I58" s="679">
        <f>$C$58</f>
        <v>79250</v>
      </c>
      <c r="J58" s="679"/>
      <c r="K58" s="679">
        <f>$C$58</f>
        <v>79250</v>
      </c>
      <c r="L58" s="680"/>
      <c r="M58" s="27"/>
      <c r="N58" s="27"/>
    </row>
    <row r="59" spans="1:14" s="610" customFormat="1" ht="18.75" customHeight="1">
      <c r="B59" s="678" t="s">
        <v>2926</v>
      </c>
      <c r="C59" s="679">
        <f>+'Part VI-Revenues &amp; Expenses'!F246</f>
        <v>19000</v>
      </c>
      <c r="D59" s="679"/>
      <c r="E59" s="679">
        <f>$C$59</f>
        <v>19000</v>
      </c>
      <c r="F59" s="679"/>
      <c r="G59" s="679">
        <f>$C$59</f>
        <v>19000</v>
      </c>
      <c r="H59" s="679"/>
      <c r="I59" s="679">
        <f>$C$59</f>
        <v>19000</v>
      </c>
      <c r="J59" s="679"/>
      <c r="K59" s="679">
        <f>$C$59*(1+$L$59)</f>
        <v>19760</v>
      </c>
      <c r="L59" s="687">
        <v>0.04</v>
      </c>
      <c r="M59" s="27"/>
      <c r="N59" s="27"/>
    </row>
    <row r="60" spans="1:14" s="610" customFormat="1" ht="18.75" customHeight="1">
      <c r="B60" s="678" t="s">
        <v>1347</v>
      </c>
      <c r="C60" s="679">
        <f>+'Part VI-Revenues &amp; Expenses'!L239</f>
        <v>20000</v>
      </c>
      <c r="D60" s="679"/>
      <c r="E60" s="679">
        <f>$C$60</f>
        <v>20000</v>
      </c>
      <c r="F60" s="679"/>
      <c r="G60" s="679">
        <f>$C$60</f>
        <v>20000</v>
      </c>
      <c r="H60" s="679"/>
      <c r="I60" s="679">
        <f>$C$60*(1+$J$50)</f>
        <v>20600</v>
      </c>
      <c r="J60" s="681"/>
      <c r="K60" s="679">
        <f>$C$60*(1+$J$50)</f>
        <v>20600</v>
      </c>
      <c r="L60" s="682">
        <v>0.03</v>
      </c>
      <c r="M60" s="27"/>
      <c r="N60" s="27"/>
    </row>
    <row r="61" spans="1:14" s="610" customFormat="1" ht="18.75" customHeight="1">
      <c r="B61" s="678" t="s">
        <v>1348</v>
      </c>
      <c r="C61" s="679">
        <f>+'Part VI-Revenues &amp; Expenses'!L246</f>
        <v>17743</v>
      </c>
      <c r="D61" s="679"/>
      <c r="E61" s="679">
        <f>$C$61</f>
        <v>17743</v>
      </c>
      <c r="F61" s="679"/>
      <c r="G61" s="679">
        <f>$C$61*(1+H50)</f>
        <v>18630.150000000001</v>
      </c>
      <c r="H61" s="681"/>
      <c r="I61" s="679">
        <f>$C$61</f>
        <v>17743</v>
      </c>
      <c r="J61" s="679"/>
      <c r="K61" s="679">
        <f>$C$61*(1+$L$61)</f>
        <v>18630.150000000001</v>
      </c>
      <c r="L61" s="682">
        <v>0.05</v>
      </c>
      <c r="M61" s="27"/>
      <c r="N61" s="27"/>
    </row>
    <row r="62" spans="1:14" s="610" customFormat="1" ht="18.75" customHeight="1">
      <c r="B62" s="684" t="s">
        <v>2927</v>
      </c>
      <c r="C62" s="685">
        <f>SUM(C58:C61)</f>
        <v>135993</v>
      </c>
      <c r="D62" s="679"/>
      <c r="E62" s="685">
        <f>SUM(E58:E61)</f>
        <v>135993</v>
      </c>
      <c r="F62" s="679"/>
      <c r="G62" s="685">
        <f>SUM(G58:G61)</f>
        <v>136880.15</v>
      </c>
      <c r="H62" s="679"/>
      <c r="I62" s="685">
        <f>SUM(I58:I61)</f>
        <v>136593</v>
      </c>
      <c r="J62" s="679"/>
      <c r="K62" s="685">
        <f>SUM(K58:K61)</f>
        <v>138240.15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78512.020799999998</v>
      </c>
      <c r="D64" s="691"/>
      <c r="E64" s="691">
        <f>E56-E62</f>
        <v>71592.503999999986</v>
      </c>
      <c r="F64" s="691"/>
      <c r="G64" s="691">
        <f>G56-G62</f>
        <v>77624.870800000004</v>
      </c>
      <c r="H64" s="691"/>
      <c r="I64" s="691">
        <f>I56-I62</f>
        <v>77912.020799999998</v>
      </c>
      <c r="J64" s="691"/>
      <c r="K64" s="691">
        <f>K56-K62</f>
        <v>69345.353999999992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14000</v>
      </c>
      <c r="D66" s="686"/>
      <c r="E66" s="686">
        <f>$C$66</f>
        <v>14000</v>
      </c>
      <c r="F66" s="686"/>
      <c r="G66" s="686">
        <f>$C$66</f>
        <v>14000</v>
      </c>
      <c r="H66" s="686"/>
      <c r="I66" s="686">
        <f>$C$66</f>
        <v>14000</v>
      </c>
      <c r="J66" s="686"/>
      <c r="K66" s="686">
        <f>$C$66</f>
        <v>14000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15015</v>
      </c>
      <c r="D68" s="686"/>
      <c r="E68" s="686">
        <f>$C$68</f>
        <v>15015</v>
      </c>
      <c r="F68" s="686"/>
      <c r="G68" s="686">
        <f>$C$68</f>
        <v>15015</v>
      </c>
      <c r="H68" s="686"/>
      <c r="I68" s="686">
        <f>$C$68</f>
        <v>15015</v>
      </c>
      <c r="J68" s="686"/>
      <c r="K68" s="686">
        <f>$C$68</f>
        <v>15015</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49497.020799999998</v>
      </c>
      <c r="D70" s="695"/>
      <c r="E70" s="694">
        <f>E64-E66-E68</f>
        <v>42577.503999999986</v>
      </c>
      <c r="F70" s="695"/>
      <c r="G70" s="694">
        <f>G64-G66-G68</f>
        <v>48609.870800000004</v>
      </c>
      <c r="H70" s="695"/>
      <c r="I70" s="694">
        <f>I64-I66-I68</f>
        <v>48897.020799999998</v>
      </c>
      <c r="J70" s="695"/>
      <c r="K70" s="694">
        <f>K64-K66-K68</f>
        <v>40330.353999999992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2.2359109629063139</v>
      </c>
      <c r="D72" s="697"/>
      <c r="E72" s="1213">
        <f>-E70/E75</f>
        <v>1.9233381409247849</v>
      </c>
      <c r="F72" s="697"/>
      <c r="G72" s="1213">
        <f>-G70/G75</f>
        <v>2.1958360578174339</v>
      </c>
      <c r="H72" s="697"/>
      <c r="I72" s="1213">
        <f>-I70/I75</f>
        <v>2.2088073805884103</v>
      </c>
      <c r="J72" s="697"/>
      <c r="K72" s="1213">
        <f>-K70/K75</f>
        <v>1.8218284492486565</v>
      </c>
      <c r="L72" s="698"/>
      <c r="M72" s="245"/>
      <c r="N72" s="245"/>
    </row>
    <row r="73" spans="1:14" s="610" customFormat="1" ht="18.75" customHeight="1">
      <c r="A73" s="27"/>
      <c r="B73" s="678" t="s">
        <v>2933</v>
      </c>
      <c r="C73" s="1214">
        <f>C76/C62</f>
        <v>0.20118480878738784</v>
      </c>
      <c r="D73" s="699"/>
      <c r="E73" s="1214">
        <f>E76/E62</f>
        <v>0.15030338989082689</v>
      </c>
      <c r="F73" s="699"/>
      <c r="G73" s="1214">
        <f>G76/G62</f>
        <v>0.19339966899088903</v>
      </c>
      <c r="H73" s="699"/>
      <c r="I73" s="1214">
        <f>I76/I62</f>
        <v>0.19590847042984072</v>
      </c>
      <c r="J73" s="699"/>
      <c r="K73" s="1214">
        <f>K76/K62</f>
        <v>0.13160473929913435</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-22137.295098576764</v>
      </c>
      <c r="D75" s="679"/>
      <c r="E75" s="679">
        <f>$C$75</f>
        <v>-22137.295098576764</v>
      </c>
      <c r="F75" s="679"/>
      <c r="G75" s="679">
        <f>$C$75</f>
        <v>-22137.295098576764</v>
      </c>
      <c r="H75" s="679"/>
      <c r="I75" s="679">
        <f>$C$75</f>
        <v>-22137.295098576764</v>
      </c>
      <c r="J75" s="679"/>
      <c r="K75" s="679">
        <f>$C$75</f>
        <v>-22137.295098576764</v>
      </c>
      <c r="L75" s="33"/>
      <c r="M75" s="27"/>
      <c r="N75" s="27"/>
    </row>
    <row r="76" spans="1:14" s="610" customFormat="1" ht="18.75" customHeight="1">
      <c r="A76" s="27"/>
      <c r="B76" s="678" t="s">
        <v>1141</v>
      </c>
      <c r="C76" s="679">
        <f>C70+C75</f>
        <v>27359.725701423235</v>
      </c>
      <c r="D76" s="679"/>
      <c r="E76" s="679">
        <f>E70+E75</f>
        <v>20440.208901423222</v>
      </c>
      <c r="F76" s="679"/>
      <c r="G76" s="679">
        <f>G70+G75</f>
        <v>26472.57570142324</v>
      </c>
      <c r="H76" s="679"/>
      <c r="I76" s="679">
        <f>I70+I75</f>
        <v>26759.725701423235</v>
      </c>
      <c r="J76" s="679"/>
      <c r="K76" s="679">
        <f>K70+K75</f>
        <v>18193.058901423228</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1686</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3843</v>
      </c>
    </row>
    <row r="3" spans="1:7" ht="3" customHeight="1"/>
    <row r="4" spans="1:7">
      <c r="A4" s="1150" t="s">
        <v>3844</v>
      </c>
      <c r="B4" s="1151">
        <f>+'Part IV-A-Uses of Funds'!$G$132</f>
        <v>5691701.1975492882</v>
      </c>
    </row>
    <row r="5" spans="1:7">
      <c r="A5" s="1150" t="s">
        <v>3875</v>
      </c>
      <c r="B5" s="1151">
        <f>+B18+B26+B38</f>
        <v>388815.86612574063</v>
      </c>
    </row>
    <row r="6" spans="1:7">
      <c r="A6" s="1150" t="s">
        <v>3845</v>
      </c>
      <c r="B6" s="1152">
        <f>+B5-B4</f>
        <v>-5302885.3314235471</v>
      </c>
    </row>
    <row r="7" spans="1:7">
      <c r="A7" s="1150" t="s">
        <v>3846</v>
      </c>
      <c r="B7" s="1153">
        <f>+B6/B4</f>
        <v>-0.93168723152698951</v>
      </c>
    </row>
    <row r="8" spans="1:7" ht="9" customHeight="1"/>
    <row r="9" spans="1:7">
      <c r="A9" s="1150" t="s">
        <v>3847</v>
      </c>
      <c r="B9" s="1151">
        <f>+B18+B26+B33</f>
        <v>388815.86612574063</v>
      </c>
    </row>
    <row r="10" spans="1:7">
      <c r="A10" s="1150" t="s">
        <v>3845</v>
      </c>
      <c r="B10" s="1152">
        <f>+B9-B4</f>
        <v>-5302885.3314235471</v>
      </c>
    </row>
    <row r="11" spans="1:7">
      <c r="A11" s="1150" t="s">
        <v>3846</v>
      </c>
      <c r="B11" s="1153">
        <f>+B10/B4</f>
        <v>-0.93168723152698951</v>
      </c>
    </row>
    <row r="12" spans="1:7" ht="24" customHeight="1"/>
    <row r="13" spans="1:7">
      <c r="A13" s="1149" t="s">
        <v>3848</v>
      </c>
      <c r="D13" s="1219" t="s">
        <v>4104</v>
      </c>
      <c r="E13" s="1220"/>
    </row>
    <row r="14" spans="1:7">
      <c r="A14" s="1150" t="s">
        <v>3849</v>
      </c>
      <c r="B14" s="1154">
        <f>+SUM('Part III-Sources of Funds'!L49:M50)</f>
        <v>5287500</v>
      </c>
      <c r="D14" s="1220"/>
      <c r="E14" s="1220"/>
    </row>
    <row r="15" spans="1:7">
      <c r="A15" s="1150" t="s">
        <v>3850</v>
      </c>
      <c r="B15" s="1155">
        <f>+'Part IV-A-Uses of Funds'!J173</f>
        <v>531670.11975492886</v>
      </c>
      <c r="D15" s="1220" t="s">
        <v>1995</v>
      </c>
      <c r="G15" s="1221">
        <f>'Part IV-A-Uses of Funds'!J155</f>
        <v>0</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0</v>
      </c>
    </row>
    <row r="20" spans="1:7">
      <c r="A20" s="1150" t="s">
        <v>3853</v>
      </c>
      <c r="B20" s="1154">
        <f>+B18-B14</f>
        <v>-5287500</v>
      </c>
      <c r="D20" s="1220" t="s">
        <v>4109</v>
      </c>
      <c r="G20" s="1223">
        <f>+B14-G19</f>
        <v>5287500</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375000</v>
      </c>
    </row>
    <row r="25" spans="1:7">
      <c r="A25" s="1150" t="s">
        <v>3857</v>
      </c>
      <c r="B25" s="1158">
        <f>IF('Part III-Sources of Funds'!E5="Yes","N/A",MAX(B46:P46))</f>
        <v>-13447.298341551828</v>
      </c>
    </row>
    <row r="26" spans="1:7">
      <c r="A26" s="1150" t="s">
        <v>3858</v>
      </c>
      <c r="B26" s="1148">
        <f>IFERROR(PV('Part III-Sources of Funds'!K38,'Part III-Sources of Funds'!L38,B25+B45),B24)</f>
        <v>388815.86612574063</v>
      </c>
    </row>
    <row r="27" spans="1:7" ht="9" customHeight="1">
      <c r="B27" s="1148"/>
    </row>
    <row r="28" spans="1:7">
      <c r="A28" s="1150" t="s">
        <v>3859</v>
      </c>
      <c r="B28" s="1159">
        <f>+B26-B24</f>
        <v>13815.866125740635</v>
      </c>
      <c r="C28" s="1160"/>
    </row>
    <row r="29" spans="1:7">
      <c r="A29" s="1150" t="s">
        <v>3854</v>
      </c>
      <c r="B29" s="1161">
        <f>+B28/B24</f>
        <v>3.6842309668641694E-2</v>
      </c>
    </row>
    <row r="30" spans="1:7" ht="24" customHeight="1"/>
    <row r="31" spans="1:7">
      <c r="A31" s="1149" t="s">
        <v>3767</v>
      </c>
    </row>
    <row r="32" spans="1:7">
      <c r="A32" s="1150" t="s">
        <v>3860</v>
      </c>
      <c r="B32" s="1162">
        <f>+'Part III-Sources of Funds'!I43</f>
        <v>29531</v>
      </c>
    </row>
    <row r="33" spans="1:11">
      <c r="A33" s="1150" t="s">
        <v>3861</v>
      </c>
      <c r="B33" s="1148"/>
    </row>
    <row r="34" spans="1:11" ht="9" customHeight="1">
      <c r="B34" s="1148"/>
    </row>
    <row r="35" spans="1:11">
      <c r="A35" s="1150" t="s">
        <v>3862</v>
      </c>
      <c r="B35" s="1162">
        <f>+B33-B32</f>
        <v>-29531</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1176</v>
      </c>
      <c r="B44" s="1151">
        <f>+'Part VII-Pro Forma'!B24</f>
        <v>49497.020799999998</v>
      </c>
      <c r="C44" s="1151">
        <f>+'Part VII-Pro Forma'!C24</f>
        <v>48986.331215999991</v>
      </c>
      <c r="D44" s="1151">
        <f>+'Part VII-Pro Forma'!D24</f>
        <v>48421.449940319995</v>
      </c>
      <c r="E44" s="1151">
        <f>+'Part VII-Pro Forma'!E24</f>
        <v>47799.043202126384</v>
      </c>
      <c r="F44" s="1151">
        <f>+'Part VII-Pro Forma'!F24</f>
        <v>47115.690057058957</v>
      </c>
      <c r="G44" s="1151">
        <f>+'Part VII-Pro Forma'!G24</f>
        <v>46369.879428816828</v>
      </c>
      <c r="H44" s="1151">
        <f>+'Part VII-Pro Forma'!H24</f>
        <v>45558.007055128372</v>
      </c>
      <c r="I44" s="1151">
        <f>+'Part VII-Pro Forma'!I24</f>
        <v>44678.372335098124</v>
      </c>
      <c r="J44" s="1151">
        <f>+'Part VII-Pro Forma'!J24</f>
        <v>43727.175074833423</v>
      </c>
      <c r="K44" s="1151">
        <f>+'Part VII-Pro Forma'!K24</f>
        <v>42701.512128154311</v>
      </c>
    </row>
    <row r="45" spans="1:11">
      <c r="A45" s="1150" t="s">
        <v>3866</v>
      </c>
      <c r="B45" s="1151">
        <f>SUM('Part VII-Pro Forma'!B25:B28)</f>
        <v>-22137.295098576764</v>
      </c>
      <c r="C45" s="1151">
        <f>SUM('Part VII-Pro Forma'!C25:C28)</f>
        <v>-22137.295098576764</v>
      </c>
      <c r="D45" s="1151">
        <f>SUM('Part VII-Pro Forma'!D25:D28)</f>
        <v>-22137.295098576764</v>
      </c>
      <c r="E45" s="1151">
        <f>SUM('Part VII-Pro Forma'!E25:E28)</f>
        <v>-22137.295098576764</v>
      </c>
      <c r="F45" s="1151">
        <f>SUM('Part VII-Pro Forma'!F25:F28)</f>
        <v>-22137.295098576764</v>
      </c>
      <c r="G45" s="1151">
        <f>SUM('Part VII-Pro Forma'!G25:G28)</f>
        <v>-22137.295098576764</v>
      </c>
      <c r="H45" s="1151">
        <f>SUM('Part VII-Pro Forma'!H25:H28)</f>
        <v>-22137.295098576764</v>
      </c>
      <c r="I45" s="1151">
        <f>SUM('Part VII-Pro Forma'!I25:I28)</f>
        <v>-22137.295098576764</v>
      </c>
      <c r="J45" s="1151">
        <f>SUM('Part VII-Pro Forma'!J25:J28)</f>
        <v>-22137.295098576764</v>
      </c>
      <c r="K45" s="1151">
        <f>SUM('Part VII-Pro Forma'!K25:K28)</f>
        <v>-22137.295098576764</v>
      </c>
    </row>
    <row r="46" spans="1:11">
      <c r="A46" s="1150" t="s">
        <v>3867</v>
      </c>
      <c r="B46" s="1152">
        <f t="shared" ref="B46:K46" si="0">-B44/B48-B45</f>
        <v>-19110.222234756573</v>
      </c>
      <c r="C46" s="1152">
        <f t="shared" si="0"/>
        <v>-18684.647581423229</v>
      </c>
      <c r="D46" s="1152">
        <f t="shared" si="0"/>
        <v>-18213.913185023233</v>
      </c>
      <c r="E46" s="1152">
        <f t="shared" si="0"/>
        <v>-17695.240903195223</v>
      </c>
      <c r="F46" s="1152">
        <f t="shared" si="0"/>
        <v>-17125.779948972366</v>
      </c>
      <c r="G46" s="1152">
        <f t="shared" si="0"/>
        <v>-16504.271092103929</v>
      </c>
      <c r="H46" s="1152">
        <f t="shared" si="0"/>
        <v>-15827.710780696882</v>
      </c>
      <c r="I46" s="1152">
        <f t="shared" si="0"/>
        <v>-15094.681847338343</v>
      </c>
      <c r="J46" s="1152">
        <f t="shared" si="0"/>
        <v>-14302.017463784421</v>
      </c>
      <c r="K46" s="1152">
        <f t="shared" si="0"/>
        <v>-13447.298341551828</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1141</v>
      </c>
    </row>
    <row r="51" spans="1:17">
      <c r="A51" s="1150" t="s">
        <v>1176</v>
      </c>
      <c r="B51" s="1152">
        <f>+B44</f>
        <v>49497.020799999998</v>
      </c>
      <c r="C51" s="1152">
        <f t="shared" ref="C51:K51" si="2">+C44</f>
        <v>48986.331215999991</v>
      </c>
      <c r="D51" s="1152">
        <f t="shared" si="2"/>
        <v>48421.449940319995</v>
      </c>
      <c r="E51" s="1152">
        <f t="shared" si="2"/>
        <v>47799.043202126384</v>
      </c>
      <c r="F51" s="1152">
        <f t="shared" si="2"/>
        <v>47115.690057058957</v>
      </c>
      <c r="G51" s="1152">
        <f t="shared" si="2"/>
        <v>46369.879428816828</v>
      </c>
      <c r="H51" s="1152">
        <f t="shared" si="2"/>
        <v>45558.007055128372</v>
      </c>
      <c r="I51" s="1152">
        <f t="shared" si="2"/>
        <v>44678.372335098124</v>
      </c>
      <c r="J51" s="1152">
        <f t="shared" si="2"/>
        <v>43727.175074833423</v>
      </c>
      <c r="K51" s="1152">
        <f t="shared" si="2"/>
        <v>42701.512128154311</v>
      </c>
    </row>
    <row r="52" spans="1:17">
      <c r="A52" s="1150" t="s">
        <v>3869</v>
      </c>
      <c r="B52" s="1152">
        <f>IF($B$25="N/A",B45,B45+$B$25)</f>
        <v>-35584.593440128592</v>
      </c>
      <c r="C52" s="1152">
        <f t="shared" ref="C52:K52" si="3">IF($B$25="N/A",C45,C45+$B$25)</f>
        <v>-35584.593440128592</v>
      </c>
      <c r="D52" s="1152">
        <f t="shared" si="3"/>
        <v>-35584.593440128592</v>
      </c>
      <c r="E52" s="1152">
        <f t="shared" si="3"/>
        <v>-35584.593440128592</v>
      </c>
      <c r="F52" s="1152">
        <f t="shared" si="3"/>
        <v>-35584.593440128592</v>
      </c>
      <c r="G52" s="1152">
        <f t="shared" si="3"/>
        <v>-35584.593440128592</v>
      </c>
      <c r="H52" s="1152">
        <f t="shared" si="3"/>
        <v>-35584.593440128592</v>
      </c>
      <c r="I52" s="1152">
        <f t="shared" si="3"/>
        <v>-35584.593440128592</v>
      </c>
      <c r="J52" s="1152">
        <f t="shared" si="3"/>
        <v>-35584.593440128592</v>
      </c>
      <c r="K52" s="1152">
        <f t="shared" si="3"/>
        <v>-35584.593440128592</v>
      </c>
    </row>
    <row r="53" spans="1:17">
      <c r="A53" s="1150" t="s">
        <v>3870</v>
      </c>
      <c r="B53" s="1151">
        <f>+'Part VII-Pro Forma'!B30</f>
        <v>-5500</v>
      </c>
      <c r="C53" s="1151">
        <f>+'Part VII-Pro Forma'!C30</f>
        <v>-5500</v>
      </c>
      <c r="D53" s="1151">
        <f>+'Part VII-Pro Forma'!D30</f>
        <v>-5500</v>
      </c>
      <c r="E53" s="1151">
        <f>+'Part VII-Pro Forma'!E30</f>
        <v>-5500</v>
      </c>
      <c r="F53" s="1151">
        <f>+'Part VII-Pro Forma'!F30</f>
        <v>-5500</v>
      </c>
      <c r="G53" s="1151">
        <f>+'Part VII-Pro Forma'!G30</f>
        <v>-5500</v>
      </c>
      <c r="H53" s="1151">
        <f>+'Part VII-Pro Forma'!H30</f>
        <v>-5500</v>
      </c>
      <c r="I53" s="1151">
        <f>+'Part VII-Pro Forma'!I30</f>
        <v>-5500</v>
      </c>
      <c r="J53" s="1151">
        <f>+'Part VII-Pro Forma'!J30</f>
        <v>-5500</v>
      </c>
      <c r="K53" s="1151">
        <f>+'Part VII-Pro Forma'!K30</f>
        <v>-5500</v>
      </c>
    </row>
    <row r="54" spans="1:17">
      <c r="A54" s="1150" t="s">
        <v>3871</v>
      </c>
      <c r="B54" s="1152">
        <f>+SUM(B51:B53)</f>
        <v>8412.4273598714062</v>
      </c>
      <c r="C54" s="1152">
        <f t="shared" ref="C54:K54" si="4">+SUM(C51:C53)</f>
        <v>7901.7377758713992</v>
      </c>
      <c r="D54" s="1152">
        <f t="shared" si="4"/>
        <v>7336.856500191403</v>
      </c>
      <c r="E54" s="1152">
        <f t="shared" si="4"/>
        <v>6714.4497619977919</v>
      </c>
      <c r="F54" s="1152">
        <f t="shared" si="4"/>
        <v>6031.0966169303647</v>
      </c>
      <c r="G54" s="1152">
        <f t="shared" si="4"/>
        <v>5285.2859886882361</v>
      </c>
      <c r="H54" s="1152">
        <f t="shared" si="4"/>
        <v>4473.4136149997794</v>
      </c>
      <c r="I54" s="1152">
        <f t="shared" si="4"/>
        <v>3593.7788949695314</v>
      </c>
      <c r="J54" s="1152">
        <f t="shared" si="4"/>
        <v>2642.5816347048312</v>
      </c>
      <c r="K54" s="1152">
        <f t="shared" si="4"/>
        <v>1616.9186880257184</v>
      </c>
    </row>
    <row r="55" spans="1:17">
      <c r="A55" s="1150" t="s">
        <v>3767</v>
      </c>
      <c r="B55" s="1152">
        <f>-B54</f>
        <v>-8412.4273598714062</v>
      </c>
      <c r="C55" s="1152">
        <f t="shared" ref="C55:K55" si="5">-C54</f>
        <v>-7901.7377758713992</v>
      </c>
      <c r="D55" s="1152">
        <f t="shared" si="5"/>
        <v>-7336.856500191403</v>
      </c>
      <c r="E55" s="1152">
        <f t="shared" si="5"/>
        <v>-6714.4497619977919</v>
      </c>
      <c r="F55" s="1152">
        <f t="shared" si="5"/>
        <v>-6031.0966169303647</v>
      </c>
      <c r="G55" s="1152">
        <f t="shared" si="5"/>
        <v>-5285.2859886882361</v>
      </c>
      <c r="H55" s="1152">
        <f t="shared" si="5"/>
        <v>-4473.4136149997794</v>
      </c>
      <c r="I55" s="1152">
        <f t="shared" si="5"/>
        <v>-3593.7788949695314</v>
      </c>
      <c r="J55" s="1152">
        <f t="shared" si="5"/>
        <v>-2642.5816347048312</v>
      </c>
      <c r="K55" s="1152">
        <f t="shared" si="5"/>
        <v>-1616.9186880257184</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369380.25746383838</v>
      </c>
      <c r="C58" s="1151">
        <f>IF($B$26="","",-FV('Part III-Sources of Funds'!$K$38/12,12,C52/12,B58))</f>
        <v>349102.35390744189</v>
      </c>
      <c r="D58" s="1151">
        <f>IF($B$26="","",-FV('Part III-Sources of Funds'!$K$38/12,12,D52/12,C58))</f>
        <v>327945.65231936448</v>
      </c>
      <c r="E58" s="1151">
        <f>IF($B$26="","",-FV('Part III-Sources of Funds'!$K$38/12,12,E52/12,D58))</f>
        <v>305872.06759981578</v>
      </c>
      <c r="F58" s="1151">
        <f>IF($B$26="","",-FV('Part III-Sources of Funds'!$K$38/12,12,F52/12,E58))</f>
        <v>282841.86412775499</v>
      </c>
      <c r="G58" s="1151">
        <f>IF($B$26="","",-FV('Part III-Sources of Funds'!$K$38/12,12,G52/12,F58))</f>
        <v>258813.58423106925</v>
      </c>
      <c r="H58" s="1151">
        <f>IF($B$26="","",-FV('Part III-Sources of Funds'!$K$38/12,12,H52/12,G58))</f>
        <v>233743.97355681291</v>
      </c>
      <c r="I58" s="1151">
        <f>IF($B$26="","",-FV('Part III-Sources of Funds'!$K$38/12,12,I52/12,H58))</f>
        <v>207587.90320716309</v>
      </c>
      <c r="J58" s="1151">
        <f>IF($B$26="","",-FV('Part III-Sources of Funds'!$K$38/12,12,J52/12,I58))</f>
        <v>180298.28850092576</v>
      </c>
      <c r="K58" s="1151">
        <f>IF($B$26="","",-FV('Part III-Sources of Funds'!$K$38/12,12,K52/12,J58))</f>
        <v>151826.00421435075</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1176</v>
      </c>
      <c r="B64" s="1151">
        <f>+'Part VII-Pro Forma'!B56</f>
        <v>41598.373929096444</v>
      </c>
      <c r="C64" s="1151">
        <f>+'Part VII-Pro Forma'!C56</f>
        <v>40414.640912808696</v>
      </c>
      <c r="D64" s="1151">
        <f>+'Part VII-Pro Forma'!D56</f>
        <v>39147.079821349209</v>
      </c>
      <c r="E64" s="1151">
        <f>+'Part VII-Pro Forma'!E56</f>
        <v>37791.339890769013</v>
      </c>
      <c r="F64" s="1151">
        <f>+'Part VII-Pro Forma'!F56</f>
        <v>36344.948915766989</v>
      </c>
      <c r="G64" s="1151">
        <f>+'Part VII-Pro Forma'!G56</f>
        <v>34802.309188080289</v>
      </c>
      <c r="H64" s="1151">
        <f>+'Part VII-Pro Forma'!H56</f>
        <v>33161.693304660046</v>
      </c>
      <c r="I64" s="1151">
        <f>+'Part VII-Pro Forma'!I56</f>
        <v>31418.239841555805</v>
      </c>
      <c r="J64" s="1151">
        <f>+'Part VII-Pro Forma'!J56</f>
        <v>29566.948889313542</v>
      </c>
      <c r="K64" s="1151">
        <f>+'Part VII-Pro Forma'!K56</f>
        <v>27604.677445554236</v>
      </c>
    </row>
    <row r="65" spans="1:11">
      <c r="A65" s="1150" t="s">
        <v>3866</v>
      </c>
      <c r="B65" s="1151">
        <f>SUM('Part VII-Pro Forma'!B57:B60)</f>
        <v>-22137.295098576764</v>
      </c>
      <c r="C65" s="1151">
        <f>SUM('Part VII-Pro Forma'!C57:C60)</f>
        <v>-22137.295098576764</v>
      </c>
      <c r="D65" s="1151">
        <f>SUM('Part VII-Pro Forma'!D57:D60)</f>
        <v>-22137.295098576764</v>
      </c>
      <c r="E65" s="1151">
        <f>SUM('Part VII-Pro Forma'!E57:E60)</f>
        <v>-22137.295098576764</v>
      </c>
      <c r="F65" s="1151">
        <f>SUM('Part VII-Pro Forma'!F57:F60)</f>
        <v>-22137.295098576764</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3867</v>
      </c>
      <c r="B66" s="1152">
        <f t="shared" ref="B66:K66" si="7">-B64/B68-B65</f>
        <v>-12528.016509003606</v>
      </c>
      <c r="C66" s="1152">
        <f t="shared" si="7"/>
        <v>-11541.572328763821</v>
      </c>
      <c r="D66" s="1152">
        <f t="shared" si="7"/>
        <v>-10485.271419214245</v>
      </c>
      <c r="E66" s="1152">
        <f t="shared" si="7"/>
        <v>-9355.4881437307486</v>
      </c>
      <c r="F66" s="1152">
        <f t="shared" si="7"/>
        <v>-8150.1623312290612</v>
      </c>
      <c r="G66" s="1152">
        <f t="shared" si="7"/>
        <v>-29001.924323400242</v>
      </c>
      <c r="H66" s="1152">
        <f t="shared" si="7"/>
        <v>-27634.74442055004</v>
      </c>
      <c r="I66" s="1152">
        <f t="shared" si="7"/>
        <v>-26181.86653462984</v>
      </c>
      <c r="J66" s="1152">
        <f t="shared" si="7"/>
        <v>-24639.124074427953</v>
      </c>
      <c r="K66" s="1152">
        <f t="shared" si="7"/>
        <v>-23003.897871295198</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1141</v>
      </c>
    </row>
    <row r="71" spans="1:11">
      <c r="A71" s="1150" t="s">
        <v>1176</v>
      </c>
      <c r="B71" s="1152">
        <f t="shared" ref="B71:G71" si="9">+B64</f>
        <v>41598.373929096444</v>
      </c>
      <c r="C71" s="1152">
        <f t="shared" si="9"/>
        <v>40414.640912808696</v>
      </c>
      <c r="D71" s="1152">
        <f t="shared" si="9"/>
        <v>39147.079821349209</v>
      </c>
      <c r="E71" s="1152">
        <f t="shared" si="9"/>
        <v>37791.339890769013</v>
      </c>
      <c r="F71" s="1152">
        <f t="shared" si="9"/>
        <v>36344.948915766989</v>
      </c>
      <c r="G71" s="1152">
        <f t="shared" si="9"/>
        <v>34802.309188080289</v>
      </c>
      <c r="H71" s="1152">
        <f>+H64</f>
        <v>33161.693304660046</v>
      </c>
      <c r="I71" s="1152">
        <f>+I64</f>
        <v>31418.239841555805</v>
      </c>
      <c r="J71" s="1152">
        <f>+J64</f>
        <v>29566.948889313542</v>
      </c>
      <c r="K71" s="1152">
        <f>+K64</f>
        <v>27604.677445554236</v>
      </c>
    </row>
    <row r="72" spans="1:11">
      <c r="A72" s="1150" t="s">
        <v>3869</v>
      </c>
      <c r="B72" s="1152">
        <f t="shared" ref="B72:G72" si="10">IF($B$25="N/A",B65,B65+$B$25)</f>
        <v>-35584.593440128592</v>
      </c>
      <c r="C72" s="1152">
        <f t="shared" si="10"/>
        <v>-35584.593440128592</v>
      </c>
      <c r="D72" s="1152">
        <f t="shared" si="10"/>
        <v>-35584.593440128592</v>
      </c>
      <c r="E72" s="1152">
        <f t="shared" si="10"/>
        <v>-35584.593440128592</v>
      </c>
      <c r="F72" s="1152">
        <f t="shared" si="10"/>
        <v>-35584.593440128592</v>
      </c>
      <c r="G72" s="1152">
        <f t="shared" si="10"/>
        <v>-13447.298341551828</v>
      </c>
      <c r="H72" s="1152">
        <f>IF($B$25="N/A",H65,H65+$B$25)</f>
        <v>-13447.298341551828</v>
      </c>
      <c r="I72" s="1152">
        <f>IF($B$25="N/A",I65,I65+$B$25)</f>
        <v>-13447.298341551828</v>
      </c>
      <c r="J72" s="1152">
        <f>IF($B$25="N/A",J65,J65+$B$25)</f>
        <v>-13447.298341551828</v>
      </c>
      <c r="K72" s="1152">
        <f>IF($B$25="N/A",K65,K65+$B$25)</f>
        <v>-13447.298341551828</v>
      </c>
    </row>
    <row r="73" spans="1:11">
      <c r="A73" s="1150" t="s">
        <v>3870</v>
      </c>
      <c r="B73" s="1151">
        <f>+'Part VII-Pro Forma'!B62</f>
        <v>-5500</v>
      </c>
      <c r="C73" s="1151">
        <f>+'Part VII-Pro Forma'!C62</f>
        <v>-5500</v>
      </c>
      <c r="D73" s="1151">
        <f>+'Part VII-Pro Forma'!D62</f>
        <v>-5500</v>
      </c>
      <c r="E73" s="1151">
        <f>+'Part VII-Pro Forma'!E62</f>
        <v>-5500</v>
      </c>
      <c r="F73" s="1151">
        <f>+'Part VII-Pro Forma'!F62</f>
        <v>-5500</v>
      </c>
      <c r="G73" s="1151">
        <f>+'Part VII-Pro Forma'!G62</f>
        <v>0</v>
      </c>
      <c r="H73" s="1151">
        <f>+'Part VII-Pro Forma'!H62</f>
        <v>0</v>
      </c>
      <c r="I73" s="1151">
        <f>+'Part VII-Pro Forma'!I62</f>
        <v>0</v>
      </c>
      <c r="J73" s="1151">
        <f>+'Part VII-Pro Forma'!J62</f>
        <v>0</v>
      </c>
      <c r="K73" s="1151">
        <f>+'Part VII-Pro Forma'!K62</f>
        <v>0</v>
      </c>
    </row>
    <row r="74" spans="1:11">
      <c r="A74" s="1150" t="s">
        <v>3871</v>
      </c>
      <c r="B74" s="1152">
        <f t="shared" ref="B74:G74" si="11">+SUM(B71:B73)</f>
        <v>513.78048896785185</v>
      </c>
      <c r="C74" s="1152">
        <f t="shared" si="11"/>
        <v>-669.95252731989603</v>
      </c>
      <c r="D74" s="1152">
        <f t="shared" si="11"/>
        <v>-1937.5136187793833</v>
      </c>
      <c r="E74" s="1152">
        <f t="shared" si="11"/>
        <v>-3293.2535493595788</v>
      </c>
      <c r="F74" s="1152">
        <f t="shared" si="11"/>
        <v>-4739.6445243616035</v>
      </c>
      <c r="G74" s="1152">
        <f t="shared" si="11"/>
        <v>21355.010846528461</v>
      </c>
      <c r="H74" s="1152">
        <f>+SUM(H71:H73)</f>
        <v>19714.394963108218</v>
      </c>
      <c r="I74" s="1152">
        <f>+SUM(I71:I73)</f>
        <v>17970.941500003977</v>
      </c>
      <c r="J74" s="1152">
        <f>+SUM(J71:J73)</f>
        <v>16119.650547761714</v>
      </c>
      <c r="K74" s="1152">
        <f>+SUM(K71:K73)</f>
        <v>14157.379104002408</v>
      </c>
    </row>
    <row r="75" spans="1:11">
      <c r="A75" s="1150" t="s">
        <v>3767</v>
      </c>
      <c r="B75" s="1152">
        <f t="shared" ref="B75:G75" si="12">-B74</f>
        <v>-513.78048896785185</v>
      </c>
      <c r="C75" s="1152">
        <f t="shared" si="12"/>
        <v>669.95252731989603</v>
      </c>
      <c r="D75" s="1152">
        <f t="shared" si="12"/>
        <v>1937.5136187793833</v>
      </c>
      <c r="E75" s="1152">
        <f t="shared" si="12"/>
        <v>3293.2535493595788</v>
      </c>
      <c r="F75" s="1152">
        <f t="shared" si="12"/>
        <v>4739.6445243616035</v>
      </c>
      <c r="G75" s="1152">
        <f t="shared" si="12"/>
        <v>-21355.010846528461</v>
      </c>
      <c r="H75" s="1152">
        <f>-H74</f>
        <v>-19714.394963108218</v>
      </c>
      <c r="I75" s="1152">
        <f>-I74</f>
        <v>-17970.941500003977</v>
      </c>
      <c r="J75" s="1152">
        <f>-J74</f>
        <v>-16119.650547761714</v>
      </c>
      <c r="K75" s="1152">
        <f>-K74</f>
        <v>-14157.379104002408</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122119.79614867739</v>
      </c>
      <c r="C78" s="1151">
        <f>IF($B$26="","",-FV('Part III-Sources of Funds'!$K$38/12,12,C72/12,B78))</f>
        <v>91126.188865219417</v>
      </c>
      <c r="D78" s="1151">
        <f>IF($B$26="","",-FV('Part III-Sources of Funds'!$K$38/12,12,D72/12,C78))</f>
        <v>58789.389421899272</v>
      </c>
      <c r="E78" s="1151">
        <f>IF($B$26="","",-FV('Part III-Sources of Funds'!$K$38/12,12,E72/12,D78))</f>
        <v>25051.186937943545</v>
      </c>
      <c r="F78" s="1151">
        <f>IF($B$26="","",-FV('Part III-Sources of Funds'!$K$38/12,12,F72/12,E78))</f>
        <v>-10149.152194058268</v>
      </c>
      <c r="G78" s="1151">
        <f>IF($B$26="","",-FV('Part III-Sources of Funds'!$K$38/12,12,G72/12,F78))</f>
        <v>-24301.350935144081</v>
      </c>
      <c r="H78" s="1151">
        <f>IF($B$26="","",-FV('Part III-Sources of Funds'!$K$38/12,12,H72/12,G78))</f>
        <v>-39066.873650428388</v>
      </c>
      <c r="I78" s="1151">
        <f>IF($B$26="","",-FV('Part III-Sources of Funds'!$K$38/12,12,I72/12,H78))</f>
        <v>-54472.300400310887</v>
      </c>
      <c r="J78" s="1151">
        <f>IF($B$26="","",-FV('Part III-Sources of Funds'!$K$38/12,12,J72/12,I78))</f>
        <v>-70545.363164308379</v>
      </c>
      <c r="K78" s="1151">
        <f>IF($B$26="","",-FV('Part III-Sources of Funds'!$K$38/12,12,K72/12,J78))</f>
        <v>-87314.995762598657</v>
      </c>
    </row>
    <row r="79" spans="1:11">
      <c r="A79" s="1150" t="s">
        <v>3768</v>
      </c>
    </row>
    <row r="82" spans="1:2">
      <c r="A82" s="1150" t="s">
        <v>3874</v>
      </c>
      <c r="B82" s="1224"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2939</v>
      </c>
      <c r="B1" s="704"/>
      <c r="C1" s="619" t="str">
        <f>'Sensitivity Analysis'!C8</f>
        <v>Twin Oaks Commons</v>
      </c>
    </row>
    <row r="2" spans="1:15" ht="13.5" customHeight="1"/>
    <row r="3" spans="1:15" ht="13.5" customHeight="1">
      <c r="A3" s="620" t="s">
        <v>2940</v>
      </c>
      <c r="C3" s="619" t="s">
        <v>2941</v>
      </c>
      <c r="E3" s="705">
        <f>SUM('Part IV-A-Uses of Funds'!J149,'Part IV-A-Uses of Funds'!M149,'Part IV-A-Uses of Funds'!P149)</f>
        <v>5190373.5</v>
      </c>
      <c r="F3" s="1238" t="s">
        <v>2942</v>
      </c>
      <c r="H3" s="1215">
        <v>27.5</v>
      </c>
      <c r="I3" s="619" t="s">
        <v>2403</v>
      </c>
      <c r="K3" s="624" t="s">
        <v>2963</v>
      </c>
      <c r="M3" s="1238"/>
      <c r="O3" s="706"/>
    </row>
    <row r="4" spans="1:15" ht="13.5" customHeight="1">
      <c r="C4" s="619" t="s">
        <v>3422</v>
      </c>
      <c r="E4" s="705">
        <f>SUM('Part IV-A-Uses of Funds'!G85:H89)</f>
        <v>23500</v>
      </c>
      <c r="F4" s="1238" t="s">
        <v>4096</v>
      </c>
      <c r="H4" s="620">
        <f>'Part III-Sources of Funds'!M38</f>
        <v>30</v>
      </c>
      <c r="I4" s="619" t="s">
        <v>2403</v>
      </c>
      <c r="K4" s="707" t="s">
        <v>3206</v>
      </c>
      <c r="M4" s="1238"/>
    </row>
    <row r="5" spans="1:15" ht="13.5" customHeight="1">
      <c r="C5" s="619" t="s">
        <v>3423</v>
      </c>
      <c r="E5" s="705">
        <f>SUM('Part IV-A-Uses of Funds'!G96:H102)</f>
        <v>72500</v>
      </c>
      <c r="F5" s="1238" t="s">
        <v>4095</v>
      </c>
      <c r="H5" s="1215">
        <v>15</v>
      </c>
      <c r="I5" s="619" t="s">
        <v>2403</v>
      </c>
      <c r="K5" s="706">
        <f>-E6</f>
        <v>-5287170</v>
      </c>
    </row>
    <row r="6" spans="1:15" ht="13.5" customHeight="1">
      <c r="C6" s="619" t="s">
        <v>2943</v>
      </c>
      <c r="E6" s="708">
        <f>'Part III-Sources of Funds'!$I$49+'Part III-Sources of Funds'!$I$50</f>
        <v>5287170</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0</v>
      </c>
      <c r="D9" s="713">
        <f>'Part VII-Pro Forma'!C32</f>
        <v>13680.036117423228</v>
      </c>
      <c r="E9" s="713">
        <f>'Part VII-Pro Forma'!D32</f>
        <v>20784.154841743231</v>
      </c>
      <c r="F9" s="713">
        <f>'Part VII-Pro Forma'!E32</f>
        <v>20161.74810354962</v>
      </c>
      <c r="G9" s="713">
        <f>'Part VII-Pro Forma'!F32</f>
        <v>19478.394958482193</v>
      </c>
      <c r="H9" s="713">
        <f>'Part VII-Pro Forma'!G32</f>
        <v>18732.584330240064</v>
      </c>
      <c r="I9" s="713">
        <f>'Part VII-Pro Forma'!H32</f>
        <v>17920.711956551608</v>
      </c>
      <c r="K9" s="706" t="e">
        <f>F24</f>
        <v>#VALUE!</v>
      </c>
      <c r="N9" s="714" t="s">
        <v>2949</v>
      </c>
    </row>
    <row r="10" spans="1:15" ht="13.5" customHeight="1">
      <c r="A10" s="619" t="s">
        <v>2948</v>
      </c>
      <c r="C10" s="1175">
        <f>'Part III-Sources of Funds'!I38-'Part VII-Pro Forma'!B39</f>
        <v>6321.9990861146362</v>
      </c>
      <c r="D10" s="715">
        <f>'Part VII-Pro Forma'!B39-'Part VII-Pro Forma'!C39</f>
        <v>6595.9800890183542</v>
      </c>
      <c r="E10" s="715">
        <f>'Part VII-Pro Forma'!C39-'Part VII-Pro Forma'!D39</f>
        <v>6881.8348029000917</v>
      </c>
      <c r="F10" s="715">
        <f>'Part VII-Pro Forma'!D39-'Part VII-Pro Forma'!E39</f>
        <v>7180.0778072778485</v>
      </c>
      <c r="G10" s="715">
        <f>'Part VII-Pro Forma'!E39-'Part VII-Pro Forma'!F39</f>
        <v>7491.2459823706304</v>
      </c>
      <c r="H10" s="715">
        <f>'Part VII-Pro Forma'!F39-'Part VII-Pro Forma'!G39</f>
        <v>7815.8994755601743</v>
      </c>
      <c r="I10" s="715">
        <f>'Part VII-Pro Forma'!G39-'Part VII-Pro Forma'!H39</f>
        <v>8154.6227097364608</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3424</v>
      </c>
      <c r="B13" s="718"/>
      <c r="C13" s="1176">
        <f>'Part VII-Pro Forma'!B22</f>
        <v>-14000</v>
      </c>
      <c r="D13" s="1176">
        <f>'Part VII-Pro Forma'!C22</f>
        <v>-14420</v>
      </c>
      <c r="E13" s="1176">
        <f>'Part VII-Pro Forma'!D22</f>
        <v>-14852.599999999999</v>
      </c>
      <c r="F13" s="1176">
        <f>'Part VII-Pro Forma'!E22</f>
        <v>-15298.178</v>
      </c>
      <c r="G13" s="1176">
        <f>'Part VII-Pro Forma'!F22</f>
        <v>-15757.123339999998</v>
      </c>
      <c r="H13" s="1176">
        <f>'Part VII-Pro Forma'!G22</f>
        <v>-16229.837040199998</v>
      </c>
      <c r="I13" s="1176">
        <f>'Part VII-Pro Forma'!H22</f>
        <v>-16716.732151405999</v>
      </c>
      <c r="K13" s="706" t="e">
        <f>C44</f>
        <v>#VALUE!</v>
      </c>
      <c r="O13" s="711"/>
    </row>
    <row r="14" spans="1:15" ht="13.5" customHeight="1">
      <c r="A14" s="717" t="s">
        <v>3425</v>
      </c>
      <c r="B14" s="718"/>
      <c r="C14" s="1176">
        <f>'Part VII-Pro Forma'!B31</f>
        <v>-21859.725701423235</v>
      </c>
      <c r="D14" s="1176">
        <f>'Part VII-Pro Forma'!C31</f>
        <v>-7669</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188740.85454545455</v>
      </c>
      <c r="D15" s="720">
        <f t="shared" si="0"/>
        <v>188740.85454545455</v>
      </c>
      <c r="E15" s="720">
        <f t="shared" si="0"/>
        <v>188740.85454545455</v>
      </c>
      <c r="F15" s="720">
        <f t="shared" si="0"/>
        <v>188740.85454545455</v>
      </c>
      <c r="G15" s="720">
        <f t="shared" si="0"/>
        <v>188740.85454545455</v>
      </c>
      <c r="H15" s="720">
        <f t="shared" si="0"/>
        <v>188740.85454545455</v>
      </c>
      <c r="I15" s="720">
        <f t="shared" si="0"/>
        <v>188740.85454545455</v>
      </c>
      <c r="K15" s="706" t="e">
        <f>E44</f>
        <v>#VALUE!</v>
      </c>
      <c r="O15" s="711"/>
    </row>
    <row r="16" spans="1:15" ht="13.5" customHeight="1">
      <c r="A16" s="719" t="s">
        <v>2953</v>
      </c>
      <c r="C16" s="720">
        <f>IF(C$8&lt;=$H$4,($E$4/$H$4),0)+IF(C$8&lt;=$H$5,($E$5/$H$5),0)</f>
        <v>5616.6666666666661</v>
      </c>
      <c r="D16" s="720">
        <f t="shared" ref="D16:I16" si="1">IF(D$8&lt;=$H$4,($E$4/$H$4),0)+IF(D$8&lt;=$H$5,($E$5/$H$5),0)</f>
        <v>5616.6666666666661</v>
      </c>
      <c r="E16" s="720">
        <f t="shared" si="1"/>
        <v>5616.6666666666661</v>
      </c>
      <c r="F16" s="720">
        <f t="shared" si="1"/>
        <v>5616.6666666666661</v>
      </c>
      <c r="G16" s="720">
        <f t="shared" si="1"/>
        <v>5616.6666666666661</v>
      </c>
      <c r="H16" s="720">
        <f t="shared" si="1"/>
        <v>5616.6666666666661</v>
      </c>
      <c r="I16" s="720">
        <f t="shared" si="1"/>
        <v>5616.6666666666661</v>
      </c>
      <c r="K16" s="706" t="e">
        <f>F44</f>
        <v>#VALUE!</v>
      </c>
      <c r="M16" s="619" t="s">
        <v>2957</v>
      </c>
      <c r="O16" s="711">
        <f>E3</f>
        <v>5190373.5</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3774817.0909090908</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1415556.4090909092</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375000</v>
      </c>
      <c r="D21" s="721">
        <f t="shared" ref="D21:I21" si="5">C21</f>
        <v>375000</v>
      </c>
      <c r="E21" s="721">
        <f t="shared" si="5"/>
        <v>375000</v>
      </c>
      <c r="F21" s="721">
        <f t="shared" si="5"/>
        <v>375000</v>
      </c>
      <c r="G21" s="721">
        <f t="shared" si="5"/>
        <v>375000</v>
      </c>
      <c r="H21" s="721">
        <f t="shared" si="5"/>
        <v>375000</v>
      </c>
      <c r="I21" s="721">
        <f t="shared" si="5"/>
        <v>375000</v>
      </c>
      <c r="J21" s="619" t="s">
        <v>238</v>
      </c>
      <c r="K21" s="706" t="e">
        <f>D64</f>
        <v>#VALUE!</v>
      </c>
      <c r="O21" s="711"/>
    </row>
    <row r="22" spans="1:17" ht="13.5" customHeight="1">
      <c r="A22" s="619" t="s">
        <v>2960</v>
      </c>
      <c r="C22" s="721">
        <f>C21</f>
        <v>375000</v>
      </c>
      <c r="D22" s="721">
        <f t="shared" ref="D22:I22" si="6">D21</f>
        <v>375000</v>
      </c>
      <c r="E22" s="721">
        <f t="shared" si="6"/>
        <v>375000</v>
      </c>
      <c r="F22" s="721">
        <f t="shared" si="6"/>
        <v>375000</v>
      </c>
      <c r="G22" s="721">
        <f t="shared" si="6"/>
        <v>375000</v>
      </c>
      <c r="H22" s="721">
        <f t="shared" si="6"/>
        <v>375000</v>
      </c>
      <c r="I22" s="721">
        <f t="shared" si="6"/>
        <v>375000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1415556.4090909092</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-1415556.4090909092</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17041.07723652136</v>
      </c>
      <c r="D29" s="713">
        <f>'Part VII-Pro Forma'!J32</f>
        <v>16089.87997625666</v>
      </c>
      <c r="E29" s="713">
        <f>'Part VII-Pro Forma'!K32</f>
        <v>15064.217029577547</v>
      </c>
      <c r="F29" s="713">
        <f>'Part VII-Pro Forma'!B64</f>
        <v>13961.07883051968</v>
      </c>
      <c r="G29" s="713">
        <f>'Part VII-Pro Forma'!C64</f>
        <v>12777.345814231932</v>
      </c>
      <c r="H29" s="713">
        <f>'Part VII-Pro Forma'!D64</f>
        <v>11509.784722772445</v>
      </c>
      <c r="I29" s="713">
        <f>'Part VII-Pro Forma'!E64</f>
        <v>10154.04479219225</v>
      </c>
      <c r="N29" s="724"/>
      <c r="O29" s="724"/>
    </row>
    <row r="30" spans="1:17" ht="13.5" customHeight="1">
      <c r="A30" s="619" t="s">
        <v>2948</v>
      </c>
      <c r="C30" s="715">
        <f>'Part VII-Pro Forma'!H39-'Part VII-Pro Forma'!I39</f>
        <v>8508.0254353429773</v>
      </c>
      <c r="D30" s="715">
        <f>'Part VII-Pro Forma'!I39-'Part VII-Pro Forma'!J39</f>
        <v>8876.7438280148781</v>
      </c>
      <c r="E30" s="715">
        <f>'Part VII-Pro Forma'!J39-'Part VII-Pro Forma'!K39</f>
        <v>9261.4416337865405</v>
      </c>
      <c r="F30" s="1173">
        <f>'Part VII-Pro Forma'!K39-'Part VII-Pro Forma'!B71</f>
        <v>9662.8113639296498</v>
      </c>
      <c r="G30" s="1173">
        <f>'Part VII-Pro Forma'!B71-'Part VII-Pro Forma'!C71</f>
        <v>10081.575541572995</v>
      </c>
      <c r="H30" s="1173">
        <f>'Part VII-Pro Forma'!C71-'Part VII-Pro Forma'!D71</f>
        <v>10518.488002347643</v>
      </c>
      <c r="I30" s="1173">
        <f>'Part VII-Pro Forma'!D71-'Part VII-Pro Forma'!E71</f>
        <v>10974.335251399491</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-283111.28181818186</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3424</v>
      </c>
      <c r="B33" s="718"/>
      <c r="C33" s="1176">
        <f>'Part VII-Pro Forma'!I22</f>
        <v>-17218.23411594818</v>
      </c>
      <c r="D33" s="1176">
        <f>'Part VII-Pro Forma'!J22</f>
        <v>-17734.781139426625</v>
      </c>
      <c r="E33" s="1176">
        <f>'Part VII-Pro Forma'!K22</f>
        <v>-18266.824573609421</v>
      </c>
      <c r="F33" s="1176">
        <f>'Part VII-Pro Forma'!B54</f>
        <v>-18814.829310817706</v>
      </c>
      <c r="G33" s="1176">
        <f>'Part VII-Pro Forma'!C54</f>
        <v>-19379.274190142238</v>
      </c>
      <c r="H33" s="1176">
        <f>'Part VII-Pro Forma'!D54</f>
        <v>-19960.6524158465</v>
      </c>
      <c r="I33" s="1176">
        <f>'Part VII-Pro Forma'!E54</f>
        <v>-20559.471988321893</v>
      </c>
      <c r="K33" s="619" t="s">
        <v>238</v>
      </c>
      <c r="M33" s="619" t="s">
        <v>2968</v>
      </c>
      <c r="O33" s="713" t="e">
        <f>O14-O31</f>
        <v>#VALUE!</v>
      </c>
    </row>
    <row r="34" spans="1:15" ht="13.5" customHeight="1">
      <c r="A34" s="717" t="s">
        <v>3425</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188740.85454545455</v>
      </c>
      <c r="D35" s="720">
        <f t="shared" si="8"/>
        <v>188740.85454545455</v>
      </c>
      <c r="E35" s="720">
        <f t="shared" si="8"/>
        <v>188740.85454545455</v>
      </c>
      <c r="F35" s="720">
        <f t="shared" si="8"/>
        <v>188740.85454545455</v>
      </c>
      <c r="G35" s="720">
        <f t="shared" si="8"/>
        <v>188740.85454545455</v>
      </c>
      <c r="H35" s="720">
        <f t="shared" si="8"/>
        <v>188740.85454545455</v>
      </c>
      <c r="I35" s="720">
        <f t="shared" si="8"/>
        <v>188740.85454545455</v>
      </c>
    </row>
    <row r="36" spans="1:15" ht="13.5" customHeight="1">
      <c r="A36" s="719" t="s">
        <v>2953</v>
      </c>
      <c r="C36" s="713">
        <f>IF(C$28&lt;=$H$4,($E$4/$H$4),0)+IF(C$28&lt;=$H$5,($E$5/$H$5),0)</f>
        <v>5616.6666666666661</v>
      </c>
      <c r="D36" s="713">
        <f t="shared" ref="D36:I36" si="9">IF(D$28&lt;=$H$4,($E$4/$H$4),0)+IF(D$28&lt;=$H$5,($E$5/$H$5),0)</f>
        <v>5616.6666666666661</v>
      </c>
      <c r="E36" s="713">
        <f t="shared" si="9"/>
        <v>5616.6666666666661</v>
      </c>
      <c r="F36" s="713">
        <f t="shared" si="9"/>
        <v>5616.6666666666661</v>
      </c>
      <c r="G36" s="713">
        <f t="shared" si="9"/>
        <v>5616.6666666666661</v>
      </c>
      <c r="H36" s="713">
        <f t="shared" si="9"/>
        <v>5616.6666666666661</v>
      </c>
      <c r="I36" s="713">
        <f t="shared" si="9"/>
        <v>5616.6666666666661</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375000</v>
      </c>
      <c r="D41" s="721">
        <f>C41</f>
        <v>375000</v>
      </c>
      <c r="E41" s="721">
        <f>D41</f>
        <v>375000</v>
      </c>
      <c r="F41" s="721">
        <v>0</v>
      </c>
      <c r="G41" s="721">
        <v>0</v>
      </c>
      <c r="H41" s="721">
        <v>0</v>
      </c>
      <c r="I41" s="721">
        <v>0</v>
      </c>
    </row>
    <row r="42" spans="1:15" ht="13.5" customHeight="1">
      <c r="A42" s="619" t="s">
        <v>2960</v>
      </c>
      <c r="C42" s="721">
        <f>C22</f>
        <v>375000</v>
      </c>
      <c r="D42" s="721">
        <f>C42</f>
        <v>375000</v>
      </c>
      <c r="E42" s="721">
        <f>D42</f>
        <v>375000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8707.6538171902248</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11449.937879211269</v>
      </c>
      <c r="D50" s="1174">
        <f>'Part VII-Pro Forma'!F71-'Part VII-Pro Forma'!G71</f>
        <v>245224.98111141636</v>
      </c>
      <c r="E50" s="1174">
        <f>'Part VII-Pro Forma'!G71-'Part VII-Pro Forma'!H71</f>
        <v>0</v>
      </c>
      <c r="F50" s="1174">
        <f>'Part VII-Pro Forma'!H71-'Part VII-Pro Forma'!I71</f>
        <v>0</v>
      </c>
      <c r="G50" s="1174">
        <f>'Part VII-Pro Forma'!I71-'Part VII-Pro Forma'!J71</f>
        <v>0</v>
      </c>
      <c r="H50" s="1174">
        <f>'Part VII-Pro Forma'!J71-'Part VII-Pro Forma'!K71</f>
        <v>0</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3424</v>
      </c>
      <c r="B53" s="718"/>
      <c r="C53" s="1176">
        <f>'Part VII-Pro Forma'!F54</f>
        <v>-21176.256147971555</v>
      </c>
      <c r="D53" s="1176">
        <f>'Part VII-Pro Forma'!G54</f>
        <v>-21811.543832410702</v>
      </c>
      <c r="E53" s="1176">
        <f>'Part VII-Pro Forma'!H54</f>
        <v>-22465.890147383019</v>
      </c>
      <c r="F53" s="1176">
        <f>'Part VII-Pro Forma'!I54</f>
        <v>-23139.866851804509</v>
      </c>
      <c r="G53" s="1176">
        <f>'Part VII-Pro Forma'!J54</f>
        <v>-23834.062857358644</v>
      </c>
      <c r="H53" s="1176">
        <f>'Part VII-Pro Forma'!K54</f>
        <v>-24549.084743079406</v>
      </c>
    </row>
    <row r="54" spans="1:10" ht="13.5" customHeight="1">
      <c r="A54" s="717" t="s">
        <v>3425</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188740.85454545455</v>
      </c>
      <c r="D55" s="720">
        <f t="shared" si="14"/>
        <v>188740.85454545455</v>
      </c>
      <c r="E55" s="720">
        <f t="shared" si="14"/>
        <v>188740.85454545455</v>
      </c>
      <c r="F55" s="720">
        <f t="shared" si="14"/>
        <v>188740.85454545455</v>
      </c>
      <c r="G55" s="720">
        <f t="shared" si="14"/>
        <v>188740.85454545455</v>
      </c>
      <c r="H55" s="720">
        <f t="shared" si="14"/>
        <v>188740.85454545455</v>
      </c>
    </row>
    <row r="56" spans="1:10" ht="13.5" customHeight="1">
      <c r="A56" s="719" t="s">
        <v>2953</v>
      </c>
      <c r="C56" s="713">
        <f t="shared" ref="C56:H56" si="15">IF(C$48&lt;=$H$4,($E$4/$H$4),0)+IF(C$48&lt;=$H$5,($E$5/$H$5),0)</f>
        <v>5616.6666666666661</v>
      </c>
      <c r="D56" s="713">
        <f t="shared" si="15"/>
        <v>783.33333333333337</v>
      </c>
      <c r="E56" s="713">
        <f t="shared" si="15"/>
        <v>783.33333333333337</v>
      </c>
      <c r="F56" s="713">
        <f t="shared" si="15"/>
        <v>783.33333333333337</v>
      </c>
      <c r="G56" s="713">
        <f t="shared" si="15"/>
        <v>783.33333333333337</v>
      </c>
      <c r="H56" s="713">
        <f t="shared" si="15"/>
        <v>783.33333333333337</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31" t="e">
        <f>IRR(K5:K25)</f>
        <v>#VALUE!</v>
      </c>
      <c r="H66" s="3232"/>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34" t="str">
        <f>'Sensitivity Analysis'!C8</f>
        <v>Twin Oaks Commons</v>
      </c>
      <c r="B1" s="3234"/>
      <c r="C1" s="3234"/>
      <c r="D1" s="3234"/>
      <c r="E1" s="3234"/>
      <c r="F1" s="3234"/>
      <c r="G1" s="3234"/>
      <c r="H1" s="3234"/>
    </row>
    <row r="2" spans="1:8" s="2005" customFormat="1" ht="17.399999999999999" customHeight="1">
      <c r="A2" s="3233" t="s">
        <v>2970</v>
      </c>
      <c r="B2" s="3233"/>
      <c r="C2" s="3233"/>
      <c r="D2" s="3233"/>
      <c r="E2" s="3233"/>
      <c r="F2" s="3233"/>
      <c r="G2" s="3233"/>
      <c r="H2" s="3233"/>
    </row>
    <row r="3" spans="1:8" ht="9" customHeight="1">
      <c r="A3" s="2004"/>
      <c r="B3" s="2004"/>
      <c r="C3" s="2004"/>
      <c r="D3" s="2004"/>
      <c r="E3" s="2004"/>
      <c r="G3" s="2004"/>
      <c r="H3" s="2004"/>
    </row>
    <row r="4" spans="1:8" ht="12.6" customHeight="1">
      <c r="A4" s="3235" t="s">
        <v>6831</v>
      </c>
      <c r="B4" s="3235"/>
      <c r="C4" s="2006"/>
      <c r="D4" s="3235" t="s">
        <v>6832</v>
      </c>
      <c r="E4" s="3235"/>
      <c r="F4" s="2007"/>
      <c r="G4" s="3235" t="s">
        <v>6833</v>
      </c>
      <c r="H4" s="3235"/>
    </row>
    <row r="5" spans="1:8" ht="25.95" customHeight="1">
      <c r="A5" s="3236" t="str">
        <f>'Part III-Sources of Funds'!E38</f>
        <v>PNC Bank, N.A.</v>
      </c>
      <c r="B5" s="3237"/>
      <c r="C5" s="2005"/>
      <c r="D5" s="3236">
        <f>'Part III-Sources of Funds'!E39</f>
        <v>0</v>
      </c>
      <c r="E5" s="3237"/>
      <c r="F5" s="2008"/>
      <c r="G5" s="3236">
        <f>'Part III-Sources of Funds'!E40</f>
        <v>0</v>
      </c>
      <c r="H5" s="3237"/>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1844.7745915480637</v>
      </c>
      <c r="D10" s="1181">
        <v>1</v>
      </c>
      <c r="E10" s="1182">
        <f>-'Part VII-Pro Forma'!$B26/12</f>
        <v>0</v>
      </c>
      <c r="G10" s="1181">
        <v>1</v>
      </c>
      <c r="H10" s="1182">
        <f>-'Part VII-Pro Forma'!$B27/12</f>
        <v>0</v>
      </c>
    </row>
    <row r="11" spans="1:8" ht="18" customHeight="1">
      <c r="A11" s="1181">
        <v>2</v>
      </c>
      <c r="B11" s="1182">
        <f>-'Part VII-Pro Forma'!$C25/12</f>
        <v>1844.7745915480637</v>
      </c>
      <c r="D11" s="1181">
        <v>2</v>
      </c>
      <c r="E11" s="1182">
        <f>-'Part VII-Pro Forma'!$C26/12</f>
        <v>0</v>
      </c>
      <c r="G11" s="1181">
        <v>2</v>
      </c>
      <c r="H11" s="1182">
        <f>-'Part VII-Pro Forma'!$C27/12</f>
        <v>0</v>
      </c>
    </row>
    <row r="12" spans="1:8" ht="18" customHeight="1">
      <c r="A12" s="1181">
        <v>3</v>
      </c>
      <c r="B12" s="1182">
        <f>-'Part VII-Pro Forma'!$D25/12</f>
        <v>1844.7745915480637</v>
      </c>
      <c r="D12" s="1181">
        <v>3</v>
      </c>
      <c r="E12" s="1182">
        <f>-'Part VII-Pro Forma'!$D26/12</f>
        <v>0</v>
      </c>
      <c r="G12" s="1181">
        <v>3</v>
      </c>
      <c r="H12" s="1182">
        <f>-'Part VII-Pro Forma'!$D27/12</f>
        <v>0</v>
      </c>
    </row>
    <row r="13" spans="1:8" ht="18" customHeight="1">
      <c r="A13" s="1183">
        <v>4</v>
      </c>
      <c r="B13" s="1182">
        <f>-'Part VII-Pro Forma'!$E25/12</f>
        <v>1844.7745915480637</v>
      </c>
      <c r="D13" s="1183">
        <v>4</v>
      </c>
      <c r="E13" s="1182">
        <f>-'Part VII-Pro Forma'!$E26/12</f>
        <v>0</v>
      </c>
      <c r="G13" s="1183">
        <v>4</v>
      </c>
      <c r="H13" s="1182">
        <f>-'Part VII-Pro Forma'!$E27/12</f>
        <v>0</v>
      </c>
    </row>
    <row r="14" spans="1:8" ht="18" customHeight="1">
      <c r="A14" s="2011">
        <v>5</v>
      </c>
      <c r="B14" s="2010">
        <f>-'Part VII-Pro Forma'!$F25/12</f>
        <v>1844.7745915480637</v>
      </c>
      <c r="D14" s="2011">
        <v>5</v>
      </c>
      <c r="E14" s="2010">
        <f>-'Part VII-Pro Forma'!$F26/12</f>
        <v>0</v>
      </c>
      <c r="G14" s="2011">
        <v>5</v>
      </c>
      <c r="H14" s="2010">
        <f>-'Part VII-Pro Forma'!$F27/12</f>
        <v>0</v>
      </c>
    </row>
    <row r="15" spans="1:8" ht="18" customHeight="1">
      <c r="A15" s="1181">
        <v>6</v>
      </c>
      <c r="B15" s="1182">
        <f>-'Part VII-Pro Forma'!$G25/12</f>
        <v>1844.7745915480637</v>
      </c>
      <c r="D15" s="1181">
        <v>6</v>
      </c>
      <c r="E15" s="1182">
        <f>-'Part VII-Pro Forma'!$G26/12</f>
        <v>0</v>
      </c>
      <c r="G15" s="1181">
        <v>6</v>
      </c>
      <c r="H15" s="1182">
        <f>-'Part VII-Pro Forma'!$G27/12</f>
        <v>0</v>
      </c>
    </row>
    <row r="16" spans="1:8" ht="18" customHeight="1">
      <c r="A16" s="1181">
        <v>7</v>
      </c>
      <c r="B16" s="1182">
        <f>-'Part VII-Pro Forma'!$H25/12</f>
        <v>1844.7745915480637</v>
      </c>
      <c r="D16" s="1181">
        <v>7</v>
      </c>
      <c r="E16" s="1182">
        <f>-'Part VII-Pro Forma'!$H26/12</f>
        <v>0</v>
      </c>
      <c r="G16" s="1181">
        <v>7</v>
      </c>
      <c r="H16" s="1182">
        <f>-'Part VII-Pro Forma'!$H27/12</f>
        <v>0</v>
      </c>
    </row>
    <row r="17" spans="1:8" ht="18" customHeight="1">
      <c r="A17" s="1183">
        <v>8</v>
      </c>
      <c r="B17" s="1182">
        <f>-'Part VII-Pro Forma'!$I25/12</f>
        <v>1844.7745915480637</v>
      </c>
      <c r="D17" s="1183">
        <v>8</v>
      </c>
      <c r="E17" s="1182">
        <f>-'Part VII-Pro Forma'!$I26/12</f>
        <v>0</v>
      </c>
      <c r="G17" s="1183">
        <v>8</v>
      </c>
      <c r="H17" s="1182">
        <f>-'Part VII-Pro Forma'!$I27/12</f>
        <v>0</v>
      </c>
    </row>
    <row r="18" spans="1:8" ht="18" customHeight="1">
      <c r="A18" s="1181">
        <v>9</v>
      </c>
      <c r="B18" s="1182">
        <f>-'Part VII-Pro Forma'!$J25/12</f>
        <v>1844.7745915480637</v>
      </c>
      <c r="D18" s="1181">
        <v>9</v>
      </c>
      <c r="E18" s="1182">
        <f>-'Part VII-Pro Forma'!$J26/12</f>
        <v>0</v>
      </c>
      <c r="G18" s="1181">
        <v>9</v>
      </c>
      <c r="H18" s="1182">
        <f>-'Part VII-Pro Forma'!$J27/12</f>
        <v>0</v>
      </c>
    </row>
    <row r="19" spans="1:8" ht="18" customHeight="1">
      <c r="A19" s="2009">
        <v>10</v>
      </c>
      <c r="B19" s="2010">
        <f>-'Part VII-Pro Forma'!$K25/12</f>
        <v>1844.7745915480637</v>
      </c>
      <c r="D19" s="2009">
        <v>10</v>
      </c>
      <c r="E19" s="2010">
        <f>-'Part VII-Pro Forma'!$K26/12</f>
        <v>0</v>
      </c>
      <c r="G19" s="2009">
        <v>10</v>
      </c>
      <c r="H19" s="2010">
        <f>-'Part VII-Pro Forma'!$K27/12</f>
        <v>0</v>
      </c>
    </row>
    <row r="20" spans="1:8" ht="18" customHeight="1">
      <c r="A20" s="1183">
        <v>11</v>
      </c>
      <c r="B20" s="1182">
        <f>-'Part VII-Pro Forma'!$B57/12</f>
        <v>1844.7745915480637</v>
      </c>
      <c r="D20" s="1183">
        <v>11</v>
      </c>
      <c r="E20" s="1182">
        <f>-'Part VII-Pro Forma'!$B58/12</f>
        <v>0</v>
      </c>
      <c r="G20" s="1183">
        <v>11</v>
      </c>
      <c r="H20" s="1182">
        <f>-'Part VII-Pro Forma'!$B59/12</f>
        <v>0</v>
      </c>
    </row>
    <row r="21" spans="1:8" ht="18" customHeight="1">
      <c r="A21" s="1181">
        <v>12</v>
      </c>
      <c r="B21" s="1182">
        <f>-'Part VII-Pro Forma'!$C57/12</f>
        <v>1844.7745915480637</v>
      </c>
      <c r="D21" s="1181">
        <v>12</v>
      </c>
      <c r="E21" s="1182">
        <f>-'Part VII-Pro Forma'!$C58/12</f>
        <v>0</v>
      </c>
      <c r="G21" s="1181">
        <v>12</v>
      </c>
      <c r="H21" s="1182">
        <f>-'Part VII-Pro Forma'!$C59/12</f>
        <v>0</v>
      </c>
    </row>
    <row r="22" spans="1:8" ht="18" customHeight="1">
      <c r="A22" s="1181">
        <v>13</v>
      </c>
      <c r="B22" s="1182">
        <f>-'Part VII-Pro Forma'!$D57/12</f>
        <v>1844.7745915480637</v>
      </c>
      <c r="D22" s="1181">
        <v>13</v>
      </c>
      <c r="E22" s="1182">
        <f>-'Part VII-Pro Forma'!$D58/12</f>
        <v>0</v>
      </c>
      <c r="G22" s="1181">
        <v>13</v>
      </c>
      <c r="H22" s="1182">
        <f>-'Part VII-Pro Forma'!$D59/12</f>
        <v>0</v>
      </c>
    </row>
    <row r="23" spans="1:8" ht="18" customHeight="1">
      <c r="A23" s="1181">
        <v>14</v>
      </c>
      <c r="B23" s="1182">
        <f>-'Part VII-Pro Forma'!$E57/12</f>
        <v>1844.7745915480637</v>
      </c>
      <c r="D23" s="1181">
        <v>14</v>
      </c>
      <c r="E23" s="1182">
        <f>-'Part VII-Pro Forma'!$E58/12</f>
        <v>0</v>
      </c>
      <c r="G23" s="1181">
        <v>14</v>
      </c>
      <c r="H23" s="1182">
        <f>-'Part VII-Pro Forma'!$E59/12</f>
        <v>0</v>
      </c>
    </row>
    <row r="24" spans="1:8" ht="18" customHeight="1">
      <c r="A24" s="2009">
        <v>15</v>
      </c>
      <c r="B24" s="2010">
        <f>-'Part VII-Pro Forma'!$F57/12</f>
        <v>1844.7745915480637</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- 2020-050 Twin Oaks Commons, Ludowici, Long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6979</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6" t="s">
        <v>2302</v>
      </c>
      <c r="F5" s="294"/>
      <c r="G5" s="269" t="s">
        <v>4322</v>
      </c>
      <c r="L5" s="841"/>
      <c r="P5" s="1030" t="s">
        <v>3645</v>
      </c>
    </row>
    <row r="6" spans="1:16" s="293" customFormat="1" ht="12" customHeight="1" thickBot="1">
      <c r="B6" s="2418" t="s">
        <v>6983</v>
      </c>
      <c r="C6" s="2418"/>
      <c r="D6" s="2418"/>
      <c r="E6" s="1208"/>
      <c r="F6" s="296"/>
      <c r="G6" s="269" t="s">
        <v>4321</v>
      </c>
      <c r="H6" s="2355"/>
      <c r="I6" s="2355"/>
      <c r="J6" s="2355"/>
      <c r="O6" s="3441" t="s">
        <v>7140</v>
      </c>
      <c r="P6" s="3442"/>
    </row>
    <row r="7" spans="1:16" s="293" customFormat="1" ht="12" customHeight="1">
      <c r="B7" s="2418"/>
      <c r="C7" s="2418"/>
      <c r="D7" s="2418"/>
      <c r="E7" s="1208"/>
      <c r="F7" s="511"/>
      <c r="G7" s="172" t="s">
        <v>3210</v>
      </c>
      <c r="H7" s="2355"/>
      <c r="I7" s="2355"/>
      <c r="J7" s="2355"/>
    </row>
    <row r="8" spans="1:16" s="293" customFormat="1" ht="6" customHeight="1">
      <c r="A8" s="471"/>
      <c r="B8" s="2418"/>
      <c r="C8" s="2418"/>
      <c r="D8" s="2418"/>
      <c r="E8" s="2355"/>
      <c r="H8" s="2355"/>
      <c r="I8" s="2355"/>
      <c r="M8" s="2355"/>
    </row>
    <row r="9" spans="1:16" s="293" customFormat="1" ht="13.35" customHeight="1">
      <c r="A9" s="295" t="s">
        <v>597</v>
      </c>
      <c r="B9" s="295" t="s">
        <v>2313</v>
      </c>
      <c r="D9" s="270"/>
      <c r="E9" s="297"/>
      <c r="F9" s="2344" t="s">
        <v>3601</v>
      </c>
      <c r="I9" s="2413">
        <f>'Part IV-A-Uses of Funds'!$J$184</f>
        <v>375000</v>
      </c>
      <c r="J9" s="2414"/>
      <c r="L9" s="293" t="s">
        <v>3602</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721</v>
      </c>
      <c r="B11" s="295" t="s">
        <v>1990</v>
      </c>
      <c r="F11" s="3443" t="s">
        <v>6984</v>
      </c>
      <c r="G11" s="3444"/>
      <c r="H11" s="3445"/>
      <c r="I11" s="3446" t="s">
        <v>3532</v>
      </c>
      <c r="J11" s="492" t="s">
        <v>4790</v>
      </c>
      <c r="K11" s="303"/>
      <c r="L11" s="2355"/>
      <c r="O11" s="3447" t="s">
        <v>7055</v>
      </c>
      <c r="P11" s="3448"/>
    </row>
    <row r="12" spans="1:16" s="293" customFormat="1" ht="12.75" customHeight="1">
      <c r="A12" s="471"/>
      <c r="B12" s="1519"/>
      <c r="C12" s="1519"/>
      <c r="D12" s="1519"/>
      <c r="E12" s="1519"/>
      <c r="H12" s="2355"/>
      <c r="J12" s="1140" t="s">
        <v>4459</v>
      </c>
      <c r="K12" s="2346"/>
      <c r="M12" s="2355"/>
      <c r="O12" s="3449" t="s">
        <v>2886</v>
      </c>
      <c r="P12" s="3450"/>
    </row>
    <row r="13" spans="1:16" s="293" customFormat="1" ht="3" customHeight="1">
      <c r="A13" s="471"/>
      <c r="B13" s="1519"/>
      <c r="C13" s="1519"/>
      <c r="D13" s="1519"/>
      <c r="E13" s="1519"/>
      <c r="H13" s="2355"/>
      <c r="J13" s="493"/>
      <c r="K13" s="2346"/>
      <c r="M13" s="2355"/>
    </row>
    <row r="14" spans="1:16" s="293" customFormat="1" ht="12.75" customHeight="1">
      <c r="A14" s="471"/>
      <c r="B14" s="1519" t="s">
        <v>4815</v>
      </c>
      <c r="C14" s="1519"/>
      <c r="D14" s="1519"/>
      <c r="E14" s="1519"/>
      <c r="F14" s="3451" t="s">
        <v>2886</v>
      </c>
      <c r="G14" s="2347" t="s">
        <v>4816</v>
      </c>
      <c r="N14" s="3443"/>
      <c r="O14" s="3444"/>
      <c r="P14" s="3445"/>
    </row>
    <row r="15" spans="1:16" s="293" customFormat="1" ht="12.75" customHeight="1">
      <c r="A15" s="471"/>
      <c r="B15" s="293" t="s">
        <v>4798</v>
      </c>
      <c r="D15" s="303"/>
      <c r="F15" s="3452"/>
      <c r="G15" s="3453"/>
      <c r="H15" s="3453"/>
      <c r="I15" s="3454"/>
      <c r="J15" s="293" t="s">
        <v>4512</v>
      </c>
      <c r="L15" s="3455"/>
      <c r="M15" s="3456"/>
      <c r="N15" s="293" t="s">
        <v>4511</v>
      </c>
      <c r="P15" s="3457"/>
    </row>
    <row r="16" spans="1:16" s="293" customFormat="1" ht="12.75" customHeight="1">
      <c r="A16" s="471"/>
      <c r="B16" s="293" t="s">
        <v>3600</v>
      </c>
      <c r="F16" s="3451"/>
      <c r="G16" s="293" t="s">
        <v>4450</v>
      </c>
      <c r="H16" s="2355"/>
      <c r="I16" s="172"/>
      <c r="J16" s="493"/>
      <c r="N16" s="3458"/>
      <c r="O16" s="3459"/>
      <c r="P16" s="3460"/>
    </row>
    <row r="17" spans="1:16" s="293" customFormat="1" ht="6" customHeight="1">
      <c r="I17" s="270"/>
      <c r="J17" s="270"/>
      <c r="K17" s="270"/>
      <c r="L17" s="270"/>
      <c r="M17" s="270"/>
      <c r="N17" s="270"/>
      <c r="O17" s="270"/>
      <c r="P17" s="270"/>
    </row>
    <row r="18" spans="1:16" s="293" customFormat="1" ht="13.35" customHeight="1">
      <c r="A18" s="298" t="s">
        <v>723</v>
      </c>
      <c r="B18" s="295" t="s">
        <v>4112</v>
      </c>
      <c r="D18" s="2344"/>
      <c r="E18" s="297"/>
      <c r="G18" s="300"/>
      <c r="H18" s="300"/>
      <c r="I18" s="300"/>
      <c r="L18" s="299"/>
    </row>
    <row r="19" spans="1:16" s="293" customFormat="1" ht="1.5" customHeight="1">
      <c r="A19" s="298"/>
      <c r="B19" s="297"/>
      <c r="C19" s="295"/>
      <c r="D19" s="2344"/>
      <c r="E19" s="297"/>
      <c r="G19" s="300"/>
      <c r="H19" s="300"/>
      <c r="I19" s="300"/>
      <c r="K19" s="299"/>
      <c r="L19" s="299"/>
      <c r="O19" s="841"/>
    </row>
    <row r="20" spans="1:16" s="293" customFormat="1" ht="13.35" customHeight="1">
      <c r="B20" s="293" t="s">
        <v>3652</v>
      </c>
      <c r="F20" s="3461" t="s">
        <v>6985</v>
      </c>
      <c r="G20" s="3462"/>
      <c r="H20" s="3463"/>
      <c r="I20" s="1402" t="s">
        <v>1752</v>
      </c>
      <c r="J20" s="3461" t="s">
        <v>6989</v>
      </c>
      <c r="K20" s="3462"/>
      <c r="L20" s="3463"/>
      <c r="M20" s="325" t="s">
        <v>1931</v>
      </c>
      <c r="N20" s="3455" t="s">
        <v>6990</v>
      </c>
      <c r="O20" s="3464"/>
      <c r="P20" s="3456"/>
    </row>
    <row r="21" spans="1:16" s="293" customFormat="1" ht="13.35" customHeight="1">
      <c r="B21" s="2344" t="s">
        <v>1932</v>
      </c>
      <c r="F21" s="3465" t="s">
        <v>6986</v>
      </c>
      <c r="G21" s="3466"/>
      <c r="H21" s="3466"/>
      <c r="I21" s="3467"/>
      <c r="J21" s="3466"/>
      <c r="K21" s="3468"/>
      <c r="L21" s="3469"/>
      <c r="M21" s="2402" t="s">
        <v>3651</v>
      </c>
      <c r="N21" s="2403"/>
      <c r="O21" s="2403"/>
      <c r="P21" s="2403"/>
    </row>
    <row r="22" spans="1:16" s="293" customFormat="1" ht="13.35" customHeight="1">
      <c r="B22" s="2344" t="s">
        <v>599</v>
      </c>
      <c r="F22" s="3465" t="s">
        <v>6987</v>
      </c>
      <c r="G22" s="3466"/>
      <c r="H22" s="3470"/>
      <c r="I22" s="2344" t="s">
        <v>1753</v>
      </c>
      <c r="J22" s="3471" t="s">
        <v>1323</v>
      </c>
      <c r="M22" s="2402"/>
      <c r="N22" s="2402"/>
      <c r="O22" s="2402"/>
      <c r="P22" s="2402"/>
    </row>
    <row r="23" spans="1:16" s="293" customFormat="1" ht="13.35" customHeight="1">
      <c r="B23" s="2347" t="s">
        <v>2171</v>
      </c>
      <c r="F23" s="3472">
        <v>450694817</v>
      </c>
      <c r="G23" s="3473"/>
      <c r="H23" s="3474"/>
      <c r="I23" s="2344" t="s">
        <v>1677</v>
      </c>
      <c r="J23" s="3475">
        <v>5139641141</v>
      </c>
      <c r="K23" s="3476"/>
      <c r="L23" s="2361" t="s">
        <v>1676</v>
      </c>
      <c r="M23" s="3477" t="s">
        <v>947</v>
      </c>
      <c r="N23" s="2347" t="s">
        <v>1678</v>
      </c>
      <c r="O23" s="3478">
        <v>5139641141</v>
      </c>
      <c r="P23" s="3476"/>
    </row>
    <row r="24" spans="1:16" s="293" customFormat="1" ht="13.35" customHeight="1">
      <c r="B24" s="2347" t="s">
        <v>1935</v>
      </c>
      <c r="F24" s="3479" t="s">
        <v>6988</v>
      </c>
      <c r="G24" s="3467"/>
      <c r="H24" s="3467"/>
      <c r="I24" s="3464"/>
      <c r="J24" s="3467"/>
      <c r="K24" s="3480"/>
      <c r="N24" s="2347" t="s">
        <v>1930</v>
      </c>
      <c r="O24" s="3481">
        <v>5132563810</v>
      </c>
      <c r="P24" s="3482"/>
    </row>
    <row r="25" spans="1:16" s="293" customFormat="1" ht="13.5" customHeight="1">
      <c r="A25" s="471"/>
      <c r="B25" s="295" t="s">
        <v>4111</v>
      </c>
      <c r="C25" s="301"/>
      <c r="D25" s="2352"/>
      <c r="E25" s="2352"/>
      <c r="F25" s="2352"/>
      <c r="H25" s="2355"/>
      <c r="I25" s="2352"/>
      <c r="J25" s="301"/>
      <c r="K25" s="2352"/>
      <c r="P25" s="302"/>
    </row>
    <row r="26" spans="1:16" s="293" customFormat="1" ht="13.35" customHeight="1">
      <c r="B26" s="293" t="s">
        <v>3652</v>
      </c>
      <c r="F26" s="3461" t="s">
        <v>6985</v>
      </c>
      <c r="G26" s="3462"/>
      <c r="H26" s="3463"/>
      <c r="I26" s="1402" t="s">
        <v>1752</v>
      </c>
      <c r="J26" s="3461" t="s">
        <v>6991</v>
      </c>
      <c r="K26" s="3462"/>
      <c r="L26" s="3463"/>
      <c r="M26" s="325" t="s">
        <v>1931</v>
      </c>
      <c r="N26" s="3455" t="s">
        <v>6994</v>
      </c>
      <c r="O26" s="3464"/>
      <c r="P26" s="3456"/>
    </row>
    <row r="27" spans="1:16" s="293" customFormat="1" ht="13.35" customHeight="1">
      <c r="B27" s="2344" t="s">
        <v>1932</v>
      </c>
      <c r="F27" s="3465" t="s">
        <v>6992</v>
      </c>
      <c r="G27" s="3466"/>
      <c r="H27" s="3466"/>
      <c r="I27" s="3467"/>
      <c r="J27" s="3466"/>
      <c r="K27" s="3468"/>
      <c r="L27" s="3469"/>
      <c r="M27" s="2402" t="s">
        <v>3651</v>
      </c>
      <c r="N27" s="2403"/>
      <c r="O27" s="2403"/>
      <c r="P27" s="2403"/>
    </row>
    <row r="28" spans="1:16" s="293" customFormat="1" ht="13.35" customHeight="1">
      <c r="B28" s="2344" t="s">
        <v>599</v>
      </c>
      <c r="F28" s="3465" t="s">
        <v>6987</v>
      </c>
      <c r="G28" s="3466"/>
      <c r="H28" s="3470"/>
      <c r="I28" s="2344" t="s">
        <v>1753</v>
      </c>
      <c r="J28" s="3471" t="s">
        <v>1323</v>
      </c>
      <c r="M28" s="2402"/>
      <c r="N28" s="2402"/>
      <c r="O28" s="2402"/>
      <c r="P28" s="2402"/>
    </row>
    <row r="29" spans="1:16" s="293" customFormat="1" ht="13.35" customHeight="1">
      <c r="B29" s="2347" t="s">
        <v>2171</v>
      </c>
      <c r="F29" s="3472">
        <v>450694817</v>
      </c>
      <c r="G29" s="3473"/>
      <c r="H29" s="3474"/>
      <c r="I29" s="2344" t="s">
        <v>1677</v>
      </c>
      <c r="J29" s="3475">
        <v>5139641152</v>
      </c>
      <c r="K29" s="3476"/>
      <c r="L29" s="2361" t="s">
        <v>1676</v>
      </c>
      <c r="M29" s="3477" t="s">
        <v>947</v>
      </c>
      <c r="N29" s="2347" t="s">
        <v>1678</v>
      </c>
      <c r="O29" s="3478">
        <v>5139641152</v>
      </c>
      <c r="P29" s="3476"/>
    </row>
    <row r="30" spans="1:16" s="293" customFormat="1" ht="13.35" customHeight="1">
      <c r="B30" s="2347" t="s">
        <v>1935</v>
      </c>
      <c r="F30" s="3479" t="s">
        <v>6993</v>
      </c>
      <c r="G30" s="3467"/>
      <c r="H30" s="3467"/>
      <c r="I30" s="3464"/>
      <c r="J30" s="3467"/>
      <c r="K30" s="3480"/>
      <c r="N30" s="2347" t="s">
        <v>1930</v>
      </c>
      <c r="O30" s="3481">
        <v>7245613196</v>
      </c>
      <c r="P30" s="3482"/>
    </row>
    <row r="31" spans="1:16" s="293" customFormat="1" ht="6" customHeight="1">
      <c r="A31" s="471"/>
      <c r="B31" s="471"/>
      <c r="C31" s="301"/>
      <c r="D31" s="2352"/>
      <c r="E31" s="2352"/>
      <c r="F31" s="2352"/>
      <c r="H31" s="2355"/>
      <c r="I31" s="2352"/>
      <c r="J31" s="301"/>
      <c r="K31" s="2352"/>
      <c r="P31" s="302"/>
    </row>
    <row r="32" spans="1:16" s="293" customFormat="1" ht="13.35" customHeight="1">
      <c r="A32" s="298" t="s">
        <v>1747</v>
      </c>
      <c r="B32" s="295" t="s">
        <v>1442</v>
      </c>
      <c r="D32" s="270"/>
      <c r="E32" s="297"/>
      <c r="F32" s="297"/>
      <c r="G32" s="2344"/>
      <c r="H32" s="297"/>
      <c r="I32" s="297"/>
      <c r="J32" s="300"/>
      <c r="L32" s="299"/>
      <c r="M32" s="299"/>
    </row>
    <row r="33" spans="1:16" s="293" customFormat="1" ht="1.5" customHeight="1">
      <c r="A33" s="298"/>
      <c r="B33" s="295"/>
      <c r="D33" s="270"/>
      <c r="E33" s="297"/>
      <c r="F33" s="297"/>
      <c r="G33" s="2344"/>
      <c r="H33" s="297"/>
      <c r="I33" s="297"/>
      <c r="J33" s="300"/>
      <c r="L33" s="299"/>
    </row>
    <row r="34" spans="1:16" s="293" customFormat="1" ht="13.35" customHeight="1">
      <c r="A34" s="295"/>
      <c r="B34" s="293" t="s">
        <v>598</v>
      </c>
      <c r="D34" s="303"/>
      <c r="F34" s="3483" t="s">
        <v>7056</v>
      </c>
      <c r="G34" s="3484"/>
      <c r="H34" s="3484"/>
      <c r="I34" s="3484"/>
      <c r="J34" s="3484"/>
      <c r="K34" s="3485"/>
      <c r="L34" s="2347" t="s">
        <v>2140</v>
      </c>
      <c r="O34" s="3461" t="s">
        <v>2886</v>
      </c>
      <c r="P34" s="3463"/>
    </row>
    <row r="35" spans="1:16" s="293" customFormat="1" ht="13.35" customHeight="1">
      <c r="A35" s="304"/>
      <c r="B35" s="293" t="s">
        <v>2618</v>
      </c>
      <c r="D35" s="305"/>
      <c r="F35" s="3486" t="s">
        <v>7059</v>
      </c>
      <c r="G35" s="3487"/>
      <c r="H35" s="3487"/>
      <c r="I35" s="3487"/>
      <c r="J35" s="3487"/>
      <c r="K35" s="3488"/>
      <c r="L35" s="293" t="s">
        <v>3504</v>
      </c>
      <c r="O35" s="3489" t="s">
        <v>947</v>
      </c>
      <c r="P35" s="3470"/>
    </row>
    <row r="36" spans="1:16" s="293" customFormat="1" ht="13.35" customHeight="1">
      <c r="A36" s="304"/>
      <c r="B36" s="293" t="s">
        <v>2647</v>
      </c>
      <c r="D36" s="305"/>
      <c r="F36" s="3489" t="s">
        <v>7059</v>
      </c>
      <c r="G36" s="3466"/>
      <c r="H36" s="3466"/>
      <c r="I36" s="3468"/>
      <c r="J36" s="3466"/>
      <c r="K36" s="3470"/>
      <c r="L36" s="2347" t="s">
        <v>2000</v>
      </c>
      <c r="N36" s="3477" t="s">
        <v>2886</v>
      </c>
      <c r="O36" s="2355" t="s">
        <v>3503</v>
      </c>
      <c r="P36" s="3490">
        <v>1</v>
      </c>
    </row>
    <row r="37" spans="1:16" s="293" customFormat="1" ht="13.35" customHeight="1">
      <c r="A37" s="304"/>
      <c r="B37" s="293" t="s">
        <v>3550</v>
      </c>
      <c r="D37" s="305"/>
      <c r="F37" s="293" t="s">
        <v>3533</v>
      </c>
      <c r="G37" s="3491">
        <v>31.704298000000001</v>
      </c>
      <c r="H37" s="3492"/>
      <c r="I37" s="2361" t="s">
        <v>3534</v>
      </c>
      <c r="J37" s="3491">
        <v>-81.737643000000006</v>
      </c>
      <c r="K37" s="3492"/>
      <c r="L37" s="2347" t="s">
        <v>2223</v>
      </c>
      <c r="O37" s="3493">
        <v>4.82</v>
      </c>
      <c r="P37" s="3494"/>
    </row>
    <row r="38" spans="1:16" s="293" customFormat="1" ht="13.35" customHeight="1">
      <c r="A38" s="471"/>
      <c r="B38" s="293" t="s">
        <v>599</v>
      </c>
      <c r="F38" s="3461" t="s">
        <v>474</v>
      </c>
      <c r="G38" s="3495"/>
      <c r="H38" s="3496"/>
      <c r="I38" s="309" t="s">
        <v>2619</v>
      </c>
      <c r="J38" s="3472">
        <v>313160000</v>
      </c>
      <c r="K38" s="3474"/>
      <c r="L38" s="363" t="str">
        <f>IF(AND(NOT(F34=""),NOT(F38="Select from list"),J38=""),"Enter Zip!","")</f>
        <v/>
      </c>
      <c r="M38" s="307" t="s">
        <v>2800</v>
      </c>
      <c r="O38" s="3497" t="s">
        <v>7058</v>
      </c>
      <c r="P38" s="3498"/>
    </row>
    <row r="39" spans="1:16" s="293" customFormat="1" ht="13.35" customHeight="1">
      <c r="A39" s="471"/>
      <c r="B39" s="2352" t="s">
        <v>4487</v>
      </c>
      <c r="D39" s="2352"/>
      <c r="F39" s="3489" t="s">
        <v>7057</v>
      </c>
      <c r="G39" s="3468"/>
      <c r="H39" s="3469"/>
      <c r="I39" s="306" t="s">
        <v>600</v>
      </c>
      <c r="J39" s="3499" t="str">
        <f>IF(F38="","",VLOOKUP(F38,'DCA Underwriting Assumptions'!$T$173:$U$801,2,FALSE))</f>
        <v>Long</v>
      </c>
      <c r="K39" s="3500"/>
      <c r="M39" s="2347" t="s">
        <v>442</v>
      </c>
      <c r="N39" s="3501" t="s">
        <v>2886</v>
      </c>
      <c r="O39" s="2355" t="s">
        <v>443</v>
      </c>
      <c r="P39" s="3457" t="s">
        <v>2886</v>
      </c>
    </row>
    <row r="40" spans="1:16" s="293" customFormat="1" ht="13.35" customHeight="1">
      <c r="A40" s="471"/>
      <c r="B40" s="295"/>
      <c r="C40" s="293" t="s">
        <v>1524</v>
      </c>
      <c r="F40" s="3502" t="s">
        <v>2883</v>
      </c>
      <c r="G40" s="2406" t="s">
        <v>2688</v>
      </c>
      <c r="H40" s="2407"/>
      <c r="I40" s="499" t="str">
        <f>IF($J$39="","",IF(VLOOKUP($J$39,'DCA Underwriting Assumptions'!G173:M332,7,FALSE)="Rural","Yes",IF(VLOOKUP($J$39,'DCA Underwriting Assumptions'!G173:M332,7,FALSE)="Urban","No","")))</f>
        <v>Yes</v>
      </c>
      <c r="J40" s="2361" t="s">
        <v>2706</v>
      </c>
      <c r="K40" s="1557" t="str">
        <f>IF(OR(F40="Yes",I40="Yes"),"Rural","Urban")</f>
        <v>Rural</v>
      </c>
      <c r="M40" s="2347" t="s">
        <v>2542</v>
      </c>
      <c r="N40" s="1558" t="str">
        <f>VLOOKUP($J$39,'DCA Underwriting Assumptions'!$G$173:$J$332,4)</f>
        <v>MSA</v>
      </c>
      <c r="O40" s="3503" t="str">
        <f>IF($F$38="","",VLOOKUP($J$39,'DCA Underwriting Assumptions'!$G$173:$L$332,3,FALSE))</f>
        <v>Long Co.</v>
      </c>
      <c r="P40" s="3504"/>
    </row>
    <row r="41" spans="1:16" s="293" customFormat="1" ht="6" customHeight="1">
      <c r="A41" s="471"/>
      <c r="B41" s="295"/>
      <c r="C41" s="295"/>
      <c r="I41" s="2344"/>
      <c r="J41" s="2352"/>
      <c r="L41" s="2364"/>
      <c r="M41" s="2364"/>
      <c r="N41" s="2364"/>
      <c r="O41" s="2364"/>
      <c r="P41" s="2364"/>
    </row>
    <row r="42" spans="1:16" s="293" customFormat="1" ht="13.35" customHeight="1">
      <c r="A42" s="471"/>
      <c r="C42" s="293" t="s">
        <v>2656</v>
      </c>
      <c r="F42" s="2408" t="s">
        <v>2671</v>
      </c>
      <c r="G42" s="2408"/>
      <c r="H42" s="2409" t="s">
        <v>717</v>
      </c>
      <c r="I42" s="2409"/>
      <c r="J42" s="2409" t="s">
        <v>718</v>
      </c>
      <c r="K42" s="2409"/>
      <c r="L42" s="486" t="s">
        <v>4377</v>
      </c>
    </row>
    <row r="43" spans="1:16" s="293" customFormat="1" ht="13.35" customHeight="1">
      <c r="A43" s="471"/>
      <c r="B43" s="293" t="s">
        <v>2670</v>
      </c>
      <c r="D43" s="295"/>
      <c r="F43" s="3505">
        <v>1</v>
      </c>
      <c r="G43" s="3506"/>
      <c r="H43" s="3505">
        <v>51</v>
      </c>
      <c r="I43" s="3506"/>
      <c r="J43" s="3505">
        <v>9</v>
      </c>
      <c r="K43" s="3506"/>
      <c r="L43" s="482" t="s">
        <v>1256</v>
      </c>
      <c r="N43" s="2404" t="s">
        <v>1257</v>
      </c>
      <c r="O43" s="2404"/>
      <c r="P43" s="2404"/>
    </row>
    <row r="44" spans="1:16" s="293" customFormat="1" ht="12.75" customHeight="1">
      <c r="A44" s="471"/>
      <c r="B44" s="2344" t="s">
        <v>719</v>
      </c>
      <c r="F44" s="3507"/>
      <c r="G44" s="3508"/>
      <c r="H44" s="3507"/>
      <c r="I44" s="3508"/>
      <c r="J44" s="3507"/>
      <c r="K44" s="3508"/>
      <c r="L44" s="482" t="s">
        <v>2669</v>
      </c>
      <c r="N44" s="2405" t="s">
        <v>2668</v>
      </c>
      <c r="O44" s="2405"/>
    </row>
    <row r="45" spans="1:16" s="293" customFormat="1" ht="3" customHeight="1">
      <c r="A45" s="471"/>
      <c r="I45" s="2364"/>
      <c r="J45" s="2364"/>
      <c r="K45" s="2364"/>
      <c r="L45" s="2352"/>
      <c r="M45" s="2352"/>
      <c r="N45" s="2352"/>
      <c r="O45" s="2352"/>
      <c r="P45" s="2352"/>
    </row>
    <row r="46" spans="1:16" s="293" customFormat="1" ht="13.35" customHeight="1">
      <c r="A46" s="471"/>
      <c r="B46" s="295" t="s">
        <v>618</v>
      </c>
      <c r="F46" s="3509" t="s">
        <v>7067</v>
      </c>
      <c r="G46" s="3510"/>
      <c r="H46" s="3510"/>
      <c r="I46" s="3511"/>
      <c r="J46" s="3510"/>
      <c r="K46" s="3512"/>
      <c r="L46" s="840" t="s">
        <v>2623</v>
      </c>
      <c r="M46" s="3455" t="s">
        <v>7071</v>
      </c>
      <c r="N46" s="3464"/>
      <c r="O46" s="3464"/>
      <c r="P46" s="3456"/>
    </row>
    <row r="47" spans="1:16" s="293" customFormat="1" ht="13.35" customHeight="1">
      <c r="A47" s="471"/>
      <c r="B47" s="293" t="s">
        <v>619</v>
      </c>
      <c r="F47" s="3513" t="s">
        <v>7069</v>
      </c>
      <c r="G47" s="3514"/>
      <c r="H47" s="3515"/>
      <c r="I47" s="1007" t="s">
        <v>1931</v>
      </c>
      <c r="J47" s="3486" t="s">
        <v>7068</v>
      </c>
      <c r="K47" s="3488"/>
      <c r="L47" s="840"/>
    </row>
    <row r="48" spans="1:16" s="293" customFormat="1" ht="13.35" customHeight="1">
      <c r="A48" s="471"/>
      <c r="B48" s="293" t="s">
        <v>1932</v>
      </c>
      <c r="F48" s="3516" t="s">
        <v>7065</v>
      </c>
      <c r="G48" s="3517"/>
      <c r="H48" s="3518"/>
      <c r="I48" s="3510"/>
      <c r="J48" s="3517"/>
      <c r="K48" s="3519"/>
      <c r="L48" s="2345" t="s">
        <v>599</v>
      </c>
      <c r="M48" s="3520" t="s">
        <v>474</v>
      </c>
      <c r="N48" s="3521"/>
      <c r="O48" s="3521"/>
      <c r="P48" s="3522"/>
    </row>
    <row r="49" spans="1:19" s="293" customFormat="1" ht="13.35" customHeight="1">
      <c r="A49" s="471"/>
      <c r="B49" s="2347" t="s">
        <v>2171</v>
      </c>
      <c r="F49" s="3523">
        <v>313160000</v>
      </c>
      <c r="G49" s="3524"/>
      <c r="H49" s="2361" t="s">
        <v>1933</v>
      </c>
      <c r="I49" s="3525" t="s">
        <v>7070</v>
      </c>
      <c r="J49" s="3526"/>
      <c r="K49" s="3527"/>
      <c r="L49" s="2344" t="s">
        <v>1754</v>
      </c>
      <c r="M49" s="3528" t="s">
        <v>7066</v>
      </c>
      <c r="N49" s="3529"/>
      <c r="O49" s="3529"/>
      <c r="P49" s="3530"/>
    </row>
    <row r="50" spans="1:19" s="293" customFormat="1" ht="6" customHeight="1">
      <c r="A50" s="471"/>
      <c r="B50" s="471"/>
      <c r="C50" s="308"/>
      <c r="D50" s="309"/>
      <c r="E50" s="309"/>
      <c r="F50" s="2355"/>
      <c r="G50" s="2355"/>
      <c r="H50" s="2355"/>
      <c r="I50" s="2355"/>
      <c r="J50" s="309"/>
      <c r="K50" s="2355"/>
      <c r="L50" s="2355"/>
      <c r="N50" s="2352"/>
      <c r="O50" s="2352"/>
      <c r="P50" s="302"/>
    </row>
    <row r="51" spans="1:19" s="293" customFormat="1" ht="12" customHeight="1">
      <c r="A51" s="298" t="s">
        <v>1749</v>
      </c>
      <c r="B51" s="295" t="s">
        <v>1443</v>
      </c>
      <c r="F51" s="310"/>
      <c r="I51" s="2347"/>
      <c r="J51" s="2352"/>
      <c r="K51" s="2352"/>
      <c r="L51" s="2352"/>
      <c r="M51" s="2352"/>
    </row>
    <row r="52" spans="1:19" s="293" customFormat="1" ht="1.5" customHeight="1">
      <c r="A52" s="471"/>
      <c r="B52" s="295"/>
      <c r="C52" s="295"/>
      <c r="I52" s="2347"/>
      <c r="J52" s="2352"/>
      <c r="K52" s="2352"/>
      <c r="L52" s="2352"/>
      <c r="M52" s="2352"/>
      <c r="N52" s="2352"/>
      <c r="O52" s="2352"/>
      <c r="P52" s="2352"/>
      <c r="Q52" s="2352"/>
    </row>
    <row r="53" spans="1:19" s="293" customFormat="1">
      <c r="A53" s="471"/>
      <c r="B53" s="471" t="s">
        <v>1934</v>
      </c>
      <c r="C53" s="295" t="s">
        <v>699</v>
      </c>
      <c r="I53" s="2352"/>
      <c r="J53" s="2352"/>
      <c r="K53" s="483"/>
      <c r="L53" s="2352"/>
      <c r="M53" s="485"/>
      <c r="N53" s="485"/>
      <c r="O53" s="485"/>
      <c r="P53" s="485"/>
      <c r="Q53" s="2355"/>
    </row>
    <row r="54" spans="1:19" ht="13.35" customHeight="1">
      <c r="B54" s="471"/>
      <c r="C54" s="293" t="s">
        <v>2235</v>
      </c>
      <c r="D54" s="293"/>
      <c r="E54" s="293"/>
      <c r="H54" s="1024">
        <f>'Part VI-Revenues &amp; Expenses'!$P$115</f>
        <v>0</v>
      </c>
      <c r="K54" s="2344" t="s">
        <v>3496</v>
      </c>
      <c r="L54" s="293"/>
      <c r="M54" s="883" t="s">
        <v>3495</v>
      </c>
      <c r="N54" s="312">
        <f>'Part VI-Revenues &amp; Expenses'!$P$122</f>
        <v>0</v>
      </c>
      <c r="O54" s="884" t="s">
        <v>3248</v>
      </c>
      <c r="P54" s="312">
        <f>'Part VI-Revenues &amp; Expenses'!$P$123</f>
        <v>0</v>
      </c>
      <c r="Q54" s="2355"/>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4" t="s">
        <v>341</v>
      </c>
      <c r="D56" s="2352"/>
      <c r="H56" s="1026">
        <f>'Part VI-Revenues &amp; Expenses'!$P$118</f>
        <v>40</v>
      </c>
      <c r="I56" s="472" t="s">
        <v>2804</v>
      </c>
      <c r="K56" s="293" t="s">
        <v>343</v>
      </c>
      <c r="P56" s="3531">
        <v>36631</v>
      </c>
      <c r="Q56" s="2355"/>
    </row>
    <row r="57" spans="1:19" s="293" customFormat="1" ht="3.6" customHeight="1">
      <c r="A57" s="471"/>
      <c r="P57" s="2352"/>
    </row>
    <row r="58" spans="1:19" s="293" customFormat="1">
      <c r="A58" s="471"/>
      <c r="B58" s="471" t="s">
        <v>1936</v>
      </c>
      <c r="C58" s="295" t="s">
        <v>2236</v>
      </c>
      <c r="H58" s="3532" t="s">
        <v>2886</v>
      </c>
      <c r="K58" s="2352"/>
      <c r="L58" s="2352"/>
      <c r="M58" s="2352"/>
      <c r="N58" s="2352"/>
      <c r="O58" s="485"/>
      <c r="P58" s="483"/>
      <c r="Q58" s="2352"/>
    </row>
    <row r="59" spans="1:19" s="293" customFormat="1" ht="3" customHeight="1">
      <c r="A59" s="471"/>
      <c r="I59" s="2352"/>
      <c r="J59" s="483"/>
      <c r="K59" s="484"/>
      <c r="L59" s="483"/>
      <c r="M59" s="484"/>
      <c r="N59" s="484"/>
      <c r="O59" s="484"/>
      <c r="P59" s="484"/>
      <c r="Q59" s="2352"/>
    </row>
    <row r="60" spans="1:19" s="293" customFormat="1" ht="13.35" customHeight="1">
      <c r="A60" s="471"/>
      <c r="B60" s="304" t="s">
        <v>730</v>
      </c>
      <c r="C60" s="303" t="s">
        <v>2216</v>
      </c>
      <c r="D60" s="2352"/>
      <c r="I60" s="2356" t="s">
        <v>3430</v>
      </c>
      <c r="J60" s="304" t="s">
        <v>2063</v>
      </c>
      <c r="K60" s="314" t="s">
        <v>2241</v>
      </c>
      <c r="M60" s="2352"/>
      <c r="N60" s="2352"/>
      <c r="O60" s="2352"/>
      <c r="P60" s="2355"/>
      <c r="Q60" s="2355"/>
      <c r="R60" s="2355"/>
      <c r="S60" s="2352"/>
    </row>
    <row r="61" spans="1:19" s="293" customFormat="1" ht="13.35" customHeight="1">
      <c r="A61" s="471"/>
      <c r="B61" s="2348"/>
      <c r="C61" s="301" t="s">
        <v>2217</v>
      </c>
      <c r="D61" s="2352"/>
      <c r="E61" s="2352"/>
      <c r="H61" s="605">
        <f>SUM(H62:H68)</f>
        <v>40</v>
      </c>
      <c r="I61" s="605">
        <f>SUM(I62:I68)</f>
        <v>0</v>
      </c>
      <c r="J61" s="471"/>
      <c r="K61" s="301" t="s">
        <v>2680</v>
      </c>
      <c r="M61" s="2352"/>
      <c r="N61" s="2352"/>
      <c r="O61" s="2352"/>
      <c r="P61" s="1346">
        <f>SUM(P62:P68)</f>
        <v>35100</v>
      </c>
    </row>
    <row r="62" spans="1:19" s="293" customFormat="1" ht="13.35" customHeight="1">
      <c r="A62" s="471"/>
      <c r="B62" s="2348"/>
      <c r="C62" s="301"/>
      <c r="D62" s="316" t="s">
        <v>4213</v>
      </c>
      <c r="E62" s="2352"/>
      <c r="H62" s="818">
        <f>'Part VI-Revenues &amp; Expenses'!$P$56</f>
        <v>0</v>
      </c>
      <c r="I62" s="818">
        <f>'Part VI-Revenues &amp; Expenses'!$P$93</f>
        <v>0</v>
      </c>
      <c r="J62" s="471"/>
      <c r="K62" s="301"/>
      <c r="L62" s="316" t="s">
        <v>4213</v>
      </c>
      <c r="M62" s="2352"/>
      <c r="N62" s="2352"/>
      <c r="O62" s="2352"/>
      <c r="P62" s="818">
        <f>'Part VI-Revenues &amp; Expenses'!$P$159</f>
        <v>0</v>
      </c>
    </row>
    <row r="63" spans="1:19" s="293" customFormat="1" ht="13.35" customHeight="1">
      <c r="A63" s="471"/>
      <c r="B63" s="2348"/>
      <c r="C63" s="301"/>
      <c r="D63" s="316" t="s">
        <v>4214</v>
      </c>
      <c r="E63" s="2352"/>
      <c r="H63" s="1348">
        <f>'Part VI-Revenues &amp; Expenses'!$P$57</f>
        <v>0</v>
      </c>
      <c r="I63" s="1348">
        <f>'Part VI-Revenues &amp; Expenses'!$P$94</f>
        <v>0</v>
      </c>
      <c r="J63" s="471"/>
      <c r="K63" s="301"/>
      <c r="L63" s="316" t="s">
        <v>4214</v>
      </c>
      <c r="M63" s="2352"/>
      <c r="N63" s="2352"/>
      <c r="O63" s="2352"/>
      <c r="P63" s="1348">
        <f>'Part VI-Revenues &amp; Expenses'!$P$160</f>
        <v>0</v>
      </c>
    </row>
    <row r="64" spans="1:19" s="293" customFormat="1" ht="13.35" customHeight="1">
      <c r="A64" s="471"/>
      <c r="B64" s="311"/>
      <c r="D64" s="316" t="s">
        <v>4211</v>
      </c>
      <c r="E64" s="316"/>
      <c r="H64" s="1348">
        <f>'Part VI-Revenues &amp; Expenses'!$P$58</f>
        <v>0</v>
      </c>
      <c r="I64" s="1348">
        <f>'Part VI-Revenues &amp; Expenses'!$P$95</f>
        <v>0</v>
      </c>
      <c r="L64" s="316" t="s">
        <v>4211</v>
      </c>
      <c r="O64" s="2352"/>
      <c r="P64" s="1348">
        <f>'Part VI-Revenues &amp; Expenses'!$P$161</f>
        <v>0</v>
      </c>
    </row>
    <row r="65" spans="1:16" s="293" customFormat="1" ht="13.35" customHeight="1">
      <c r="A65" s="471"/>
      <c r="D65" s="316" t="s">
        <v>4212</v>
      </c>
      <c r="E65" s="2352"/>
      <c r="H65" s="1348">
        <f>'Part VI-Revenues &amp; Expenses'!$P$59</f>
        <v>40</v>
      </c>
      <c r="I65" s="1348">
        <f>'Part VI-Revenues &amp; Expenses'!$P$96</f>
        <v>0</v>
      </c>
      <c r="L65" s="316" t="s">
        <v>4212</v>
      </c>
      <c r="O65" s="2352"/>
      <c r="P65" s="1348">
        <f>'Part VI-Revenues &amp; Expenses'!$P$162</f>
        <v>35100</v>
      </c>
    </row>
    <row r="66" spans="1:16" s="293" customFormat="1" ht="13.35" customHeight="1">
      <c r="A66" s="471"/>
      <c r="D66" s="316" t="s">
        <v>4215</v>
      </c>
      <c r="E66" s="316"/>
      <c r="H66" s="1348">
        <f>'Part VI-Revenues &amp; Expenses'!$P$60</f>
        <v>0</v>
      </c>
      <c r="I66" s="1348">
        <f>'Part VI-Revenues &amp; Expenses'!$P$97</f>
        <v>0</v>
      </c>
      <c r="L66" s="316" t="s">
        <v>4215</v>
      </c>
      <c r="O66" s="2352"/>
      <c r="P66" s="1348">
        <f>'Part VI-Revenues &amp; Expenses'!$P$163</f>
        <v>0</v>
      </c>
    </row>
    <row r="67" spans="1:16" s="293" customFormat="1" ht="13.35" customHeight="1">
      <c r="A67" s="471"/>
      <c r="D67" s="316" t="s">
        <v>4216</v>
      </c>
      <c r="E67" s="316"/>
      <c r="H67" s="1348">
        <f>'Part VI-Revenues &amp; Expenses'!$P$61</f>
        <v>0</v>
      </c>
      <c r="I67" s="1348">
        <f>'Part VI-Revenues &amp; Expenses'!$P$98</f>
        <v>0</v>
      </c>
      <c r="L67" s="316" t="s">
        <v>4216</v>
      </c>
      <c r="O67" s="2352"/>
      <c r="P67" s="1348">
        <f>'Part VI-Revenues &amp; Expenses'!$P$164</f>
        <v>0</v>
      </c>
    </row>
    <row r="68" spans="1:16" s="293" customFormat="1" ht="13.35" customHeight="1">
      <c r="A68" s="471"/>
      <c r="D68" s="316" t="s">
        <v>4217</v>
      </c>
      <c r="E68" s="316"/>
      <c r="H68" s="819">
        <f>'Part VI-Revenues &amp; Expenses'!$P$62</f>
        <v>0</v>
      </c>
      <c r="I68" s="819">
        <f>'Part VI-Revenues &amp; Expenses'!$P$99</f>
        <v>0</v>
      </c>
      <c r="L68" s="316" t="s">
        <v>4217</v>
      </c>
      <c r="O68" s="2352"/>
      <c r="P68" s="819">
        <f>'Part VI-Revenues &amp; Expenses'!$P$165</f>
        <v>0</v>
      </c>
    </row>
    <row r="69" spans="1:16" s="293" customFormat="1" ht="13.35" customHeight="1">
      <c r="A69" s="471"/>
      <c r="C69" s="301" t="s">
        <v>248</v>
      </c>
      <c r="D69" s="2352"/>
      <c r="E69" s="2352"/>
      <c r="H69" s="1347">
        <f>'Part VI-Revenues &amp; Expenses'!$P$64</f>
        <v>0</v>
      </c>
      <c r="J69" s="471"/>
      <c r="K69" s="301" t="s">
        <v>2681</v>
      </c>
      <c r="M69" s="2352"/>
      <c r="N69" s="2352"/>
      <c r="O69" s="2352"/>
      <c r="P69" s="1349">
        <f>'Part VI-Revenues &amp; Expenses'!$P$167</f>
        <v>0</v>
      </c>
    </row>
    <row r="70" spans="1:16" s="293" customFormat="1" ht="13.35" customHeight="1">
      <c r="A70" s="471"/>
      <c r="C70" s="301" t="s">
        <v>2343</v>
      </c>
      <c r="D70" s="2352"/>
      <c r="E70" s="2352"/>
      <c r="H70" s="818">
        <f>H61+H69</f>
        <v>40</v>
      </c>
      <c r="J70" s="471"/>
      <c r="K70" s="301" t="s">
        <v>2682</v>
      </c>
      <c r="M70" s="2352"/>
      <c r="N70" s="2352"/>
      <c r="O70" s="2352"/>
      <c r="P70" s="818">
        <f>P61+P69</f>
        <v>35100</v>
      </c>
    </row>
    <row r="71" spans="1:16" s="293" customFormat="1" ht="13.35" customHeight="1">
      <c r="A71" s="471"/>
      <c r="C71" s="301" t="s">
        <v>2344</v>
      </c>
      <c r="D71" s="2352"/>
      <c r="E71" s="2352"/>
      <c r="H71" s="819">
        <f>'Part VI-Revenues &amp; Expenses'!$P$66</f>
        <v>0</v>
      </c>
      <c r="J71" s="471"/>
      <c r="K71" s="301" t="s">
        <v>2683</v>
      </c>
      <c r="M71" s="2352"/>
      <c r="N71" s="2352"/>
      <c r="O71" s="2352"/>
      <c r="P71" s="819">
        <f>'Part VI-Revenues &amp; Expenses'!$P$169</f>
        <v>0</v>
      </c>
    </row>
    <row r="72" spans="1:16" s="293" customFormat="1" ht="13.35" customHeight="1">
      <c r="A72" s="471"/>
      <c r="C72" s="301" t="s">
        <v>1748</v>
      </c>
      <c r="D72" s="2352"/>
      <c r="E72" s="2352"/>
      <c r="H72" s="315">
        <f>+H70+H71</f>
        <v>40</v>
      </c>
      <c r="J72" s="2352"/>
      <c r="K72" s="301" t="s">
        <v>1391</v>
      </c>
      <c r="M72" s="2352"/>
      <c r="N72" s="2352"/>
      <c r="O72" s="2352"/>
      <c r="P72" s="315">
        <f>+P70+P71</f>
        <v>35100</v>
      </c>
    </row>
    <row r="73" spans="1:16" s="293" customFormat="1" ht="3" customHeight="1">
      <c r="A73" s="471"/>
      <c r="I73" s="2355"/>
      <c r="L73" s="2355"/>
      <c r="M73" s="2355"/>
      <c r="N73" s="2352"/>
      <c r="P73" s="302"/>
    </row>
    <row r="74" spans="1:16" s="293" customFormat="1" ht="13.35" customHeight="1">
      <c r="A74" s="471"/>
      <c r="B74" s="471" t="s">
        <v>1691</v>
      </c>
      <c r="C74" s="303" t="s">
        <v>2237</v>
      </c>
      <c r="D74" s="316" t="s">
        <v>1947</v>
      </c>
      <c r="G74" s="2352"/>
      <c r="H74" s="3533">
        <v>8</v>
      </c>
      <c r="K74" s="301" t="s">
        <v>4442</v>
      </c>
      <c r="O74" s="2352"/>
      <c r="P74" s="3534">
        <v>3000</v>
      </c>
    </row>
    <row r="75" spans="1:16" s="293" customFormat="1" ht="13.35" customHeight="1">
      <c r="A75" s="471"/>
      <c r="B75" s="471"/>
      <c r="D75" s="2348" t="s">
        <v>1948</v>
      </c>
      <c r="H75" s="3535">
        <v>0</v>
      </c>
      <c r="I75" s="2352"/>
      <c r="K75" s="301" t="s">
        <v>247</v>
      </c>
      <c r="O75" s="2352"/>
      <c r="P75" s="315">
        <f>+P72+P74</f>
        <v>38100</v>
      </c>
    </row>
    <row r="76" spans="1:16" s="293" customFormat="1" ht="13.35" customHeight="1">
      <c r="A76" s="471"/>
      <c r="B76" s="471"/>
      <c r="D76" s="2348" t="s">
        <v>1949</v>
      </c>
      <c r="H76" s="315">
        <f>+H74+H75</f>
        <v>8</v>
      </c>
      <c r="I76" s="2352"/>
    </row>
    <row r="77" spans="1:16" s="293" customFormat="1" ht="3" customHeight="1">
      <c r="A77" s="471"/>
      <c r="B77" s="471"/>
      <c r="C77" s="2352"/>
      <c r="D77" s="2352"/>
      <c r="E77" s="2352"/>
      <c r="F77" s="2352"/>
      <c r="G77" s="2355"/>
      <c r="I77" s="301"/>
      <c r="J77" s="2352"/>
      <c r="P77" s="302"/>
    </row>
    <row r="78" spans="1:16" s="293" customFormat="1" ht="13.35" customHeight="1">
      <c r="A78" s="471"/>
      <c r="B78" s="471" t="s">
        <v>1692</v>
      </c>
      <c r="C78" s="303" t="s">
        <v>2740</v>
      </c>
      <c r="D78" s="2352"/>
      <c r="E78" s="2352"/>
      <c r="F78" s="2352"/>
      <c r="G78" s="2352"/>
      <c r="H78" s="3534">
        <v>70</v>
      </c>
      <c r="K78" s="2420" t="s">
        <v>3633</v>
      </c>
      <c r="L78" s="2420"/>
      <c r="M78" s="2420"/>
      <c r="N78" s="2420"/>
      <c r="O78" s="2420"/>
      <c r="P78" s="2420"/>
    </row>
    <row r="79" spans="1:16" s="293" customFormat="1" ht="6" customHeight="1">
      <c r="A79" s="471"/>
      <c r="B79" s="471"/>
      <c r="C79" s="301"/>
      <c r="D79" s="2352"/>
      <c r="E79" s="2352"/>
      <c r="F79" s="2352"/>
      <c r="G79" s="2355"/>
      <c r="H79" s="2352"/>
      <c r="I79" s="301"/>
      <c r="J79" s="301"/>
      <c r="K79" s="2420"/>
      <c r="L79" s="2420"/>
      <c r="M79" s="2420"/>
      <c r="N79" s="2420"/>
      <c r="O79" s="2420"/>
      <c r="P79" s="2420"/>
    </row>
    <row r="80" spans="1:16" s="293" customFormat="1" ht="13.35" customHeight="1">
      <c r="A80" s="471" t="s">
        <v>515</v>
      </c>
      <c r="B80" s="317" t="s">
        <v>1165</v>
      </c>
      <c r="D80" s="317"/>
      <c r="E80" s="317"/>
      <c r="F80" s="2352"/>
      <c r="G80" s="2355"/>
      <c r="H80" s="497"/>
      <c r="K80" s="2420"/>
      <c r="L80" s="2420"/>
      <c r="M80" s="2420"/>
      <c r="N80" s="2420"/>
      <c r="O80" s="2420"/>
      <c r="P80" s="2420"/>
    </row>
    <row r="81" spans="1:16" s="293" customFormat="1" ht="3" customHeight="1">
      <c r="A81" s="471"/>
      <c r="C81" s="1481"/>
      <c r="D81" s="1481"/>
      <c r="E81" s="1481"/>
      <c r="F81" s="2352"/>
      <c r="G81" s="2355"/>
      <c r="K81" s="2352"/>
      <c r="P81" s="302"/>
    </row>
    <row r="82" spans="1:16" s="293" customFormat="1" ht="13.35" customHeight="1">
      <c r="A82" s="471"/>
      <c r="B82" s="471" t="s">
        <v>1934</v>
      </c>
      <c r="C82" s="2346" t="s">
        <v>2611</v>
      </c>
      <c r="D82" s="1481"/>
      <c r="E82" s="1481"/>
      <c r="F82" s="2352"/>
      <c r="G82" s="2355"/>
      <c r="H82" s="3536" t="s">
        <v>2805</v>
      </c>
      <c r="I82" s="3537"/>
      <c r="K82" s="2419" t="s">
        <v>1727</v>
      </c>
      <c r="L82" s="2419"/>
      <c r="M82" s="3455" t="s">
        <v>947</v>
      </c>
      <c r="N82" s="3464"/>
      <c r="O82" s="3464"/>
      <c r="P82" s="3456"/>
    </row>
    <row r="83" spans="1:16" s="293" customFormat="1" ht="3" customHeight="1">
      <c r="A83" s="471"/>
      <c r="B83" s="471"/>
      <c r="D83" s="2348"/>
      <c r="E83" s="2348"/>
      <c r="F83" s="2348"/>
      <c r="G83" s="2348"/>
      <c r="I83" s="2355"/>
      <c r="K83" s="2347"/>
      <c r="L83" s="2347"/>
      <c r="M83" s="2355"/>
      <c r="N83" s="2352"/>
      <c r="P83" s="302"/>
    </row>
    <row r="84" spans="1:16" s="293" customFormat="1">
      <c r="A84" s="471"/>
      <c r="B84" s="471"/>
      <c r="E84" s="1481"/>
      <c r="K84" s="2423" t="s">
        <v>4389</v>
      </c>
      <c r="L84" s="318" t="s">
        <v>2805</v>
      </c>
      <c r="M84" s="3538">
        <v>40</v>
      </c>
      <c r="N84" s="318" t="s">
        <v>2806</v>
      </c>
      <c r="O84" s="3538"/>
      <c r="P84" s="2344" t="s">
        <v>4388</v>
      </c>
    </row>
    <row r="85" spans="1:16" s="293" customFormat="1">
      <c r="A85" s="471"/>
      <c r="B85" s="471"/>
      <c r="D85" s="2347"/>
      <c r="E85" s="1481"/>
      <c r="J85" s="1479"/>
      <c r="K85" s="2423"/>
      <c r="L85" s="305" t="s">
        <v>2807</v>
      </c>
      <c r="M85" s="3535"/>
      <c r="N85" s="305" t="s">
        <v>3648</v>
      </c>
      <c r="O85" s="3535"/>
      <c r="P85" s="3539"/>
    </row>
    <row r="86" spans="1:16" s="293" customFormat="1" ht="9" customHeight="1">
      <c r="A86" s="471"/>
      <c r="B86" s="471"/>
      <c r="D86" s="2348"/>
      <c r="E86" s="2348"/>
      <c r="F86" s="2348"/>
      <c r="G86" s="2348"/>
      <c r="I86" s="2355"/>
      <c r="K86" s="2347"/>
      <c r="L86" s="2347"/>
      <c r="M86" s="2355"/>
      <c r="N86" s="2352"/>
      <c r="P86" s="302"/>
    </row>
    <row r="87" spans="1:16" s="293" customFormat="1">
      <c r="A87" s="471"/>
      <c r="B87" s="471" t="s">
        <v>1936</v>
      </c>
      <c r="C87" s="303" t="s">
        <v>1383</v>
      </c>
      <c r="D87" s="2352"/>
      <c r="E87" s="316"/>
      <c r="F87" s="2348" t="s">
        <v>775</v>
      </c>
      <c r="H87" s="605">
        <f>'Part VIII-Threshold Criteria'!K305</f>
        <v>3</v>
      </c>
      <c r="K87" s="2419" t="s">
        <v>505</v>
      </c>
      <c r="L87" s="2419"/>
      <c r="N87" s="1559">
        <f>IF('Part VI-Revenues &amp; Expenses'!$P$67=0,0,H87/'Part VI-Revenues &amp; Expenses'!$P$67)</f>
        <v>7.4999999999999997E-2</v>
      </c>
      <c r="O87" s="305" t="s">
        <v>3515</v>
      </c>
      <c r="P87" s="895">
        <f>'DCA Underwriting Assumptions'!$Q$154</f>
        <v>0.05</v>
      </c>
    </row>
    <row r="88" spans="1:16" s="293" customFormat="1">
      <c r="A88" s="471"/>
      <c r="B88" s="471"/>
      <c r="D88" s="2348" t="s">
        <v>2738</v>
      </c>
      <c r="E88" s="2348"/>
      <c r="F88" s="2348" t="s">
        <v>775</v>
      </c>
      <c r="H88" s="605">
        <f>'Part VIII-Threshold Criteria'!K306</f>
        <v>3</v>
      </c>
      <c r="K88" s="2352" t="s">
        <v>2739</v>
      </c>
      <c r="L88" s="2352"/>
      <c r="N88" s="1559">
        <f>IF(H87=0,0,H88/H87)</f>
        <v>1</v>
      </c>
      <c r="O88" s="305" t="s">
        <v>3515</v>
      </c>
      <c r="P88" s="895">
        <f>'DCA Underwriting Assumptions'!$Q$155</f>
        <v>0.4</v>
      </c>
    </row>
    <row r="89" spans="1:16" s="293" customFormat="1" ht="9" customHeight="1">
      <c r="A89" s="471"/>
      <c r="B89" s="471"/>
      <c r="D89" s="2348"/>
      <c r="E89" s="2348"/>
      <c r="F89" s="2348"/>
      <c r="I89" s="2355"/>
      <c r="K89" s="2347"/>
      <c r="L89" s="2347"/>
      <c r="M89" s="2355"/>
      <c r="N89" s="2355"/>
      <c r="P89" s="2361"/>
    </row>
    <row r="90" spans="1:16" s="293" customFormat="1">
      <c r="A90" s="471"/>
      <c r="B90" s="471" t="s">
        <v>730</v>
      </c>
      <c r="C90" s="303" t="s">
        <v>1796</v>
      </c>
      <c r="D90" s="316"/>
      <c r="E90" s="316"/>
      <c r="F90" s="2348" t="s">
        <v>775</v>
      </c>
      <c r="H90" s="605">
        <f>'Part VIII-Threshold Criteria'!K308</f>
        <v>1</v>
      </c>
      <c r="K90" s="2419" t="s">
        <v>505</v>
      </c>
      <c r="L90" s="2419"/>
      <c r="N90" s="1559">
        <f>IF('Part VI-Revenues &amp; Expenses'!$P$67=0,0,H90/'Part VI-Revenues &amp; Expenses'!$P$67)</f>
        <v>2.5000000000000001E-2</v>
      </c>
      <c r="O90" s="305" t="s">
        <v>3515</v>
      </c>
      <c r="P90" s="895">
        <f>'DCA Underwriting Assumptions'!$Q$156</f>
        <v>0.02</v>
      </c>
    </row>
    <row r="91" spans="1:16" s="293" customFormat="1">
      <c r="A91" s="471"/>
      <c r="B91" s="471"/>
      <c r="D91" s="2348"/>
      <c r="E91" s="2348"/>
      <c r="F91" s="2348"/>
      <c r="G91" s="2348"/>
      <c r="I91" s="2355"/>
      <c r="J91" s="2355"/>
      <c r="K91" s="2355"/>
      <c r="L91" s="2355"/>
      <c r="M91" s="2355"/>
      <c r="N91" s="2352"/>
      <c r="P91" s="302"/>
    </row>
    <row r="92" spans="1:16" s="293" customFormat="1" ht="13.35" customHeight="1">
      <c r="A92" s="319" t="s">
        <v>753</v>
      </c>
      <c r="B92" s="1481" t="s">
        <v>4323</v>
      </c>
      <c r="D92" s="2348"/>
      <c r="E92" s="2348"/>
      <c r="F92" s="2348"/>
      <c r="G92" s="2348"/>
      <c r="H92" s="2348"/>
      <c r="I92" s="2355"/>
      <c r="M92" s="2355"/>
      <c r="N92" s="2352"/>
      <c r="P92" s="302"/>
    </row>
    <row r="93" spans="1:16" s="293" customFormat="1" ht="1.5" customHeight="1">
      <c r="A93" s="471"/>
      <c r="B93" s="471"/>
      <c r="C93" s="1481"/>
      <c r="D93" s="2348"/>
      <c r="E93" s="2348"/>
      <c r="F93" s="2348"/>
      <c r="L93" s="2355"/>
      <c r="M93" s="2355"/>
      <c r="N93" s="2352"/>
    </row>
    <row r="94" spans="1:16" s="293" customFormat="1" ht="13.35" customHeight="1">
      <c r="A94" s="471"/>
      <c r="B94" s="471" t="s">
        <v>1934</v>
      </c>
      <c r="C94" s="2346" t="s">
        <v>2314</v>
      </c>
      <c r="D94" s="2348"/>
      <c r="F94" s="2347"/>
      <c r="K94" s="3540" t="s">
        <v>6995</v>
      </c>
      <c r="L94" s="3541"/>
      <c r="M94" s="3542"/>
      <c r="N94" s="2352"/>
    </row>
    <row r="95" spans="1:16" s="293" customFormat="1" ht="1.5" customHeight="1">
      <c r="A95" s="471"/>
      <c r="B95" s="471"/>
      <c r="D95" s="2348"/>
      <c r="F95" s="2348"/>
      <c r="G95" s="2348"/>
      <c r="H95" s="472" t="s">
        <v>4483</v>
      </c>
      <c r="L95" s="2355"/>
      <c r="M95" s="2355"/>
    </row>
    <row r="96" spans="1:16" s="293" customFormat="1" ht="13.35" customHeight="1">
      <c r="B96" s="471" t="s">
        <v>1936</v>
      </c>
      <c r="C96" s="295" t="s">
        <v>1501</v>
      </c>
      <c r="K96" s="2344" t="s">
        <v>4372</v>
      </c>
      <c r="N96" s="320"/>
      <c r="P96" s="3543" t="s">
        <v>6996</v>
      </c>
    </row>
    <row r="97" spans="1:16" s="293" customFormat="1" ht="4.5" customHeight="1">
      <c r="A97" s="471"/>
      <c r="B97" s="471"/>
      <c r="C97" s="295"/>
      <c r="D97" s="2348"/>
      <c r="E97" s="2348"/>
      <c r="F97" s="2348"/>
      <c r="G97" s="2348"/>
      <c r="I97" s="2355"/>
      <c r="J97" s="2355"/>
      <c r="K97" s="2355"/>
      <c r="L97" s="2355"/>
      <c r="M97" s="2355"/>
      <c r="N97" s="2352"/>
      <c r="P97" s="302"/>
    </row>
    <row r="98" spans="1:16" s="293" customFormat="1" ht="13.35" customHeight="1">
      <c r="A98" s="319" t="s">
        <v>287</v>
      </c>
      <c r="B98" s="1481" t="s">
        <v>1991</v>
      </c>
      <c r="D98" s="2348"/>
    </row>
    <row r="99" spans="1:16" s="293" customFormat="1" ht="1.5" customHeight="1">
      <c r="A99" s="471"/>
      <c r="B99" s="471"/>
      <c r="D99" s="2348"/>
      <c r="N99" s="2352"/>
      <c r="P99" s="302"/>
    </row>
    <row r="100" spans="1:16" s="293" customFormat="1" ht="13.35" customHeight="1">
      <c r="A100" s="319"/>
      <c r="B100" s="471" t="s">
        <v>1934</v>
      </c>
      <c r="C100" s="295" t="s">
        <v>2626</v>
      </c>
      <c r="F100" s="316" t="s">
        <v>2531</v>
      </c>
      <c r="H100" s="3544" t="s">
        <v>2886</v>
      </c>
      <c r="K100" s="2347" t="s">
        <v>3662</v>
      </c>
      <c r="P100" s="3544" t="s">
        <v>2883</v>
      </c>
    </row>
    <row r="101" spans="1:16" s="293" customFormat="1" ht="13.35" customHeight="1">
      <c r="A101" s="319"/>
      <c r="B101" s="471"/>
      <c r="C101" s="295"/>
      <c r="F101" s="2348" t="s">
        <v>3666</v>
      </c>
      <c r="H101" s="3545" t="s">
        <v>2886</v>
      </c>
      <c r="K101" s="2347" t="s">
        <v>4226</v>
      </c>
      <c r="P101" s="3545" t="s">
        <v>2886</v>
      </c>
    </row>
    <row r="102" spans="1:16" s="293" customFormat="1" ht="1.5" customHeight="1">
      <c r="A102" s="471"/>
      <c r="B102" s="471"/>
      <c r="C102" s="1481"/>
      <c r="F102" s="2348"/>
      <c r="H102" s="2348"/>
      <c r="J102" s="2355"/>
      <c r="K102" s="2355"/>
      <c r="L102" s="2355"/>
      <c r="M102" s="2355"/>
      <c r="N102" s="2355"/>
      <c r="P102" s="302"/>
    </row>
    <row r="103" spans="1:16" s="293" customFormat="1" ht="13.35" customHeight="1">
      <c r="A103" s="319"/>
      <c r="B103" s="471" t="s">
        <v>1936</v>
      </c>
      <c r="C103" s="295" t="s">
        <v>2627</v>
      </c>
      <c r="F103" s="2347" t="s">
        <v>2601</v>
      </c>
      <c r="H103" s="3532" t="s">
        <v>2886</v>
      </c>
      <c r="J103" s="2355"/>
      <c r="K103" s="466" t="s">
        <v>2628</v>
      </c>
      <c r="L103" s="2355"/>
    </row>
    <row r="104" spans="1:16" s="293" customFormat="1" ht="4.5" customHeight="1">
      <c r="A104" s="471"/>
      <c r="B104" s="471"/>
      <c r="C104" s="295"/>
      <c r="D104" s="2348"/>
      <c r="E104" s="2348"/>
      <c r="F104" s="2348"/>
      <c r="G104" s="2348"/>
      <c r="I104" s="2355"/>
      <c r="J104" s="2355"/>
      <c r="K104" s="2355"/>
      <c r="L104" s="2355"/>
      <c r="M104" s="2355"/>
      <c r="N104" s="2352"/>
      <c r="P104" s="302"/>
    </row>
    <row r="105" spans="1:16" s="293" customFormat="1" ht="13.35" customHeight="1">
      <c r="A105" s="319" t="s">
        <v>418</v>
      </c>
      <c r="B105" s="1481" t="s">
        <v>2690</v>
      </c>
      <c r="D105" s="2348"/>
      <c r="H105" s="3540" t="s">
        <v>2530</v>
      </c>
      <c r="I105" s="3542"/>
      <c r="J105" s="2355"/>
    </row>
    <row r="106" spans="1:16" s="293" customFormat="1" ht="4.5" customHeight="1">
      <c r="A106" s="471"/>
      <c r="D106" s="309"/>
      <c r="E106" s="2352"/>
      <c r="I106" s="309"/>
      <c r="J106" s="301"/>
      <c r="K106" s="2352"/>
      <c r="P106" s="302"/>
    </row>
    <row r="107" spans="1:16" s="293" customFormat="1" ht="13.35" customHeight="1">
      <c r="A107" s="319" t="s">
        <v>356</v>
      </c>
      <c r="B107" s="314" t="s">
        <v>1163</v>
      </c>
      <c r="D107" s="2352"/>
      <c r="E107" s="2352"/>
      <c r="F107" s="2352"/>
      <c r="G107" s="2352"/>
      <c r="H107" s="2352"/>
      <c r="I107" s="309"/>
      <c r="J107" s="301"/>
      <c r="K107" s="2352"/>
      <c r="P107" s="302"/>
    </row>
    <row r="108" spans="1:16" s="293" customFormat="1" ht="3" customHeight="1">
      <c r="A108" s="319"/>
      <c r="B108" s="471"/>
      <c r="C108" s="314"/>
      <c r="D108" s="2352"/>
      <c r="E108" s="2352"/>
      <c r="F108" s="2352"/>
      <c r="G108" s="2352"/>
      <c r="H108" s="2352"/>
      <c r="I108" s="309"/>
      <c r="J108" s="301"/>
      <c r="K108" s="2352"/>
    </row>
    <row r="109" spans="1:16" s="293" customFormat="1" ht="13.35" customHeight="1">
      <c r="A109" s="471"/>
      <c r="B109" s="471"/>
      <c r="C109" s="301" t="s">
        <v>535</v>
      </c>
      <c r="D109" s="2352"/>
      <c r="E109" s="3461"/>
      <c r="F109" s="3462"/>
      <c r="G109" s="3462"/>
      <c r="H109" s="3462"/>
      <c r="I109" s="3462"/>
      <c r="J109" s="3462"/>
      <c r="K109" s="3462"/>
      <c r="L109" s="3463"/>
      <c r="M109" s="2421" t="s">
        <v>536</v>
      </c>
      <c r="N109" s="2421"/>
      <c r="O109" s="3546"/>
      <c r="P109" s="3547"/>
    </row>
    <row r="110" spans="1:16" s="293" customFormat="1" ht="13.35" customHeight="1">
      <c r="C110" s="2344" t="s">
        <v>998</v>
      </c>
      <c r="D110" s="305"/>
      <c r="E110" s="3465"/>
      <c r="F110" s="3466"/>
      <c r="G110" s="3466"/>
      <c r="H110" s="3468"/>
      <c r="I110" s="3466"/>
      <c r="J110" s="3468"/>
      <c r="K110" s="3466"/>
      <c r="L110" s="3470"/>
      <c r="M110" s="2421" t="s">
        <v>787</v>
      </c>
      <c r="N110" s="2421"/>
      <c r="O110" s="3548"/>
      <c r="P110" s="3549"/>
    </row>
    <row r="111" spans="1:16" s="293" customFormat="1" ht="13.35" customHeight="1">
      <c r="C111" s="2344" t="s">
        <v>599</v>
      </c>
      <c r="E111" s="3486"/>
      <c r="F111" s="3550"/>
      <c r="G111" s="3551"/>
      <c r="H111" s="2361" t="s">
        <v>1753</v>
      </c>
      <c r="I111" s="3552"/>
      <c r="J111" s="321" t="s">
        <v>2171</v>
      </c>
      <c r="K111" s="3553"/>
      <c r="L111" s="3554"/>
      <c r="M111" s="270" t="s">
        <v>3486</v>
      </c>
      <c r="N111" s="270"/>
      <c r="O111" s="3555"/>
      <c r="P111" s="3556"/>
    </row>
    <row r="112" spans="1:16" s="293" customFormat="1" ht="13.35" customHeight="1">
      <c r="C112" s="293" t="s">
        <v>2142</v>
      </c>
      <c r="E112" s="3486"/>
      <c r="F112" s="3550"/>
      <c r="G112" s="3551"/>
      <c r="H112" s="928" t="s">
        <v>1931</v>
      </c>
      <c r="I112" s="3557"/>
      <c r="J112" s="3558"/>
      <c r="K112" s="3559"/>
      <c r="L112" s="2363" t="s">
        <v>1935</v>
      </c>
      <c r="M112" s="3461"/>
      <c r="N112" s="3560"/>
      <c r="O112" s="3561"/>
      <c r="P112" s="3562"/>
    </row>
    <row r="113" spans="1:16" s="293" customFormat="1" ht="13.35" customHeight="1">
      <c r="C113" s="2344" t="s">
        <v>2141</v>
      </c>
      <c r="E113" s="3481"/>
      <c r="F113" s="3563"/>
      <c r="G113" s="3482"/>
      <c r="H113" s="928" t="s">
        <v>1755</v>
      </c>
      <c r="I113" s="3481"/>
      <c r="J113" s="3564"/>
      <c r="K113" s="2361" t="s">
        <v>2623</v>
      </c>
      <c r="L113" s="3452"/>
      <c r="M113" s="3565"/>
      <c r="N113" s="3565"/>
      <c r="O113" s="3565"/>
      <c r="P113" s="3566"/>
    </row>
    <row r="114" spans="1:16" s="293" customFormat="1" ht="3" customHeight="1">
      <c r="A114" s="471"/>
      <c r="B114" s="471"/>
      <c r="G114" s="309"/>
      <c r="H114" s="2355"/>
      <c r="I114" s="2355"/>
      <c r="M114" s="302"/>
    </row>
    <row r="115" spans="1:16" s="293" customFormat="1" ht="13.35" customHeight="1">
      <c r="A115" s="319" t="s">
        <v>357</v>
      </c>
      <c r="B115" s="1481" t="s">
        <v>1629</v>
      </c>
      <c r="D115" s="309"/>
      <c r="E115" s="309"/>
      <c r="F115" s="2355"/>
      <c r="G115" s="2355"/>
      <c r="H115" s="2355"/>
      <c r="N115" s="2352"/>
      <c r="O115" s="2352"/>
      <c r="P115" s="302"/>
    </row>
    <row r="116" spans="1:16" s="293" customFormat="1" ht="1.5" customHeight="1">
      <c r="A116" s="319"/>
      <c r="B116" s="1481"/>
      <c r="D116" s="309"/>
      <c r="E116" s="309"/>
      <c r="F116" s="2355"/>
      <c r="G116" s="2355"/>
      <c r="H116" s="2355"/>
      <c r="I116" s="2355"/>
      <c r="J116" s="309"/>
      <c r="K116" s="2355"/>
      <c r="L116" s="2355"/>
      <c r="N116" s="2352"/>
      <c r="O116" s="2352"/>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1" t="s">
        <v>1384</v>
      </c>
      <c r="D119" s="2348"/>
      <c r="E119" s="2348"/>
      <c r="F119" s="2355"/>
      <c r="G119" s="2355"/>
      <c r="H119" s="3567">
        <v>3</v>
      </c>
      <c r="N119" s="2352"/>
      <c r="O119" s="2352"/>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1" t="s">
        <v>408</v>
      </c>
      <c r="D121" s="2348"/>
      <c r="E121" s="2348"/>
      <c r="F121" s="2355"/>
      <c r="G121" s="2355"/>
      <c r="H121" s="3568">
        <v>2175000</v>
      </c>
      <c r="J121" s="309"/>
      <c r="K121" s="2347"/>
      <c r="N121" s="2352"/>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730</v>
      </c>
      <c r="C123" s="1481" t="s">
        <v>297</v>
      </c>
      <c r="D123" s="2348"/>
      <c r="E123" s="2348"/>
      <c r="F123" s="2355"/>
      <c r="G123" s="2355"/>
      <c r="H123" s="2355"/>
      <c r="I123" s="2355"/>
      <c r="J123" s="309"/>
      <c r="K123" s="2355"/>
      <c r="L123" s="2355"/>
      <c r="N123" s="2352"/>
      <c r="O123" s="2352"/>
    </row>
    <row r="124" spans="1:16" s="293" customFormat="1" ht="13.35" customHeight="1">
      <c r="B124" s="471"/>
      <c r="C124" s="2348" t="s">
        <v>2083</v>
      </c>
      <c r="D124" s="2348"/>
      <c r="F124" s="2348" t="s">
        <v>1111</v>
      </c>
      <c r="G124" s="2355"/>
      <c r="H124" s="2355"/>
      <c r="I124" s="2355" t="s">
        <v>1267</v>
      </c>
      <c r="J124" s="2348" t="s">
        <v>2083</v>
      </c>
      <c r="K124" s="2348"/>
      <c r="M124" s="2348" t="s">
        <v>1111</v>
      </c>
      <c r="N124" s="2355"/>
      <c r="O124" s="2355"/>
      <c r="P124" s="2355" t="s">
        <v>1267</v>
      </c>
    </row>
    <row r="125" spans="1:16" s="293" customFormat="1" ht="13.35" customHeight="1">
      <c r="A125" s="471"/>
      <c r="B125" s="471"/>
      <c r="C125" s="3569" t="s">
        <v>7072</v>
      </c>
      <c r="D125" s="3570"/>
      <c r="E125" s="3571"/>
      <c r="F125" s="3572" t="s">
        <v>7073</v>
      </c>
      <c r="G125" s="3570"/>
      <c r="H125" s="3571"/>
      <c r="I125" s="3573" t="s">
        <v>7074</v>
      </c>
      <c r="J125" s="3574" t="s">
        <v>7075</v>
      </c>
      <c r="K125" s="3575"/>
      <c r="L125" s="3576"/>
      <c r="M125" s="3577" t="s">
        <v>7056</v>
      </c>
      <c r="N125" s="3575"/>
      <c r="O125" s="3576"/>
      <c r="P125" s="3578" t="s">
        <v>7074</v>
      </c>
    </row>
    <row r="126" spans="1:16" s="293" customFormat="1" ht="13.35" customHeight="1">
      <c r="A126" s="471"/>
      <c r="B126" s="471"/>
      <c r="C126" s="3574" t="s">
        <v>6985</v>
      </c>
      <c r="D126" s="3575"/>
      <c r="E126" s="3576"/>
      <c r="F126" s="3577" t="s">
        <v>7073</v>
      </c>
      <c r="G126" s="3575"/>
      <c r="H126" s="3576"/>
      <c r="I126" s="3578" t="s">
        <v>7076</v>
      </c>
      <c r="J126" s="3574" t="s">
        <v>7062</v>
      </c>
      <c r="K126" s="3575"/>
      <c r="L126" s="3576"/>
      <c r="M126" s="3577" t="s">
        <v>7056</v>
      </c>
      <c r="N126" s="3575"/>
      <c r="O126" s="3576"/>
      <c r="P126" s="3578" t="s">
        <v>7077</v>
      </c>
    </row>
    <row r="127" spans="1:16" s="293" customFormat="1" ht="13.35" customHeight="1">
      <c r="A127" s="471"/>
      <c r="B127" s="471"/>
      <c r="C127" s="3574" t="s">
        <v>7075</v>
      </c>
      <c r="D127" s="3575"/>
      <c r="E127" s="3576"/>
      <c r="F127" s="3577" t="s">
        <v>7073</v>
      </c>
      <c r="G127" s="3575"/>
      <c r="H127" s="3576"/>
      <c r="I127" s="3578" t="s">
        <v>7074</v>
      </c>
      <c r="J127" s="3569" t="s">
        <v>7072</v>
      </c>
      <c r="K127" s="3570"/>
      <c r="L127" s="3571"/>
      <c r="M127" s="3577" t="s">
        <v>7078</v>
      </c>
      <c r="N127" s="3575"/>
      <c r="O127" s="3576"/>
      <c r="P127" s="3573" t="s">
        <v>7074</v>
      </c>
    </row>
    <row r="128" spans="1:16" s="293" customFormat="1" ht="13.35" customHeight="1">
      <c r="A128" s="471"/>
      <c r="B128" s="471"/>
      <c r="C128" s="3574" t="s">
        <v>7079</v>
      </c>
      <c r="D128" s="3575"/>
      <c r="E128" s="3576"/>
      <c r="F128" s="3577" t="s">
        <v>7073</v>
      </c>
      <c r="G128" s="3575"/>
      <c r="H128" s="3576"/>
      <c r="I128" s="3578" t="s">
        <v>7077</v>
      </c>
      <c r="J128" s="3574" t="s">
        <v>6985</v>
      </c>
      <c r="K128" s="3575"/>
      <c r="L128" s="3576"/>
      <c r="M128" s="3577" t="s">
        <v>7078</v>
      </c>
      <c r="N128" s="3575"/>
      <c r="O128" s="3576"/>
      <c r="P128" s="3578" t="s">
        <v>7076</v>
      </c>
    </row>
    <row r="129" spans="1:16" s="293" customFormat="1" ht="13.35" customHeight="1">
      <c r="A129" s="471"/>
      <c r="B129" s="471"/>
      <c r="C129" s="3569" t="s">
        <v>7072</v>
      </c>
      <c r="D129" s="3570"/>
      <c r="E129" s="3571"/>
      <c r="F129" s="3577" t="s">
        <v>7056</v>
      </c>
      <c r="G129" s="3575"/>
      <c r="H129" s="3576"/>
      <c r="I129" s="3573" t="s">
        <v>7074</v>
      </c>
      <c r="J129" s="3574" t="s">
        <v>7075</v>
      </c>
      <c r="K129" s="3575"/>
      <c r="L129" s="3576"/>
      <c r="M129" s="3577" t="s">
        <v>7078</v>
      </c>
      <c r="N129" s="3575"/>
      <c r="O129" s="3576"/>
      <c r="P129" s="3578" t="s">
        <v>7074</v>
      </c>
    </row>
    <row r="130" spans="1:16" s="293" customFormat="1" ht="13.35" customHeight="1">
      <c r="A130" s="471"/>
      <c r="B130" s="471"/>
      <c r="C130" s="3574" t="s">
        <v>6985</v>
      </c>
      <c r="D130" s="3575"/>
      <c r="E130" s="3576"/>
      <c r="F130" s="3579" t="s">
        <v>7056</v>
      </c>
      <c r="G130" s="3580"/>
      <c r="H130" s="3581"/>
      <c r="I130" s="3578" t="s">
        <v>7076</v>
      </c>
      <c r="J130" s="3582" t="s">
        <v>7080</v>
      </c>
      <c r="K130" s="3583"/>
      <c r="L130" s="3583"/>
      <c r="M130" s="3577" t="s">
        <v>7078</v>
      </c>
      <c r="N130" s="3575"/>
      <c r="O130" s="3576"/>
      <c r="P130" s="3578" t="s">
        <v>7077</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22" t="s">
        <v>1799</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8" t="s">
        <v>2083</v>
      </c>
      <c r="D134" s="2348"/>
      <c r="F134" s="2348" t="s">
        <v>1111</v>
      </c>
      <c r="G134" s="2355"/>
      <c r="H134" s="2355"/>
      <c r="I134" s="2355"/>
      <c r="J134" s="2348" t="s">
        <v>2083</v>
      </c>
      <c r="K134" s="2348"/>
      <c r="M134" s="2348" t="s">
        <v>1111</v>
      </c>
      <c r="N134" s="2355"/>
      <c r="O134" s="2355"/>
      <c r="P134" s="2355"/>
    </row>
    <row r="135" spans="1:16" s="293" customFormat="1" ht="13.35" customHeight="1">
      <c r="A135" s="471"/>
      <c r="B135" s="471"/>
      <c r="C135" s="3584">
        <v>1</v>
      </c>
      <c r="D135" s="3585"/>
      <c r="E135" s="3585"/>
      <c r="F135" s="3586"/>
      <c r="G135" s="3587"/>
      <c r="H135" s="3587"/>
      <c r="I135" s="3588"/>
      <c r="J135" s="3584">
        <v>7</v>
      </c>
      <c r="K135" s="3585"/>
      <c r="L135" s="3585"/>
      <c r="M135" s="3586"/>
      <c r="N135" s="3587"/>
      <c r="O135" s="3587"/>
      <c r="P135" s="3588"/>
    </row>
    <row r="136" spans="1:16" s="293" customFormat="1" ht="13.35" customHeight="1">
      <c r="A136" s="471"/>
      <c r="B136" s="471"/>
      <c r="C136" s="3589">
        <v>2</v>
      </c>
      <c r="D136" s="3590"/>
      <c r="E136" s="3590"/>
      <c r="F136" s="3577"/>
      <c r="G136" s="3575"/>
      <c r="H136" s="3575"/>
      <c r="I136" s="3591"/>
      <c r="J136" s="3589">
        <v>8</v>
      </c>
      <c r="K136" s="3590"/>
      <c r="L136" s="3590"/>
      <c r="M136" s="3577"/>
      <c r="N136" s="3575"/>
      <c r="O136" s="3575"/>
      <c r="P136" s="3591"/>
    </row>
    <row r="137" spans="1:16" s="293" customFormat="1" ht="13.35" customHeight="1">
      <c r="A137" s="471"/>
      <c r="B137" s="471"/>
      <c r="C137" s="3589">
        <v>3</v>
      </c>
      <c r="D137" s="3590"/>
      <c r="E137" s="3590"/>
      <c r="F137" s="3577"/>
      <c r="G137" s="3575"/>
      <c r="H137" s="3575"/>
      <c r="I137" s="3591"/>
      <c r="J137" s="3589">
        <v>9</v>
      </c>
      <c r="K137" s="3590"/>
      <c r="L137" s="3590"/>
      <c r="M137" s="3577"/>
      <c r="N137" s="3575"/>
      <c r="O137" s="3575"/>
      <c r="P137" s="3591"/>
    </row>
    <row r="138" spans="1:16" s="293" customFormat="1" ht="13.35" customHeight="1">
      <c r="A138" s="471"/>
      <c r="B138" s="471"/>
      <c r="C138" s="3589">
        <v>4</v>
      </c>
      <c r="D138" s="3590"/>
      <c r="E138" s="3590"/>
      <c r="F138" s="3577"/>
      <c r="G138" s="3575"/>
      <c r="H138" s="3575"/>
      <c r="I138" s="3591"/>
      <c r="J138" s="3589">
        <v>10</v>
      </c>
      <c r="K138" s="3590"/>
      <c r="L138" s="3590"/>
      <c r="M138" s="3577"/>
      <c r="N138" s="3575"/>
      <c r="O138" s="3575"/>
      <c r="P138" s="3591"/>
    </row>
    <row r="139" spans="1:16" s="293" customFormat="1" ht="13.35" customHeight="1">
      <c r="A139" s="471"/>
      <c r="B139" s="471"/>
      <c r="C139" s="3589">
        <v>5</v>
      </c>
      <c r="D139" s="3590"/>
      <c r="E139" s="3590"/>
      <c r="F139" s="3577"/>
      <c r="G139" s="3575"/>
      <c r="H139" s="3575"/>
      <c r="I139" s="3591"/>
      <c r="J139" s="3589">
        <v>11</v>
      </c>
      <c r="K139" s="3590"/>
      <c r="L139" s="3590"/>
      <c r="M139" s="3577"/>
      <c r="N139" s="3575"/>
      <c r="O139" s="3575"/>
      <c r="P139" s="3591"/>
    </row>
    <row r="140" spans="1:16" s="293" customFormat="1" ht="13.35" customHeight="1">
      <c r="A140" s="471"/>
      <c r="B140" s="471"/>
      <c r="C140" s="3582">
        <v>6</v>
      </c>
      <c r="D140" s="3583"/>
      <c r="E140" s="3583"/>
      <c r="F140" s="3579"/>
      <c r="G140" s="3580"/>
      <c r="H140" s="3580"/>
      <c r="I140" s="3592"/>
      <c r="J140" s="3582">
        <v>12</v>
      </c>
      <c r="K140" s="3583"/>
      <c r="L140" s="3583"/>
      <c r="M140" s="3579"/>
      <c r="N140" s="3580"/>
      <c r="O140" s="3580"/>
      <c r="P140" s="3592"/>
    </row>
    <row r="141" spans="1:16" s="293" customFormat="1" ht="3" customHeight="1" thickBot="1">
      <c r="A141" s="471"/>
      <c r="B141" s="471"/>
      <c r="C141" s="2348"/>
      <c r="D141" s="2348"/>
      <c r="E141" s="2348"/>
      <c r="F141" s="2355"/>
      <c r="G141" s="2355"/>
      <c r="H141" s="2355"/>
      <c r="I141" s="2355"/>
      <c r="J141" s="309"/>
      <c r="K141" s="2355"/>
      <c r="L141" s="2355"/>
      <c r="N141" s="2352"/>
      <c r="O141" s="2352"/>
      <c r="P141" s="302"/>
    </row>
    <row r="142" spans="1:16" s="293" customFormat="1" ht="14.4" customHeight="1" thickBot="1">
      <c r="A142" s="295" t="s">
        <v>358</v>
      </c>
      <c r="B142" s="303" t="s">
        <v>4393</v>
      </c>
      <c r="D142" s="303"/>
      <c r="E142" s="303"/>
      <c r="F142" s="303"/>
      <c r="I142" s="3593" t="s">
        <v>2883</v>
      </c>
      <c r="M142" s="2355"/>
      <c r="N142" s="2352"/>
      <c r="O142" s="2352"/>
      <c r="P142" s="302"/>
    </row>
    <row r="143" spans="1:16" s="293" customFormat="1" ht="1.5" customHeight="1">
      <c r="A143" s="319"/>
      <c r="B143" s="471"/>
      <c r="C143" s="1481"/>
      <c r="D143" s="1481"/>
      <c r="E143" s="1481"/>
      <c r="F143" s="1481"/>
      <c r="G143" s="2355"/>
      <c r="M143" s="2355"/>
      <c r="N143" s="2352"/>
      <c r="O143" s="2352"/>
    </row>
    <row r="144" spans="1:16" s="293" customFormat="1" ht="13.35" customHeight="1">
      <c r="A144" s="471"/>
      <c r="B144" s="471" t="s">
        <v>1934</v>
      </c>
      <c r="C144" s="298" t="s">
        <v>1670</v>
      </c>
      <c r="I144" s="3544" t="s">
        <v>2883</v>
      </c>
      <c r="M144" s="2355"/>
      <c r="N144" s="2352"/>
      <c r="O144" s="2352"/>
      <c r="P144" s="302"/>
    </row>
    <row r="145" spans="1:16" s="293" customFormat="1" ht="13.35" customHeight="1">
      <c r="A145" s="471"/>
      <c r="B145" s="471"/>
      <c r="C145" s="2348" t="s">
        <v>2355</v>
      </c>
      <c r="D145" s="2348"/>
      <c r="E145" s="2348"/>
      <c r="F145" s="2355"/>
      <c r="I145" s="3594">
        <v>1998</v>
      </c>
      <c r="N145" s="2352"/>
      <c r="O145" s="2352"/>
      <c r="P145" s="302"/>
    </row>
    <row r="146" spans="1:16" s="293" customFormat="1" ht="13.35" customHeight="1">
      <c r="A146" s="471"/>
      <c r="B146" s="471"/>
      <c r="C146" s="324" t="s">
        <v>1669</v>
      </c>
      <c r="D146" s="2344"/>
      <c r="I146" s="3490" t="s">
        <v>7081</v>
      </c>
      <c r="P146" s="302"/>
    </row>
    <row r="147" spans="1:16" s="293" customFormat="1" ht="13.35" customHeight="1">
      <c r="A147" s="471"/>
      <c r="B147" s="471"/>
      <c r="C147" s="2348" t="s">
        <v>2356</v>
      </c>
      <c r="D147" s="2348"/>
      <c r="E147" s="1481"/>
      <c r="F147" s="2355"/>
      <c r="I147" s="3594">
        <v>2000</v>
      </c>
      <c r="K147" s="270" t="s">
        <v>2186</v>
      </c>
      <c r="O147" s="3461" t="s">
        <v>7084</v>
      </c>
      <c r="P147" s="3463"/>
    </row>
    <row r="148" spans="1:16" s="293" customFormat="1" ht="13.35" customHeight="1">
      <c r="A148" s="471"/>
      <c r="B148" s="471"/>
      <c r="C148" s="2348" t="s">
        <v>2354</v>
      </c>
      <c r="F148" s="2355"/>
      <c r="I148" s="3595" t="s">
        <v>2883</v>
      </c>
      <c r="K148" s="270" t="s">
        <v>2187</v>
      </c>
      <c r="O148" s="3489" t="s">
        <v>7083</v>
      </c>
      <c r="P148" s="3469"/>
    </row>
    <row r="149" spans="1:16" s="293" customFormat="1" ht="13.35" customHeight="1">
      <c r="A149" s="471"/>
      <c r="B149" s="471"/>
      <c r="C149" s="2348" t="s">
        <v>2114</v>
      </c>
      <c r="D149" s="2348"/>
      <c r="E149" s="2348"/>
      <c r="F149" s="2355"/>
      <c r="I149" s="3596" t="s">
        <v>7082</v>
      </c>
      <c r="J149" s="3597"/>
      <c r="N149" s="2352"/>
      <c r="O149" s="2352"/>
      <c r="P149" s="302"/>
    </row>
    <row r="150" spans="1:16" s="293" customFormat="1" ht="1.5" customHeight="1">
      <c r="A150" s="471"/>
      <c r="B150" s="471"/>
      <c r="C150" s="2348"/>
      <c r="D150" s="2348"/>
      <c r="E150" s="2348"/>
      <c r="F150" s="2355"/>
      <c r="G150" s="2355"/>
      <c r="M150" s="2355"/>
      <c r="N150" s="2352"/>
      <c r="O150" s="2352"/>
      <c r="P150" s="302"/>
    </row>
    <row r="151" spans="1:16" s="293" customFormat="1" ht="13.35" customHeight="1">
      <c r="A151" s="471"/>
      <c r="B151" s="471" t="s">
        <v>1936</v>
      </c>
      <c r="C151" s="1520" t="s">
        <v>2620</v>
      </c>
      <c r="D151" s="2348"/>
      <c r="E151" s="316" t="s">
        <v>4461</v>
      </c>
      <c r="F151" s="316"/>
      <c r="G151" s="316"/>
      <c r="I151" s="3598"/>
      <c r="K151" s="316" t="s">
        <v>4463</v>
      </c>
      <c r="L151" s="316"/>
      <c r="M151" s="316"/>
      <c r="O151" s="3599"/>
      <c r="P151" s="302"/>
    </row>
    <row r="152" spans="1:16" s="293" customFormat="1" ht="13.35" customHeight="1">
      <c r="A152" s="471"/>
      <c r="C152" s="1481"/>
      <c r="D152" s="2348"/>
      <c r="E152" s="316" t="s">
        <v>4462</v>
      </c>
      <c r="F152" s="316"/>
      <c r="G152" s="316"/>
      <c r="I152" s="3600"/>
      <c r="K152" s="316"/>
      <c r="L152" s="316"/>
      <c r="M152" s="316"/>
      <c r="P152" s="302"/>
    </row>
    <row r="153" spans="1:16" s="293" customFormat="1" ht="1.5" customHeight="1">
      <c r="A153" s="471"/>
      <c r="B153" s="471"/>
      <c r="C153" s="2348"/>
      <c r="D153" s="2348"/>
      <c r="E153" s="2348"/>
      <c r="F153" s="2355"/>
      <c r="N153" s="2352"/>
      <c r="O153" s="2352"/>
      <c r="P153" s="302"/>
    </row>
    <row r="154" spans="1:16" s="293" customFormat="1" ht="13.35" customHeight="1">
      <c r="A154" s="471"/>
      <c r="B154" s="471" t="s">
        <v>730</v>
      </c>
      <c r="C154" s="1481" t="s">
        <v>4460</v>
      </c>
      <c r="D154" s="2348"/>
      <c r="E154" s="2348"/>
      <c r="F154" s="2355"/>
      <c r="I154" s="3567"/>
      <c r="N154" s="2352"/>
      <c r="O154" s="2352"/>
      <c r="P154" s="302"/>
    </row>
    <row r="155" spans="1:16" s="293" customFormat="1" ht="3" customHeight="1">
      <c r="A155" s="471"/>
      <c r="B155" s="471"/>
      <c r="C155" s="2348"/>
      <c r="D155" s="2348"/>
      <c r="E155" s="2348"/>
      <c r="F155" s="2355"/>
      <c r="G155" s="2355"/>
      <c r="H155" s="2355"/>
      <c r="I155" s="2355"/>
      <c r="J155" s="309"/>
      <c r="K155" s="2355"/>
      <c r="L155" s="2355"/>
      <c r="N155" s="2352"/>
      <c r="O155" s="2352"/>
      <c r="P155" s="302"/>
    </row>
    <row r="156" spans="1:16" s="293" customFormat="1" ht="13.35" customHeight="1">
      <c r="A156" s="319" t="s">
        <v>1682</v>
      </c>
      <c r="B156" s="317" t="s">
        <v>1164</v>
      </c>
      <c r="D156" s="317"/>
      <c r="E156" s="317"/>
      <c r="F156" s="317"/>
      <c r="G156" s="2355"/>
      <c r="H156" s="2355"/>
      <c r="I156" s="2355"/>
      <c r="J156" s="309"/>
      <c r="K156" s="2355"/>
      <c r="L156" s="2355"/>
      <c r="N156" s="2352"/>
      <c r="O156" s="2352"/>
      <c r="P156" s="302"/>
    </row>
    <row r="157" spans="1:16" s="293" customFormat="1" ht="2.1" customHeight="1">
      <c r="A157" s="319"/>
      <c r="B157" s="471"/>
      <c r="C157" s="1481"/>
      <c r="D157" s="1481"/>
      <c r="E157" s="1481"/>
      <c r="F157" s="1481"/>
      <c r="G157" s="2355"/>
      <c r="H157" s="2355"/>
      <c r="I157" s="2355"/>
      <c r="J157" s="309"/>
      <c r="K157" s="2355"/>
      <c r="L157" s="2355"/>
      <c r="N157" s="2352"/>
      <c r="O157" s="2352"/>
    </row>
    <row r="158" spans="1:16" s="293" customFormat="1" ht="13.35" customHeight="1">
      <c r="A158" s="471"/>
      <c r="B158" s="471" t="s">
        <v>1934</v>
      </c>
      <c r="C158" s="308" t="s">
        <v>1774</v>
      </c>
      <c r="F158" s="2355"/>
      <c r="G158" s="2355"/>
      <c r="H158" s="2355"/>
      <c r="I158" s="2355"/>
      <c r="J158" s="309"/>
      <c r="K158" s="2355"/>
      <c r="L158" s="2355"/>
      <c r="N158" s="2352"/>
      <c r="O158" s="2352"/>
      <c r="P158" s="302"/>
    </row>
    <row r="159" spans="1:16" s="293" customFormat="1" ht="12.6" customHeight="1">
      <c r="A159" s="471"/>
      <c r="B159" s="471"/>
      <c r="C159" s="316" t="s">
        <v>1494</v>
      </c>
      <c r="D159" s="309"/>
      <c r="E159" s="309"/>
      <c r="F159" s="2355"/>
      <c r="G159" s="2355"/>
      <c r="H159" s="2355"/>
      <c r="I159" s="3601" t="s">
        <v>2886</v>
      </c>
      <c r="N159" s="2352"/>
      <c r="O159" s="2352"/>
      <c r="P159" s="302"/>
    </row>
    <row r="160" spans="1:16" s="293" customFormat="1" ht="12.6" customHeight="1">
      <c r="A160" s="471"/>
      <c r="B160" s="471"/>
      <c r="C160" s="2420" t="s">
        <v>4521</v>
      </c>
      <c r="D160" s="2420"/>
      <c r="E160" s="2420"/>
      <c r="F160" s="2420"/>
      <c r="G160" s="293" t="s">
        <v>4270</v>
      </c>
      <c r="I160" s="3602"/>
      <c r="K160" s="2344" t="s">
        <v>1750</v>
      </c>
      <c r="P160" s="1416">
        <f>IF('Part VI-Revenues &amp; Expenses'!$P$65=0,0,I160/'Part VI-Revenues &amp; Expenses'!$P$65)</f>
        <v>0</v>
      </c>
    </row>
    <row r="161" spans="1:16" s="293" customFormat="1" ht="12.6" customHeight="1">
      <c r="A161" s="471"/>
      <c r="B161" s="471"/>
      <c r="C161" s="2420"/>
      <c r="D161" s="2420"/>
      <c r="E161" s="2420"/>
      <c r="F161" s="2420"/>
      <c r="G161" s="293" t="s">
        <v>4269</v>
      </c>
      <c r="I161" s="3602"/>
      <c r="K161" s="2344" t="s">
        <v>1750</v>
      </c>
      <c r="O161" s="2353"/>
      <c r="P161" s="1417">
        <f>IF('Part VI-Revenues &amp; Expenses'!$P$65=0,0,I161/'Part VI-Revenues &amp; Expenses'!$P$65)</f>
        <v>0</v>
      </c>
    </row>
    <row r="162" spans="1:16" s="293" customFormat="1" ht="12" customHeight="1">
      <c r="A162" s="471"/>
      <c r="B162" s="471"/>
      <c r="C162" s="2344" t="s">
        <v>4271</v>
      </c>
      <c r="I162" s="3535"/>
      <c r="K162" s="2344" t="s">
        <v>1750</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1751</v>
      </c>
      <c r="D164" s="3461"/>
      <c r="E164" s="3462"/>
      <c r="F164" s="3462"/>
      <c r="G164" s="3462"/>
      <c r="H164" s="3463"/>
      <c r="I164" s="2344" t="s">
        <v>4224</v>
      </c>
      <c r="N164" s="3478"/>
      <c r="O164" s="3603"/>
      <c r="P164" s="3476"/>
    </row>
    <row r="165" spans="1:16" s="293" customFormat="1" ht="12.6" customHeight="1">
      <c r="A165" s="471"/>
      <c r="B165" s="471"/>
      <c r="C165" s="2344" t="s">
        <v>4225</v>
      </c>
      <c r="D165" s="3486"/>
      <c r="E165" s="3487"/>
      <c r="F165" s="3466"/>
      <c r="G165" s="3487"/>
      <c r="H165" s="3488"/>
      <c r="I165" s="2351" t="s">
        <v>1752</v>
      </c>
      <c r="J165" s="3461"/>
      <c r="K165" s="3462"/>
      <c r="L165" s="3463"/>
      <c r="M165" s="1403" t="s">
        <v>1931</v>
      </c>
      <c r="N165" s="3486"/>
      <c r="O165" s="3487"/>
      <c r="P165" s="3488"/>
    </row>
    <row r="166" spans="1:16" s="293" customFormat="1" ht="12.6" customHeight="1">
      <c r="A166" s="471"/>
      <c r="B166" s="471"/>
      <c r="C166" s="2344" t="s">
        <v>599</v>
      </c>
      <c r="D166" s="3486"/>
      <c r="E166" s="3488"/>
      <c r="F166" s="1401" t="s">
        <v>2171</v>
      </c>
      <c r="G166" s="3604"/>
      <c r="H166" s="3605"/>
      <c r="I166" s="325" t="s">
        <v>1755</v>
      </c>
      <c r="J166" s="3606"/>
      <c r="K166" s="3607"/>
      <c r="L166" s="3608"/>
      <c r="M166" s="1402" t="s">
        <v>1930</v>
      </c>
      <c r="N166" s="3606"/>
      <c r="O166" s="3607"/>
      <c r="P166" s="3608"/>
    </row>
    <row r="167" spans="1:16" s="293" customFormat="1" ht="12.6" customHeight="1">
      <c r="A167" s="471"/>
      <c r="B167" s="471"/>
      <c r="C167" s="293" t="s">
        <v>2623</v>
      </c>
      <c r="D167" s="3479"/>
      <c r="E167" s="3467"/>
      <c r="F167" s="3467"/>
      <c r="G167" s="3467"/>
      <c r="H167" s="3480"/>
      <c r="I167" s="325" t="s">
        <v>1754</v>
      </c>
      <c r="J167" s="3609"/>
      <c r="K167" s="3565"/>
      <c r="L167" s="3565"/>
      <c r="M167" s="3565"/>
      <c r="N167" s="3565"/>
      <c r="O167" s="3565"/>
      <c r="P167" s="3566"/>
    </row>
    <row r="168" spans="1:16" s="293" customFormat="1" ht="12" customHeight="1">
      <c r="A168" s="471"/>
      <c r="B168" s="471"/>
      <c r="C168" s="293" t="s">
        <v>4272</v>
      </c>
      <c r="E168" s="326"/>
      <c r="F168" s="326"/>
      <c r="G168" s="326"/>
      <c r="H168" s="2355"/>
      <c r="I168" s="3599"/>
      <c r="J168" s="2431" t="s">
        <v>742</v>
      </c>
      <c r="K168" s="2432"/>
      <c r="L168" s="3567"/>
      <c r="M168" s="326"/>
      <c r="N168" s="2355"/>
      <c r="O168" s="326"/>
      <c r="P168" s="326"/>
    </row>
    <row r="169" spans="1:16" s="293" customFormat="1" ht="3" customHeight="1">
      <c r="A169" s="471"/>
      <c r="B169" s="471"/>
    </row>
    <row r="170" spans="1:16" s="293" customFormat="1" ht="12.6" customHeight="1">
      <c r="A170" s="471"/>
      <c r="B170" s="471" t="s">
        <v>1936</v>
      </c>
      <c r="C170" s="2346" t="s">
        <v>2621</v>
      </c>
      <c r="D170" s="2346"/>
      <c r="E170" s="2346"/>
      <c r="F170" s="2346"/>
      <c r="G170" s="2346"/>
      <c r="I170" s="3610" t="s">
        <v>2883</v>
      </c>
      <c r="J170" s="2424" t="s">
        <v>742</v>
      </c>
      <c r="K170" s="2425"/>
      <c r="L170" s="3610">
        <v>2021</v>
      </c>
      <c r="M170" s="2426" t="s">
        <v>2265</v>
      </c>
      <c r="N170" s="2427"/>
      <c r="O170" s="2428"/>
      <c r="P170" s="3611">
        <v>5</v>
      </c>
    </row>
    <row r="171" spans="1:16" s="293" customFormat="1" ht="12.6" customHeight="1">
      <c r="A171" s="471"/>
      <c r="B171" s="471"/>
      <c r="C171" s="2346" t="s">
        <v>2622</v>
      </c>
      <c r="D171" s="2346"/>
      <c r="E171" s="2346"/>
      <c r="F171" s="2346"/>
      <c r="G171" s="2346"/>
      <c r="I171" s="3545" t="s">
        <v>2883</v>
      </c>
      <c r="J171" s="2424" t="s">
        <v>742</v>
      </c>
      <c r="K171" s="2425"/>
      <c r="L171" s="3545">
        <v>2037</v>
      </c>
      <c r="M171" s="2426" t="s">
        <v>2265</v>
      </c>
      <c r="N171" s="2427"/>
      <c r="O171" s="2428"/>
      <c r="P171" s="3612">
        <v>5</v>
      </c>
    </row>
    <row r="172" spans="1:16" s="293" customFormat="1" ht="1.5" customHeight="1">
      <c r="A172" s="471"/>
      <c r="B172" s="471"/>
      <c r="C172" s="2346"/>
      <c r="D172" s="2346"/>
      <c r="E172" s="295"/>
      <c r="F172" s="2346"/>
      <c r="G172" s="2346"/>
      <c r="J172" s="2352"/>
      <c r="K172" s="368"/>
      <c r="M172" s="2352"/>
      <c r="O172" s="2355"/>
      <c r="P172" s="302"/>
    </row>
    <row r="173" spans="1:16" s="293" customFormat="1" ht="12.6" customHeight="1">
      <c r="A173" s="471"/>
      <c r="B173" s="471" t="s">
        <v>730</v>
      </c>
      <c r="C173" s="2346" t="s">
        <v>1712</v>
      </c>
      <c r="D173" s="2346"/>
      <c r="E173" s="2346"/>
      <c r="F173" s="2346"/>
      <c r="G173" s="2346"/>
      <c r="I173" s="3532" t="s">
        <v>2886</v>
      </c>
      <c r="L173" s="168"/>
      <c r="M173" s="168"/>
      <c r="P173" s="302"/>
    </row>
    <row r="174" spans="1:16" s="293" customFormat="1" ht="1.5" customHeight="1">
      <c r="A174" s="471"/>
      <c r="B174" s="471"/>
      <c r="C174" s="2344"/>
      <c r="E174" s="326"/>
      <c r="F174" s="326"/>
      <c r="G174" s="326"/>
      <c r="I174" s="326"/>
      <c r="J174" s="326"/>
      <c r="K174" s="2355"/>
      <c r="L174" s="326"/>
      <c r="M174" s="326"/>
      <c r="N174" s="2355"/>
      <c r="O174" s="326"/>
      <c r="P174" s="326"/>
    </row>
    <row r="175" spans="1:16" s="293" customFormat="1" ht="12.6" customHeight="1">
      <c r="A175" s="471"/>
      <c r="B175" s="471" t="s">
        <v>2063</v>
      </c>
      <c r="C175" s="2429" t="s">
        <v>1929</v>
      </c>
      <c r="D175" s="2429"/>
      <c r="E175" s="2429"/>
      <c r="F175" s="2429"/>
      <c r="G175" s="2346"/>
      <c r="I175" s="3532" t="s">
        <v>2883</v>
      </c>
      <c r="J175" s="328" t="s">
        <v>2663</v>
      </c>
      <c r="L175" s="2430" t="s">
        <v>3520</v>
      </c>
      <c r="M175" s="2430"/>
      <c r="N175" s="2346"/>
      <c r="O175" s="2346"/>
      <c r="P175" s="3533">
        <v>40</v>
      </c>
    </row>
    <row r="176" spans="1:16" s="293" customFormat="1" ht="12.6" customHeight="1">
      <c r="B176" s="471"/>
      <c r="L176" s="2419" t="s">
        <v>776</v>
      </c>
      <c r="M176" s="2419"/>
      <c r="N176" s="1481"/>
      <c r="O176" s="1481"/>
      <c r="P176" s="3535">
        <v>34</v>
      </c>
    </row>
    <row r="177" spans="1:16" s="293" customFormat="1" ht="12.6" customHeight="1">
      <c r="A177" s="471"/>
      <c r="B177" s="471"/>
      <c r="L177" s="2419" t="s">
        <v>1746</v>
      </c>
      <c r="M177" s="2419"/>
      <c r="N177" s="1481"/>
      <c r="O177" s="1481"/>
      <c r="P177" s="327">
        <f>IF(P175="","",P176/P175)</f>
        <v>0.85</v>
      </c>
    </row>
    <row r="178" spans="1:16" s="293" customFormat="1" ht="13.35" customHeight="1">
      <c r="A178" s="471"/>
      <c r="B178" s="471" t="s">
        <v>1691</v>
      </c>
      <c r="C178" s="2346" t="s">
        <v>1575</v>
      </c>
      <c r="D178" s="2348"/>
      <c r="E178" s="2348"/>
      <c r="F178" s="2348"/>
      <c r="G178" s="2348"/>
      <c r="H178" s="2355"/>
      <c r="J178" s="301"/>
      <c r="K178" s="309"/>
      <c r="M178" s="2352"/>
      <c r="O178" s="2355"/>
      <c r="P178" s="302"/>
    </row>
    <row r="179" spans="1:16" s="293" customFormat="1" ht="12.6" customHeight="1">
      <c r="A179" s="471"/>
      <c r="B179" s="471"/>
      <c r="C179" s="2352" t="s">
        <v>2154</v>
      </c>
      <c r="D179" s="303"/>
      <c r="E179" s="2352"/>
      <c r="F179" s="2352"/>
      <c r="I179" s="3601" t="s">
        <v>2886</v>
      </c>
      <c r="L179" s="2352" t="s">
        <v>1576</v>
      </c>
      <c r="M179" s="2352"/>
      <c r="N179" s="2352"/>
      <c r="P179" s="3601" t="s">
        <v>2883</v>
      </c>
    </row>
    <row r="180" spans="1:16" s="293" customFormat="1" ht="12.6" customHeight="1">
      <c r="A180" s="471"/>
      <c r="B180" s="471"/>
      <c r="C180" s="2352" t="s">
        <v>2155</v>
      </c>
      <c r="I180" s="3595" t="s">
        <v>2886</v>
      </c>
      <c r="L180" s="2352" t="s">
        <v>2743</v>
      </c>
      <c r="M180" s="2352"/>
      <c r="N180" s="2352"/>
      <c r="P180" s="3595" t="s">
        <v>2886</v>
      </c>
    </row>
    <row r="181" spans="1:16" s="293" customFormat="1" ht="12.6" customHeight="1">
      <c r="A181" s="471"/>
      <c r="C181" s="2352" t="s">
        <v>2639</v>
      </c>
      <c r="I181" s="3595" t="s">
        <v>2886</v>
      </c>
      <c r="L181" s="2352" t="s">
        <v>2610</v>
      </c>
      <c r="N181" s="3613"/>
      <c r="O181" s="3614"/>
      <c r="P181" s="3595" t="s">
        <v>2886</v>
      </c>
    </row>
    <row r="182" spans="1:16" s="293" customFormat="1" ht="12.6" customHeight="1">
      <c r="A182" s="471"/>
      <c r="B182" s="471"/>
      <c r="C182" s="2352" t="s">
        <v>1258</v>
      </c>
      <c r="D182" s="329"/>
      <c r="I182" s="3595" t="s">
        <v>2886</v>
      </c>
      <c r="K182" s="303"/>
      <c r="L182" s="2352" t="s">
        <v>3359</v>
      </c>
      <c r="M182" s="2352"/>
      <c r="N182" s="2352"/>
      <c r="P182" s="3595" t="s">
        <v>2886</v>
      </c>
    </row>
    <row r="183" spans="1:16" s="293" customFormat="1" ht="12.6" customHeight="1">
      <c r="A183" s="471"/>
      <c r="B183" s="295"/>
      <c r="C183" s="2352" t="s">
        <v>4520</v>
      </c>
      <c r="I183" s="3595" t="s">
        <v>2886</v>
      </c>
      <c r="J183" s="328" t="s">
        <v>2664</v>
      </c>
      <c r="O183" s="3615"/>
      <c r="P183" s="3616"/>
    </row>
    <row r="184" spans="1:16" s="293" customFormat="1" ht="12.6" customHeight="1">
      <c r="A184" s="471"/>
      <c r="B184" s="295"/>
      <c r="C184" s="2352" t="s">
        <v>1760</v>
      </c>
      <c r="I184" s="3595" t="s">
        <v>2886</v>
      </c>
      <c r="J184" s="328" t="s">
        <v>2664</v>
      </c>
      <c r="O184" s="3617"/>
      <c r="P184" s="3618"/>
    </row>
    <row r="185" spans="1:16" s="293" customFormat="1" ht="12.6" customHeight="1">
      <c r="A185" s="471"/>
      <c r="B185" s="471"/>
      <c r="C185" s="2352" t="s">
        <v>2797</v>
      </c>
      <c r="I185" s="3600" t="s">
        <v>2886</v>
      </c>
      <c r="J185" s="328" t="s">
        <v>2664</v>
      </c>
      <c r="O185" s="3619"/>
      <c r="P185" s="3620"/>
    </row>
    <row r="186" spans="1:16" s="293" customFormat="1" ht="1.5" customHeight="1">
      <c r="A186" s="471"/>
      <c r="B186" s="471"/>
      <c r="P186" s="301"/>
    </row>
    <row r="187" spans="1:16" s="293" customFormat="1" ht="13.35" customHeight="1">
      <c r="B187" s="471" t="s">
        <v>1692</v>
      </c>
      <c r="C187" s="298" t="s">
        <v>720</v>
      </c>
    </row>
    <row r="188" spans="1:16" s="293" customFormat="1" ht="12.6" customHeight="1">
      <c r="A188" s="471"/>
      <c r="B188" s="471"/>
      <c r="C188" s="2344" t="s">
        <v>620</v>
      </c>
      <c r="D188" s="2348"/>
      <c r="E188" s="2348"/>
      <c r="F188" s="2355"/>
      <c r="G188" s="2355"/>
      <c r="H188" s="3621">
        <v>44348</v>
      </c>
      <c r="I188" s="3622"/>
      <c r="N188" s="2352"/>
      <c r="O188" s="2352"/>
      <c r="P188" s="302"/>
    </row>
    <row r="189" spans="1:16" s="293" customFormat="1" ht="12.6" customHeight="1">
      <c r="A189" s="471"/>
      <c r="B189" s="471"/>
      <c r="C189" s="2344" t="s">
        <v>271</v>
      </c>
      <c r="D189" s="2348"/>
      <c r="E189" s="2348"/>
      <c r="F189" s="2355"/>
      <c r="G189" s="2355"/>
      <c r="H189" s="3621">
        <v>44713</v>
      </c>
      <c r="I189" s="3622"/>
      <c r="N189" s="2352"/>
      <c r="O189" s="2352"/>
      <c r="P189" s="302"/>
    </row>
    <row r="190" spans="1:16" s="293" customFormat="1" ht="12.6" customHeight="1">
      <c r="A190" s="471"/>
      <c r="B190" s="471"/>
      <c r="C190" s="2344" t="s">
        <v>2235</v>
      </c>
      <c r="D190" s="2348"/>
      <c r="E190" s="2348"/>
      <c r="F190" s="2355"/>
      <c r="G190" s="2355"/>
      <c r="H190" s="3621"/>
      <c r="I190" s="3622"/>
      <c r="N190" s="2352"/>
      <c r="O190" s="2352"/>
      <c r="P190" s="302"/>
    </row>
    <row r="191" spans="1:16" s="293" customFormat="1" ht="2.25" customHeight="1">
      <c r="B191" s="295"/>
      <c r="C191" s="2352"/>
      <c r="H191" s="2352"/>
      <c r="L191" s="311"/>
      <c r="M191" s="311"/>
      <c r="N191" s="311"/>
      <c r="O191" s="311"/>
      <c r="P191" s="299"/>
    </row>
    <row r="192" spans="1:16" ht="12" customHeight="1">
      <c r="A192" s="319" t="s">
        <v>2689</v>
      </c>
      <c r="C192" s="319" t="s">
        <v>554</v>
      </c>
      <c r="M192" s="319" t="s">
        <v>2192</v>
      </c>
      <c r="N192" s="319" t="s">
        <v>77</v>
      </c>
    </row>
    <row r="193" spans="1:44" ht="409.5" customHeight="1">
      <c r="A193" s="3623" t="s">
        <v>7085</v>
      </c>
      <c r="B193" s="3624"/>
      <c r="C193" s="3624"/>
      <c r="D193" s="3624"/>
      <c r="E193" s="3624"/>
      <c r="F193" s="3624"/>
      <c r="G193" s="3624"/>
      <c r="H193" s="3624"/>
      <c r="I193" s="3624"/>
      <c r="J193" s="3624"/>
      <c r="K193" s="3624"/>
      <c r="L193" s="3625"/>
      <c r="M193" s="3626"/>
      <c r="N193" s="3627"/>
      <c r="O193" s="3627"/>
      <c r="P193" s="3628"/>
      <c r="Q193" s="2401" t="s">
        <v>2612</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29"/>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29"/>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29"/>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29"/>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29"/>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29"/>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29"/>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29"/>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29"/>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29"/>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29"/>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29"/>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29"/>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3646</v>
      </c>
      <c r="K223" s="311"/>
      <c r="L223" s="311"/>
      <c r="M223" s="311"/>
      <c r="N223" s="311"/>
      <c r="O223" s="311"/>
      <c r="P223" s="1033"/>
      <c r="Q223" s="3629"/>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29"/>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29"/>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29"/>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29"/>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29"/>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30"/>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29"/>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29"/>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29"/>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30"/>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29"/>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29"/>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29"/>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29"/>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29"/>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29"/>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29"/>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29"/>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29"/>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29"/>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29"/>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29"/>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29"/>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31"/>
      <c r="Q247" s="3629"/>
      <c r="R247" s="1033"/>
      <c r="S247" s="3632"/>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29"/>
      <c r="R248" s="1033"/>
      <c r="S248" s="3632"/>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29"/>
      <c r="R249" s="1033"/>
      <c r="S249" s="3632"/>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29"/>
      <c r="R250" s="1033"/>
      <c r="S250" s="3632"/>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30"/>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29"/>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29"/>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31"/>
      <c r="Q255" s="3629"/>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29"/>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29"/>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29"/>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29"/>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29"/>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29"/>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29"/>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31"/>
      <c r="Q263" s="3629"/>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29"/>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29"/>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29"/>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29"/>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29"/>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29"/>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29"/>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29"/>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29"/>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29"/>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29"/>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29"/>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29"/>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29"/>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29"/>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29"/>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29"/>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29"/>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29"/>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29"/>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29"/>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29"/>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29"/>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29"/>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29"/>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29"/>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29"/>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29"/>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29"/>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29"/>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29"/>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29"/>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29"/>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29"/>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29"/>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29"/>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29"/>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29"/>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29"/>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29"/>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29"/>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31"/>
      <c r="Q305" s="3629"/>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29"/>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29"/>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29"/>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29"/>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29"/>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29"/>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29"/>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29"/>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29"/>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29"/>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29"/>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29"/>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29"/>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30"/>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29"/>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29"/>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29"/>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30"/>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29"/>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29"/>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31"/>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29"/>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29"/>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29"/>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30"/>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29"/>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31"/>
      <c r="Q334" s="3629"/>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29"/>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29"/>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29"/>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30"/>
      <c r="Q340" s="3629"/>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29"/>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29"/>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29"/>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29"/>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29"/>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29"/>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29"/>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29"/>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29"/>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29"/>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29"/>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29"/>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29"/>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29"/>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29"/>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29"/>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29"/>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31"/>
      <c r="Q358" s="3629"/>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29"/>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29"/>
      <c r="R360" s="1033"/>
      <c r="S360" s="3632"/>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29"/>
      <c r="R361" s="1033"/>
      <c r="S361" s="3632"/>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29"/>
      <c r="R362" s="1033"/>
      <c r="S362" s="3632"/>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32"/>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31"/>
      <c r="Q364" s="1031"/>
      <c r="R364" s="1033"/>
      <c r="S364" s="3632"/>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32"/>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32"/>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31"/>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31"/>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31"/>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31"/>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31"/>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31"/>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31"/>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31"/>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33"/>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34"/>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34"/>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34"/>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34"/>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34"/>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34"/>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34"/>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34"/>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34"/>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34"/>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34"/>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33"/>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33"/>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34"/>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34"/>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33"/>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34"/>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34"/>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34"/>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33"/>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34"/>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34"/>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34"/>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33"/>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34"/>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32" t="s">
        <v>92</v>
      </c>
      <c r="S620" s="3632" t="s">
        <v>94</v>
      </c>
      <c r="T620" s="3632"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32" t="s">
        <v>2493</v>
      </c>
      <c r="S621" s="3632" t="s">
        <v>609</v>
      </c>
      <c r="T621" s="3635"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34"/>
      <c r="R622" s="3632" t="s">
        <v>2494</v>
      </c>
      <c r="S622" s="3632" t="s">
        <v>314</v>
      </c>
      <c r="T622" s="3635"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32" t="s">
        <v>2495</v>
      </c>
      <c r="S623" s="3632" t="s">
        <v>2417</v>
      </c>
      <c r="T623" s="3635"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32" t="s">
        <v>2496</v>
      </c>
      <c r="S624" s="3632"/>
      <c r="T624" s="3635"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32" t="s">
        <v>2497</v>
      </c>
      <c r="S625" s="3632" t="s">
        <v>1958</v>
      </c>
      <c r="T625" s="3635"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32" t="s">
        <v>2498</v>
      </c>
      <c r="S626" s="3632" t="s">
        <v>2417</v>
      </c>
      <c r="T626" s="3635"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32" t="s">
        <v>2499</v>
      </c>
      <c r="S627" s="3632" t="s">
        <v>1299</v>
      </c>
      <c r="T627" s="3635"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32" t="s">
        <v>2500</v>
      </c>
      <c r="S628" s="3632" t="s">
        <v>1960</v>
      </c>
      <c r="T628" s="3635"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32" t="s">
        <v>2501</v>
      </c>
      <c r="S629" s="3632" t="s">
        <v>647</v>
      </c>
      <c r="T629" s="3635"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32" t="s">
        <v>2502</v>
      </c>
      <c r="S630" s="3632" t="s">
        <v>609</v>
      </c>
      <c r="T630" s="3635"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32" t="s">
        <v>2503</v>
      </c>
      <c r="S631" s="3632" t="s">
        <v>2120</v>
      </c>
      <c r="T631" s="3635"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32" t="s">
        <v>2504</v>
      </c>
      <c r="S632" s="3632" t="s">
        <v>2463</v>
      </c>
      <c r="T632" s="3635"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32" t="s">
        <v>2185</v>
      </c>
      <c r="S633" s="3632" t="s">
        <v>2460</v>
      </c>
      <c r="T633" s="3635"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32" t="s">
        <v>2505</v>
      </c>
      <c r="S634" s="3632" t="s">
        <v>2120</v>
      </c>
      <c r="T634" s="3635"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32" t="s">
        <v>2506</v>
      </c>
      <c r="S635" s="3632" t="s">
        <v>2420</v>
      </c>
      <c r="T635" s="3635"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33"/>
      <c r="R636" s="3632" t="s">
        <v>2507</v>
      </c>
      <c r="S636" s="3632" t="s">
        <v>1958</v>
      </c>
      <c r="T636" s="3635"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32" t="s">
        <v>1022</v>
      </c>
      <c r="S637" s="3632" t="s">
        <v>1426</v>
      </c>
      <c r="T637" s="3635"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34"/>
      <c r="R638" s="3632" t="s">
        <v>882</v>
      </c>
      <c r="S638" s="3632" t="s">
        <v>1080</v>
      </c>
      <c r="T638" s="3635"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32" t="s">
        <v>1023</v>
      </c>
      <c r="S639" s="3632" t="s">
        <v>609</v>
      </c>
      <c r="T639" s="3635"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32" t="s">
        <v>1024</v>
      </c>
      <c r="S640" s="3632" t="s">
        <v>1862</v>
      </c>
      <c r="T640" s="3635"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34"/>
      <c r="R641" s="3632" t="s">
        <v>1025</v>
      </c>
      <c r="S641" s="3632" t="s">
        <v>1956</v>
      </c>
      <c r="T641" s="3635"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32" t="s">
        <v>1026</v>
      </c>
      <c r="S642" s="3632" t="s">
        <v>1073</v>
      </c>
      <c r="T642" s="3635"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36"/>
      <c r="R643" s="3632" t="s">
        <v>1027</v>
      </c>
      <c r="S643" s="3632" t="s">
        <v>1487</v>
      </c>
      <c r="T643" s="3635"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32" t="s">
        <v>1028</v>
      </c>
      <c r="S644" s="3632" t="s">
        <v>2417</v>
      </c>
      <c r="T644" s="3635"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34"/>
      <c r="R645" s="3632" t="s">
        <v>1029</v>
      </c>
      <c r="S645" s="3632" t="s">
        <v>155</v>
      </c>
      <c r="T645" s="3635"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34"/>
      <c r="R646" s="3632" t="s">
        <v>1030</v>
      </c>
      <c r="S646" s="3632" t="s">
        <v>1306</v>
      </c>
      <c r="T646" s="3635"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32" t="s">
        <v>1031</v>
      </c>
      <c r="S647" s="3632" t="s">
        <v>1487</v>
      </c>
      <c r="T647" s="3635"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32" t="s">
        <v>1032</v>
      </c>
      <c r="S648" s="3632" t="s">
        <v>1087</v>
      </c>
      <c r="T648" s="3635"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32" t="s">
        <v>1033</v>
      </c>
      <c r="S649" s="3632" t="s">
        <v>1956</v>
      </c>
      <c r="T649" s="3635"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807</v>
      </c>
      <c r="S650" s="476" t="s">
        <v>851</v>
      </c>
      <c r="T650" s="3635"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32" t="s">
        <v>1034</v>
      </c>
      <c r="S651" s="3632" t="s">
        <v>2420</v>
      </c>
      <c r="T651" s="3635"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32" t="s">
        <v>1573</v>
      </c>
      <c r="S652" s="3632" t="s">
        <v>2460</v>
      </c>
      <c r="T652" s="3635"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32" t="s">
        <v>1035</v>
      </c>
      <c r="S653" s="3632"/>
      <c r="T653" s="3635"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32" t="s">
        <v>180</v>
      </c>
      <c r="S654" s="3632" t="s">
        <v>155</v>
      </c>
      <c r="T654" s="3635"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32" t="s">
        <v>1036</v>
      </c>
      <c r="S655" s="3632" t="s">
        <v>171</v>
      </c>
      <c r="T655" s="3635"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32" t="s">
        <v>2225</v>
      </c>
      <c r="S656" s="3632" t="s">
        <v>1179</v>
      </c>
      <c r="T656" s="3635"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32" t="s">
        <v>1037</v>
      </c>
      <c r="S657" s="3632" t="s">
        <v>609</v>
      </c>
      <c r="T657" s="3635"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32" t="s">
        <v>1038</v>
      </c>
      <c r="S658" s="3632" t="s">
        <v>609</v>
      </c>
      <c r="T658" s="3635"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32" t="s">
        <v>1039</v>
      </c>
      <c r="S659" s="3632" t="s">
        <v>609</v>
      </c>
      <c r="T659" s="3635"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32" t="s">
        <v>1040</v>
      </c>
      <c r="S660" s="3632" t="s">
        <v>609</v>
      </c>
      <c r="T660" s="3635"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32" t="s">
        <v>1041</v>
      </c>
      <c r="S661" s="3632" t="s">
        <v>1628</v>
      </c>
      <c r="T661" s="3635"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32" t="s">
        <v>1042</v>
      </c>
      <c r="S662" s="3632" t="s">
        <v>932</v>
      </c>
      <c r="T662" s="3635"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32" t="s">
        <v>1043</v>
      </c>
      <c r="S663" s="3632" t="s">
        <v>119</v>
      </c>
      <c r="T663" s="3635"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34"/>
      <c r="R664" s="3632" t="s">
        <v>1044</v>
      </c>
      <c r="S664" s="3632" t="s">
        <v>609</v>
      </c>
      <c r="T664" s="3635"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32" t="s">
        <v>1045</v>
      </c>
      <c r="S665" s="3632" t="s">
        <v>311</v>
      </c>
      <c r="T665" s="3635"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32" t="s">
        <v>1046</v>
      </c>
      <c r="S666" s="3632" t="s">
        <v>315</v>
      </c>
      <c r="T666" s="3635"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32" t="s">
        <v>811</v>
      </c>
      <c r="S667" s="3632" t="s">
        <v>1285</v>
      </c>
      <c r="T667" s="3635"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32" t="s">
        <v>1047</v>
      </c>
      <c r="S668" s="3632" t="s">
        <v>647</v>
      </c>
      <c r="T668" s="3635"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32" t="s">
        <v>1048</v>
      </c>
      <c r="S669" s="3632" t="s">
        <v>1487</v>
      </c>
      <c r="T669" s="3635"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32" t="s">
        <v>1049</v>
      </c>
      <c r="S670" s="3632" t="s">
        <v>609</v>
      </c>
      <c r="T670" s="3635"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32" t="s">
        <v>1050</v>
      </c>
      <c r="S671" s="3632" t="s">
        <v>639</v>
      </c>
      <c r="T671" s="3635"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32" t="s">
        <v>1051</v>
      </c>
      <c r="S672" s="3632" t="s">
        <v>155</v>
      </c>
      <c r="T672" s="3635"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33"/>
      <c r="R673" s="3632" t="s">
        <v>1052</v>
      </c>
      <c r="S673" s="3632" t="s">
        <v>1862</v>
      </c>
      <c r="T673" s="3635"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34"/>
      <c r="R674" s="3632" t="s">
        <v>1053</v>
      </c>
      <c r="S674" s="3632" t="s">
        <v>1956</v>
      </c>
      <c r="T674" s="3635"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32" t="s">
        <v>1054</v>
      </c>
      <c r="S675" s="3632" t="s">
        <v>609</v>
      </c>
      <c r="T675" s="3635"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32" t="s">
        <v>1055</v>
      </c>
      <c r="S676" s="3632" t="s">
        <v>1628</v>
      </c>
      <c r="T676" s="3635"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34"/>
      <c r="R677" s="3632" t="s">
        <v>1056</v>
      </c>
      <c r="S677" s="3632" t="s">
        <v>2420</v>
      </c>
      <c r="T677" s="3635"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32" t="s">
        <v>1057</v>
      </c>
      <c r="S678" s="3632" t="s">
        <v>155</v>
      </c>
      <c r="T678" s="3635"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32" t="s">
        <v>1058</v>
      </c>
      <c r="S679" s="3632" t="s">
        <v>155</v>
      </c>
      <c r="T679" s="3635"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34"/>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34"/>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34"/>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34"/>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34"/>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34"/>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36"/>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33"/>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34"/>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34"/>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33"/>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34"/>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33"/>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34"/>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34"/>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FYys0cKZZXb9uOmCem4wN+SIvELJ/fTTJuHdkVLlNNBUhaZ/YyXo+3l7h9z6xKN0qEjTThOiAAdP3KwrLjATUg==" saltValue="CJiMmE3rktGTg21bEV0zW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38" t="s">
        <v>2973</v>
      </c>
      <c r="B1" s="3238"/>
      <c r="C1" s="3238"/>
      <c r="D1" s="3238"/>
      <c r="E1" s="3238"/>
      <c r="F1" s="3238"/>
      <c r="G1" s="3238"/>
      <c r="H1" s="3238"/>
      <c r="I1" s="3238"/>
      <c r="J1" s="3238"/>
      <c r="K1" s="3238"/>
    </row>
    <row r="2" spans="1:11" ht="15.6">
      <c r="A2" s="3252" t="str">
        <f>'Sensitivity Analysis'!C8</f>
        <v>Twin Oaks Commons</v>
      </c>
      <c r="B2" s="3252"/>
      <c r="C2" s="3252"/>
      <c r="D2" s="3252"/>
      <c r="E2" s="3252"/>
      <c r="F2" s="3252"/>
      <c r="G2" s="3252"/>
      <c r="H2" s="3252"/>
      <c r="I2" s="3252"/>
      <c r="J2" s="3252"/>
      <c r="K2" s="3252"/>
    </row>
    <row r="3" spans="1:11" ht="9" customHeight="1">
      <c r="A3" s="731"/>
      <c r="B3" s="731"/>
      <c r="C3" s="731"/>
    </row>
    <row r="4" spans="1:11" ht="17.399999999999999">
      <c r="A4" s="732" t="s">
        <v>3419</v>
      </c>
      <c r="B4" s="731"/>
      <c r="C4" s="731"/>
      <c r="K4" s="733"/>
    </row>
    <row r="5" spans="1:11" s="688" customFormat="1" ht="42" customHeight="1">
      <c r="C5" s="3239" t="s">
        <v>4097</v>
      </c>
      <c r="D5" s="3240"/>
      <c r="E5" s="3241"/>
      <c r="F5" s="538"/>
      <c r="G5" s="3239" t="s">
        <v>4098</v>
      </c>
      <c r="H5" s="3240"/>
      <c r="I5" s="3241"/>
      <c r="J5" s="730"/>
      <c r="K5" s="3250" t="s">
        <v>4099</v>
      </c>
    </row>
    <row r="6" spans="1:11" s="735" customFormat="1" ht="15" customHeight="1">
      <c r="A6" s="734" t="s">
        <v>2632</v>
      </c>
      <c r="C6" s="736" t="s">
        <v>3404</v>
      </c>
      <c r="D6" s="736" t="s">
        <v>4100</v>
      </c>
      <c r="E6" s="736" t="s">
        <v>1941</v>
      </c>
      <c r="G6" s="736" t="s">
        <v>3405</v>
      </c>
      <c r="H6" s="736" t="s">
        <v>4101</v>
      </c>
      <c r="I6" s="736" t="s">
        <v>1941</v>
      </c>
      <c r="K6" s="3251"/>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12</v>
      </c>
      <c r="E8" s="740">
        <f>C8*D8</f>
        <v>0</v>
      </c>
      <c r="G8" s="738"/>
      <c r="H8" s="739">
        <f>'Part VI-Revenues &amp; Expenses'!$L$67</f>
        <v>12</v>
      </c>
      <c r="I8" s="740">
        <f>G8*H8</f>
        <v>0</v>
      </c>
      <c r="K8" s="737" t="s">
        <v>3406</v>
      </c>
    </row>
    <row r="9" spans="1:11" s="538" customFormat="1" ht="13.5" customHeight="1">
      <c r="A9" s="538" t="s">
        <v>2631</v>
      </c>
      <c r="C9" s="738"/>
      <c r="D9" s="1184">
        <f>'Part VI-Revenues &amp; Expenses'!$M$63</f>
        <v>20</v>
      </c>
      <c r="E9" s="740">
        <f>C9*D9</f>
        <v>0</v>
      </c>
      <c r="G9" s="738"/>
      <c r="H9" s="739">
        <f>'Part VI-Revenues &amp; Expenses'!$M$67</f>
        <v>20</v>
      </c>
      <c r="I9" s="740">
        <f>G9*H9</f>
        <v>0</v>
      </c>
      <c r="K9" s="1191">
        <f>'Part IV-A-Uses of Funds'!$G$132</f>
        <v>5691701.1975492882</v>
      </c>
    </row>
    <row r="10" spans="1:11" s="538" customFormat="1" ht="13.5" customHeight="1">
      <c r="A10" s="538" t="s">
        <v>2634</v>
      </c>
      <c r="C10" s="738"/>
      <c r="D10" s="1184">
        <f>'Part VI-Revenues &amp; Expenses'!$N$63</f>
        <v>8</v>
      </c>
      <c r="E10" s="740">
        <f>C10*D10</f>
        <v>0</v>
      </c>
      <c r="G10" s="738"/>
      <c r="H10" s="739">
        <f>'Part VI-Revenues &amp; Expenses'!$N$67</f>
        <v>8</v>
      </c>
      <c r="I10" s="740">
        <f>G10*H10</f>
        <v>0</v>
      </c>
      <c r="K10" s="737" t="s">
        <v>3407</v>
      </c>
    </row>
    <row r="11" spans="1:11" s="538" customFormat="1" ht="13.5" customHeight="1">
      <c r="A11" s="742" t="s">
        <v>3403</v>
      </c>
      <c r="C11" s="743"/>
      <c r="D11" s="1185">
        <f>'Part VI-Revenues &amp; Expenses'!$O$63</f>
        <v>0</v>
      </c>
      <c r="E11" s="745">
        <f>C11*D11</f>
        <v>0</v>
      </c>
      <c r="G11" s="743"/>
      <c r="H11" s="744">
        <f>'Part VI-Revenues &amp; Expenses'!$O$67</f>
        <v>0</v>
      </c>
      <c r="I11" s="745">
        <f>G11*H11</f>
        <v>0</v>
      </c>
      <c r="K11" s="3242" t="s">
        <v>3411</v>
      </c>
    </row>
    <row r="12" spans="1:11" ht="13.5" customHeight="1" thickBot="1">
      <c r="A12" s="746" t="s">
        <v>3378</v>
      </c>
      <c r="D12" s="777">
        <f>SUM(D7:D11)</f>
        <v>40</v>
      </c>
      <c r="E12" s="747"/>
      <c r="G12" s="746" t="s">
        <v>1748</v>
      </c>
      <c r="H12" s="1190">
        <f>SUM(H7:H11)</f>
        <v>40</v>
      </c>
      <c r="I12" s="747"/>
      <c r="K12" s="3243"/>
    </row>
    <row r="13" spans="1:11" s="538" customFormat="1" ht="13.5" customHeight="1" thickBot="1">
      <c r="A13" s="746" t="s">
        <v>2975</v>
      </c>
      <c r="B13" s="748"/>
      <c r="E13" s="749">
        <f>SUM(E7:E11)</f>
        <v>0</v>
      </c>
      <c r="G13" s="746" t="s">
        <v>3209</v>
      </c>
      <c r="H13" s="748"/>
      <c r="I13" s="750">
        <f>SUM(I7:I11)</f>
        <v>0</v>
      </c>
      <c r="K13" s="1191">
        <f>'Part VIII-Threshold Criteria'!$P$63</f>
        <v>8974025.1999999993</v>
      </c>
    </row>
    <row r="14" spans="1:11" ht="11.25" customHeight="1">
      <c r="G14" s="751" t="s">
        <v>3408</v>
      </c>
    </row>
    <row r="15" spans="1:11" s="538" customFormat="1" ht="9" customHeight="1"/>
    <row r="16" spans="1:11" ht="16.5" customHeight="1">
      <c r="A16" s="732" t="s">
        <v>3420</v>
      </c>
    </row>
    <row r="17" spans="1:11" ht="6" customHeight="1"/>
    <row r="18" spans="1:11" s="538" customFormat="1" ht="13.5" customHeight="1">
      <c r="A18" s="538" t="s">
        <v>3410</v>
      </c>
      <c r="E18" s="1192" t="s">
        <v>3888</v>
      </c>
      <c r="F18" s="1193"/>
      <c r="G18" s="1193"/>
      <c r="H18" s="1193"/>
      <c r="I18" s="1193"/>
      <c r="K18" s="1169">
        <f>'Sensitivity Analysis'!$E$13</f>
        <v>40</v>
      </c>
    </row>
    <row r="19" spans="1:11" s="538" customFormat="1" ht="13.5" customHeight="1">
      <c r="A19" s="538" t="s">
        <v>2976</v>
      </c>
      <c r="E19" s="1187"/>
      <c r="K19" s="606">
        <f>'Sensitivity Analysis'!$C$13</f>
        <v>40</v>
      </c>
    </row>
    <row r="20" spans="1:11" ht="3" customHeight="1">
      <c r="A20" s="752"/>
      <c r="E20" s="1188"/>
    </row>
    <row r="21" spans="1:11" s="538" customFormat="1" ht="13.5" customHeight="1">
      <c r="A21" s="538" t="s">
        <v>2977</v>
      </c>
      <c r="E21" s="1186" t="s">
        <v>3409</v>
      </c>
      <c r="K21" s="753">
        <f>K18/K19</f>
        <v>1</v>
      </c>
    </row>
    <row r="22" spans="1:11" ht="6.75" customHeight="1">
      <c r="E22" s="1188"/>
    </row>
    <row r="23" spans="1:11" s="538" customFormat="1" ht="13.5" customHeight="1">
      <c r="A23" s="538" t="s">
        <v>3377</v>
      </c>
      <c r="C23" s="754"/>
      <c r="E23" s="1186" t="s">
        <v>2980</v>
      </c>
      <c r="K23" s="606">
        <f>K9</f>
        <v>5691701.1975492882</v>
      </c>
    </row>
    <row r="24" spans="1:11" s="538" customFormat="1" ht="13.5" customHeight="1">
      <c r="A24" s="755" t="s">
        <v>1715</v>
      </c>
      <c r="E24" s="1187"/>
      <c r="K24" s="741">
        <f>'Part IV-A-Uses of Funds'!$G$122</f>
        <v>86572.647549288376</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5605128.5499999998</v>
      </c>
    </row>
    <row r="29" spans="1:11" ht="6.75" customHeight="1">
      <c r="A29" s="752"/>
      <c r="E29" s="1188"/>
      <c r="K29" s="760"/>
    </row>
    <row r="30" spans="1:11" s="538" customFormat="1" ht="15" customHeight="1">
      <c r="A30" s="748" t="s">
        <v>2983</v>
      </c>
      <c r="E30" s="1186" t="s">
        <v>3414</v>
      </c>
      <c r="F30" s="761"/>
      <c r="G30" s="761"/>
      <c r="H30" s="761"/>
      <c r="I30" s="761"/>
      <c r="K30" s="762">
        <f>K21*K28</f>
        <v>5605128.5499999998</v>
      </c>
    </row>
    <row r="31" spans="1:11" ht="13.5" customHeight="1">
      <c r="E31" s="1188"/>
      <c r="K31" s="760"/>
    </row>
    <row r="32" spans="1:11" s="538" customFormat="1" ht="16.5" customHeight="1">
      <c r="A32" s="763" t="s">
        <v>3421</v>
      </c>
      <c r="B32" s="748"/>
      <c r="C32" s="748"/>
      <c r="D32" s="748"/>
      <c r="E32" s="1186"/>
    </row>
    <row r="33" spans="1:11" ht="6" customHeight="1" thickBot="1">
      <c r="E33" s="1188"/>
    </row>
    <row r="34" spans="1:11" s="538" customFormat="1" ht="18" customHeight="1" thickBot="1">
      <c r="A34" s="764" t="s">
        <v>3417</v>
      </c>
      <c r="B34" s="748"/>
      <c r="C34" s="748"/>
      <c r="D34" s="748"/>
      <c r="E34" s="1186" t="s">
        <v>3415</v>
      </c>
      <c r="K34" s="765">
        <f>MIN(E13,K30)</f>
        <v>0</v>
      </c>
    </row>
    <row r="35" spans="1:11" ht="6" customHeight="1">
      <c r="E35" s="1188"/>
    </row>
    <row r="36" spans="1:11" s="538" customFormat="1" ht="15" customHeight="1">
      <c r="A36" s="748" t="s">
        <v>3418</v>
      </c>
      <c r="E36" s="1186" t="s">
        <v>3416</v>
      </c>
      <c r="K36" s="766">
        <f>'Sensitivity Analysis'!C25</f>
        <v>375000</v>
      </c>
    </row>
    <row r="37" spans="1:11" s="538" customFormat="1" ht="9" customHeight="1" thickBot="1">
      <c r="E37" s="767"/>
      <c r="F37" s="767"/>
      <c r="G37" s="767"/>
      <c r="H37" s="767"/>
      <c r="K37" s="768"/>
    </row>
    <row r="38" spans="1:11" s="538" customFormat="1" ht="15.75" customHeight="1">
      <c r="A38" s="3244" t="s">
        <v>3412</v>
      </c>
      <c r="B38" s="3244"/>
      <c r="C38" s="3244"/>
      <c r="D38" s="3245" t="s">
        <v>2978</v>
      </c>
      <c r="E38" s="3245"/>
      <c r="F38" s="3245" t="s">
        <v>2979</v>
      </c>
      <c r="G38" s="3245"/>
      <c r="H38" s="3245"/>
      <c r="I38" s="1239" t="s">
        <v>2729</v>
      </c>
      <c r="K38" s="3246">
        <f>ROUND((D39/F39)*I39,0)</f>
        <v>3</v>
      </c>
    </row>
    <row r="39" spans="1:11" s="538" customFormat="1" ht="15.75" customHeight="1" thickBot="1">
      <c r="A39" s="3244"/>
      <c r="B39" s="3244"/>
      <c r="C39" s="3244"/>
      <c r="D39" s="3248">
        <f>K36</f>
        <v>375000</v>
      </c>
      <c r="E39" s="3248"/>
      <c r="F39" s="3249">
        <f>K28</f>
        <v>5605128.5499999998</v>
      </c>
      <c r="G39" s="3249"/>
      <c r="H39" s="3249"/>
      <c r="I39" s="769">
        <f>K19</f>
        <v>40</v>
      </c>
      <c r="K39" s="3247"/>
    </row>
    <row r="40" spans="1:11" ht="12.75" customHeight="1">
      <c r="D40" s="770" t="s">
        <v>3413</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53" t="str">
        <f>CONCATENATE('Sensitivity Analysis'!E8,"  ",'Sensitivity Analysis'!C8)</f>
        <v>2020-050  Twin Oaks Commons</v>
      </c>
      <c r="B1" s="3253"/>
      <c r="C1" s="3253"/>
      <c r="D1" s="3253"/>
      <c r="E1" s="3253"/>
      <c r="F1" s="3253"/>
      <c r="G1" s="3253"/>
      <c r="H1" s="3253"/>
    </row>
    <row r="3" spans="1:13" ht="12" customHeight="1">
      <c r="A3" s="3254" t="s">
        <v>3380</v>
      </c>
      <c r="B3" s="3254"/>
      <c r="C3" s="3254"/>
      <c r="D3" s="3254"/>
      <c r="E3" s="3254"/>
      <c r="F3" s="3254"/>
      <c r="G3" s="3254"/>
      <c r="H3" s="3254"/>
      <c r="I3" s="1243"/>
      <c r="J3" s="3256" t="s">
        <v>3889</v>
      </c>
      <c r="K3" s="3256"/>
      <c r="L3" s="803"/>
      <c r="M3" s="803"/>
    </row>
    <row r="4" spans="1:13">
      <c r="J4" s="3256"/>
      <c r="K4" s="3256"/>
    </row>
    <row r="5" spans="1:13" ht="12" customHeight="1">
      <c r="A5" s="730">
        <v>1</v>
      </c>
      <c r="C5" s="730" t="s">
        <v>2985</v>
      </c>
      <c r="E5" s="785" t="str">
        <f>'Sensitivity Analysis'!H9</f>
        <v>Twin Oaks Commons LLC</v>
      </c>
      <c r="J5" s="3256"/>
      <c r="K5" s="3256"/>
    </row>
    <row r="6" spans="1:13" ht="3" customHeight="1">
      <c r="H6" s="747"/>
      <c r="J6" s="3256"/>
      <c r="K6" s="3256"/>
    </row>
    <row r="7" spans="1:13" ht="12" customHeight="1">
      <c r="A7" s="730">
        <v>2</v>
      </c>
      <c r="C7" s="730" t="s">
        <v>2986</v>
      </c>
      <c r="E7" s="785" t="str">
        <f>'Part II-Development Team'!H6</f>
        <v>9100 Centre Pointe Dr., Suite 200</v>
      </c>
      <c r="J7" s="3256"/>
      <c r="K7" s="3256"/>
    </row>
    <row r="8" spans="1:13" ht="12" customHeight="1">
      <c r="E8" s="785" t="str">
        <f>+'Part II-Development Team'!H7&amp;","&amp;" "&amp;'Part II-Development Team'!H8&amp;" "&amp;LEFT('Part II-Development Team'!J8,5)</f>
        <v>West Chester, OH 45069</v>
      </c>
      <c r="J8" s="3256"/>
      <c r="K8" s="3256"/>
    </row>
    <row r="9" spans="1:13" ht="12" customHeight="1">
      <c r="C9" s="730" t="s">
        <v>2987</v>
      </c>
      <c r="E9" s="3255">
        <f>'Part II-Development Team'!L7</f>
        <v>0</v>
      </c>
      <c r="F9" s="3255"/>
      <c r="J9" s="3256"/>
      <c r="K9" s="3256"/>
    </row>
    <row r="10" spans="1:13" ht="12" customHeight="1">
      <c r="C10" s="730" t="s">
        <v>2988</v>
      </c>
      <c r="E10" s="785" t="str">
        <f>'Part II-Development Team'!Q5</f>
        <v>Brian McGeady</v>
      </c>
    </row>
    <row r="11" spans="1:13" ht="12" customHeight="1">
      <c r="C11" s="730" t="s">
        <v>3894</v>
      </c>
      <c r="E11" s="785" t="str">
        <f>'Part II-Development Team'!L9</f>
        <v>brian.mcgeady@mvahpartners.com</v>
      </c>
    </row>
    <row r="12" spans="1:13" ht="12" customHeight="1">
      <c r="C12" s="730" t="s">
        <v>3890</v>
      </c>
      <c r="E12" s="1244">
        <f>'Part II-Development Team'!H9</f>
        <v>5139641141</v>
      </c>
    </row>
    <row r="13" spans="1:13" ht="12" customHeight="1">
      <c r="C13" s="730" t="s">
        <v>3893</v>
      </c>
      <c r="E13" s="1244">
        <f>'Part II-Development Team'!Q7</f>
        <v>5139641141</v>
      </c>
    </row>
    <row r="14" spans="1:13" ht="3" customHeight="1"/>
    <row r="15" spans="1:13" ht="12" customHeight="1">
      <c r="A15" s="730">
        <v>3</v>
      </c>
      <c r="C15" s="730" t="s">
        <v>2989</v>
      </c>
      <c r="E15" s="785" t="str">
        <f>'Sensitivity Analysis'!C8</f>
        <v>Twin Oaks Commons</v>
      </c>
    </row>
    <row r="16" spans="1:13" ht="12" customHeight="1">
      <c r="C16" s="730" t="s">
        <v>2990</v>
      </c>
      <c r="E16" s="785" t="str">
        <f>'Part I-Project Information'!$F$35</f>
        <v>158 Twin Oaks Dr.</v>
      </c>
    </row>
    <row r="17" spans="1:8" ht="12" customHeight="1">
      <c r="E17" s="785" t="str">
        <f>+'Part I-Project Information'!$F$38&amp;","&amp;" GA "&amp;LEFT('Part I-Project Information'!$J$38,5)</f>
        <v>Ludowici, GA 31316</v>
      </c>
    </row>
    <row r="18" spans="1:8" ht="3" customHeight="1"/>
    <row r="19" spans="1:8" ht="12" customHeight="1">
      <c r="A19" s="730">
        <v>4</v>
      </c>
      <c r="C19" s="730" t="s">
        <v>2991</v>
      </c>
      <c r="E19" s="785" t="str">
        <f>'Part II-Development Team'!H92</f>
        <v>MVAH Management LLC</v>
      </c>
    </row>
    <row r="20" spans="1:8" ht="12" customHeight="1">
      <c r="C20" s="730" t="s">
        <v>2992</v>
      </c>
      <c r="E20" s="785" t="str">
        <f>'Part II-Development Team'!H93</f>
        <v>9100 Centre Pointe Dr.</v>
      </c>
    </row>
    <row r="21" spans="1:8" ht="12" customHeight="1">
      <c r="E21" s="785" t="str">
        <f>+'Part II-Development Team'!H94&amp;","&amp;" "&amp;'Part II-Development Team'!H95&amp;" "&amp;LEFT('Part II-Development Team'!L95,5)</f>
        <v>West Chester, OH 45069</v>
      </c>
    </row>
    <row r="22" spans="1:8" ht="12" customHeight="1">
      <c r="C22" s="730" t="s">
        <v>3890</v>
      </c>
      <c r="E22" s="1244">
        <f>'Part II-Development Team'!H96</f>
        <v>5139641141</v>
      </c>
    </row>
    <row r="23" spans="1:8" ht="12" customHeight="1">
      <c r="C23" s="730" t="s">
        <v>3893</v>
      </c>
      <c r="E23" s="1244">
        <f>'Part II-Development Team'!Q94</f>
        <v>5139641141</v>
      </c>
    </row>
    <row r="24" spans="1:8" ht="12" customHeight="1">
      <c r="C24" s="730" t="s">
        <v>3894</v>
      </c>
      <c r="E24" s="1244" t="str">
        <f>'Part II-Development Team'!L96</f>
        <v>brian.mcgeady@mvahpartners.com</v>
      </c>
    </row>
    <row r="25" spans="1:8" ht="3" customHeight="1">
      <c r="E25" s="785"/>
    </row>
    <row r="26" spans="1:8" ht="12" customHeight="1">
      <c r="A26" s="730">
        <v>5</v>
      </c>
      <c r="C26" s="730" t="s">
        <v>2993</v>
      </c>
      <c r="E26" s="785" t="str">
        <f>'Sensitivity Analysis'!$H$7</f>
        <v>Acquisition/Rehabilitation</v>
      </c>
    </row>
    <row r="27" spans="1:8" ht="12" customHeight="1">
      <c r="E27" s="1242" t="s">
        <v>1726</v>
      </c>
    </row>
    <row r="28" spans="1:8" ht="12" customHeight="1">
      <c r="C28" s="730" t="s">
        <v>3379</v>
      </c>
      <c r="E28" s="730" t="str">
        <f>'Sensitivity Analysis'!$C$9</f>
        <v>&lt;&lt;Select&gt;&gt;</v>
      </c>
    </row>
    <row r="29" spans="1:8" ht="3" customHeight="1">
      <c r="H29" s="807"/>
    </row>
    <row r="30" spans="1:8" ht="12" customHeight="1">
      <c r="A30" s="730">
        <v>6</v>
      </c>
      <c r="C30" s="730" t="s">
        <v>2994</v>
      </c>
      <c r="E30" s="730" t="s">
        <v>2345</v>
      </c>
      <c r="F30" s="1245">
        <f>'Part III-Sources of Funds'!L20</f>
        <v>5010000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180</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MVAH Twin Oaks Commons LLC</v>
      </c>
    </row>
    <row r="48" spans="1:7" ht="3" customHeight="1">
      <c r="E48" s="785"/>
    </row>
    <row r="49" spans="1:7" ht="12" customHeight="1">
      <c r="A49" s="730">
        <v>15</v>
      </c>
      <c r="C49" s="730" t="s">
        <v>3896</v>
      </c>
      <c r="E49" s="785" t="str">
        <f>'Part II-Development Team'!Q98</f>
        <v>Gregory Q. Clark</v>
      </c>
      <c r="G49" s="785" t="str">
        <f>'Part II-Development Team'!H98</f>
        <v>Coleman Talley LLP</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40</v>
      </c>
    </row>
    <row r="53" spans="1:7" ht="3" customHeight="1">
      <c r="F53" s="775"/>
    </row>
    <row r="54" spans="1:7" ht="12" customHeight="1">
      <c r="A54" s="803">
        <v>17</v>
      </c>
      <c r="B54" s="803"/>
      <c r="C54" s="803" t="s">
        <v>3011</v>
      </c>
      <c r="D54" s="803"/>
      <c r="E54" s="803"/>
      <c r="F54" s="1251">
        <f>'HOME Allocation Limit WS'!K18</f>
        <v>40</v>
      </c>
      <c r="G54" s="803"/>
    </row>
    <row r="55" spans="1:7" ht="3" customHeight="1">
      <c r="F55" s="775"/>
    </row>
    <row r="56" spans="1:7" ht="12" customHeight="1">
      <c r="A56" s="730">
        <v>18</v>
      </c>
      <c r="C56" s="730" t="s">
        <v>3012</v>
      </c>
      <c r="F56" s="1251">
        <f>'Part VI-Revenues &amp; Expenses'!P66</f>
        <v>0</v>
      </c>
      <c r="G56" s="730" t="s">
        <v>3895</v>
      </c>
    </row>
    <row r="57" spans="1:7" ht="3" customHeight="1">
      <c r="F57" s="775"/>
    </row>
    <row r="58" spans="1:7" ht="12" customHeight="1">
      <c r="A58" s="730">
        <v>19</v>
      </c>
      <c r="C58" s="730" t="s">
        <v>3013</v>
      </c>
      <c r="F58" s="1252"/>
      <c r="G58" s="730" t="s">
        <v>3381</v>
      </c>
    </row>
    <row r="59" spans="1:7" ht="3" customHeight="1">
      <c r="F59" s="775"/>
    </row>
    <row r="60" spans="1:7" ht="12" customHeight="1">
      <c r="A60" s="730">
        <v>20</v>
      </c>
      <c r="C60" s="730" t="s">
        <v>3014</v>
      </c>
      <c r="F60" s="1253" t="s">
        <v>947</v>
      </c>
      <c r="G60" s="803"/>
    </row>
    <row r="61" spans="1:7" ht="3" customHeight="1"/>
    <row r="62" spans="1:7" ht="12" customHeight="1">
      <c r="A62" s="730">
        <v>21</v>
      </c>
      <c r="C62" s="730" t="s">
        <v>3396</v>
      </c>
      <c r="E62" s="1254" t="s">
        <v>3382</v>
      </c>
      <c r="F62" s="1255" t="s">
        <v>3383</v>
      </c>
      <c r="G62" s="1254" t="s">
        <v>3015</v>
      </c>
    </row>
    <row r="63" spans="1:7" ht="12" customHeight="1">
      <c r="E63" s="1254" t="s">
        <v>3382</v>
      </c>
      <c r="F63" s="1255" t="s">
        <v>3383</v>
      </c>
      <c r="G63" s="1254"/>
    </row>
    <row r="64" spans="1:7" ht="3" customHeight="1"/>
    <row r="65" spans="1:7" ht="12" customHeight="1">
      <c r="A65" s="730">
        <v>22</v>
      </c>
      <c r="C65" s="730" t="s">
        <v>3016</v>
      </c>
      <c r="E65" s="785" t="str">
        <f>'Sensitivity Analysis'!H9</f>
        <v>Twin Oaks Commons LLC</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86572.647549288376</v>
      </c>
    </row>
    <row r="72" spans="1:7" ht="3" customHeight="1">
      <c r="F72" s="1256"/>
    </row>
    <row r="73" spans="1:7" ht="12" customHeight="1">
      <c r="A73" s="730">
        <v>26</v>
      </c>
      <c r="C73" s="730" t="s">
        <v>3021</v>
      </c>
      <c r="F73" s="1256">
        <f>'Part IV-A-Uses of Funds'!$G$123</f>
        <v>14000</v>
      </c>
    </row>
    <row r="74" spans="1:7" ht="3" customHeight="1">
      <c r="F74" s="1256"/>
    </row>
    <row r="75" spans="1:7" ht="12" customHeight="1">
      <c r="A75" s="730">
        <v>27</v>
      </c>
      <c r="C75" s="730" t="s">
        <v>3022</v>
      </c>
      <c r="F75" s="1257">
        <f>'Part IV-A-Uses of Funds'!$G$121</f>
        <v>37754</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57" t="s">
        <v>3211</v>
      </c>
      <c r="B1" s="3257"/>
      <c r="C1" s="3257"/>
      <c r="D1" s="3257"/>
      <c r="E1" s="3257"/>
      <c r="F1" s="3257"/>
      <c r="G1" s="3257"/>
      <c r="H1" s="3257"/>
      <c r="I1" s="3257"/>
      <c r="J1" s="3257"/>
    </row>
    <row r="2" spans="1:13" ht="13.8">
      <c r="A2" s="3257" t="str">
        <f>'Sensitivity Analysis'!E8&amp;"  "&amp;'Sensitivity Analysis'!C8</f>
        <v>2020-050  Twin Oaks Commons</v>
      </c>
      <c r="B2" s="3257"/>
      <c r="C2" s="3257"/>
      <c r="D2" s="3257"/>
      <c r="E2" s="3257"/>
      <c r="F2" s="3257"/>
      <c r="G2" s="3257"/>
      <c r="H2" s="3257"/>
      <c r="I2" s="3257"/>
      <c r="J2" s="3257"/>
    </row>
    <row r="3" spans="1:13" ht="6" customHeight="1">
      <c r="K3" s="3256" t="s">
        <v>3889</v>
      </c>
      <c r="L3" s="3256"/>
      <c r="M3" s="3256"/>
    </row>
    <row r="4" spans="1:13" ht="12" customHeight="1">
      <c r="A4" s="771" t="s">
        <v>3024</v>
      </c>
      <c r="K4" s="3256"/>
      <c r="L4" s="3256"/>
      <c r="M4" s="3256"/>
    </row>
    <row r="5" spans="1:13" ht="12" customHeight="1">
      <c r="A5" s="730" t="s">
        <v>3025</v>
      </c>
      <c r="C5" s="772" t="str">
        <f>'Subsidy Layering Memo'!D6</f>
        <v>(Underwriter)</v>
      </c>
      <c r="I5" s="772"/>
      <c r="K5" s="3256"/>
      <c r="L5" s="3256"/>
      <c r="M5" s="3256"/>
    </row>
    <row r="6" spans="1:13" ht="6" customHeight="1">
      <c r="C6" s="667"/>
      <c r="D6" s="772"/>
      <c r="I6" s="772"/>
      <c r="K6" s="3256"/>
      <c r="L6" s="3256"/>
      <c r="M6" s="3256"/>
    </row>
    <row r="7" spans="1:13" ht="12" customHeight="1">
      <c r="A7" s="771" t="s">
        <v>3026</v>
      </c>
      <c r="C7" s="667"/>
      <c r="D7" s="772"/>
      <c r="I7" s="772"/>
      <c r="K7" s="3256"/>
      <c r="L7" s="3256"/>
      <c r="M7" s="3256"/>
    </row>
    <row r="8" spans="1:13" ht="12" customHeight="1">
      <c r="A8" s="730" t="s">
        <v>3027</v>
      </c>
      <c r="C8" s="772" t="str">
        <f>'Sensitivity Analysis'!$H$9</f>
        <v>Twin Oaks Commons LLC</v>
      </c>
      <c r="I8" s="772"/>
      <c r="K8" s="3256"/>
      <c r="L8" s="3256"/>
      <c r="M8" s="3256"/>
    </row>
    <row r="9" spans="1:13" ht="3" customHeight="1">
      <c r="C9" s="667"/>
      <c r="D9" s="772"/>
      <c r="I9" s="772"/>
    </row>
    <row r="10" spans="1:13" ht="12" customHeight="1">
      <c r="A10" s="730" t="s">
        <v>3028</v>
      </c>
      <c r="C10" s="1196" t="s">
        <v>1726</v>
      </c>
      <c r="I10" s="772"/>
    </row>
    <row r="11" spans="1:13" ht="12" customHeight="1">
      <c r="C11" s="1196" t="s">
        <v>1726</v>
      </c>
      <c r="I11" s="772"/>
    </row>
    <row r="12" spans="1:13" ht="12" customHeight="1">
      <c r="C12" s="772" t="s">
        <v>2601</v>
      </c>
      <c r="D12" s="793" t="s">
        <v>1726</v>
      </c>
      <c r="I12" s="772"/>
    </row>
    <row r="13" spans="1:13" ht="12" customHeight="1">
      <c r="C13" s="772" t="s">
        <v>3029</v>
      </c>
      <c r="D13" s="3260"/>
      <c r="E13" s="3260"/>
      <c r="F13" s="3260"/>
      <c r="G13" s="3260"/>
      <c r="H13" s="3260"/>
      <c r="I13" s="3260"/>
      <c r="J13" s="3260"/>
    </row>
    <row r="14" spans="1:13" ht="3" customHeight="1">
      <c r="G14" s="667"/>
      <c r="H14" s="772"/>
      <c r="I14" s="772"/>
    </row>
    <row r="15" spans="1:13" ht="12" customHeight="1">
      <c r="A15" s="730" t="s">
        <v>3030</v>
      </c>
      <c r="C15" s="774" t="str">
        <f>'Preview term'!E10</f>
        <v>Brian McGeady</v>
      </c>
      <c r="G15" s="667"/>
      <c r="I15" s="772"/>
    </row>
    <row r="16" spans="1:13" ht="12" customHeight="1">
      <c r="A16" s="785" t="s">
        <v>4102</v>
      </c>
      <c r="C16" s="774" t="str">
        <f>'Part II-Development Team'!Q6</f>
        <v>Managing Partner</v>
      </c>
      <c r="G16" s="667"/>
      <c r="I16" s="772"/>
    </row>
    <row r="17" spans="1:9" ht="3" customHeight="1">
      <c r="G17" s="667"/>
      <c r="H17" s="772"/>
      <c r="I17" s="772"/>
    </row>
    <row r="18" spans="1:9" ht="12" customHeight="1">
      <c r="A18" s="730" t="s">
        <v>3031</v>
      </c>
      <c r="C18" s="774" t="str">
        <f>'Preview term'!$E$7</f>
        <v>9100 Centre Pointe Dr., Suite 200</v>
      </c>
      <c r="G18" s="667"/>
      <c r="I18" s="772"/>
    </row>
    <row r="19" spans="1:9" ht="12" customHeight="1">
      <c r="C19" s="774" t="str">
        <f>'Preview term'!$E$8</f>
        <v>West Chester, OH 45069</v>
      </c>
      <c r="G19" s="667"/>
      <c r="I19" s="772"/>
    </row>
    <row r="20" spans="1:9" ht="3" customHeight="1">
      <c r="G20" s="667"/>
      <c r="H20" s="772"/>
      <c r="I20" s="772"/>
    </row>
    <row r="21" spans="1:9" ht="12" customHeight="1">
      <c r="A21" s="730" t="s">
        <v>3032</v>
      </c>
      <c r="C21" s="774" t="str">
        <f>CONCATENATE('Preview term'!E49," of  ",'Preview term'!G49)</f>
        <v>Gregory Q. Clark of  Coleman Talley LLP</v>
      </c>
      <c r="G21" s="667"/>
      <c r="I21" s="772"/>
    </row>
    <row r="22" spans="1:9" ht="3" customHeight="1">
      <c r="C22" s="774"/>
      <c r="G22" s="667"/>
      <c r="I22" s="772"/>
    </row>
    <row r="23" spans="1:9" ht="12" customHeight="1">
      <c r="A23" s="730" t="s">
        <v>3033</v>
      </c>
      <c r="C23" s="774">
        <f>'Preview term'!E12</f>
        <v>5139641141</v>
      </c>
      <c r="G23" s="667"/>
      <c r="I23" s="772"/>
    </row>
    <row r="24" spans="1:9" ht="3" customHeight="1">
      <c r="C24" s="774"/>
      <c r="G24" s="667"/>
      <c r="I24" s="772"/>
    </row>
    <row r="25" spans="1:9" ht="12" customHeight="1">
      <c r="A25" s="730" t="s">
        <v>3034</v>
      </c>
      <c r="C25" s="1198" t="str">
        <f>'Preview term'!E11</f>
        <v>brian.mcgeady@mvahpartners.com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Twin Oaks Commons</v>
      </c>
      <c r="I28" s="772"/>
    </row>
    <row r="29" spans="1:9" ht="3" customHeight="1">
      <c r="C29" s="774"/>
      <c r="I29" s="772"/>
    </row>
    <row r="30" spans="1:9" ht="12" customHeight="1">
      <c r="A30" s="730" t="s">
        <v>3037</v>
      </c>
      <c r="C30" s="774" t="str">
        <f>'Preview term'!E16</f>
        <v>158 Twin Oaks Dr.</v>
      </c>
      <c r="I30" s="772"/>
    </row>
    <row r="31" spans="1:9">
      <c r="C31" s="772" t="str">
        <f>'Preview term'!E17</f>
        <v>Ludowici, GA 31316</v>
      </c>
      <c r="I31" s="772"/>
    </row>
    <row r="32" spans="1:9" ht="3" customHeight="1">
      <c r="C32" s="667"/>
      <c r="D32" s="667"/>
      <c r="I32" s="667"/>
    </row>
    <row r="33" spans="1:10" ht="12" customHeight="1">
      <c r="A33" s="730" t="s">
        <v>3038</v>
      </c>
      <c r="C33" s="667" t="s">
        <v>3039</v>
      </c>
      <c r="D33" s="1197">
        <f>'Preview term'!F54</f>
        <v>40</v>
      </c>
      <c r="I33" s="667"/>
    </row>
    <row r="34" spans="1:10" ht="12" customHeight="1">
      <c r="C34" s="667" t="s">
        <v>3040</v>
      </c>
      <c r="D34" s="776">
        <f>'HOME Allocation Limit WS'!H12-'HOME Allocation Limit WS'!D12</f>
        <v>0</v>
      </c>
      <c r="I34" s="667"/>
    </row>
    <row r="35" spans="1:10" ht="12" customHeight="1">
      <c r="C35" s="667" t="s">
        <v>3041</v>
      </c>
      <c r="D35" s="777">
        <f>SUM(D33:D34)</f>
        <v>40</v>
      </c>
      <c r="I35" s="667"/>
    </row>
    <row r="36" spans="1:10" ht="3" customHeight="1">
      <c r="C36" s="667"/>
      <c r="D36" s="667"/>
      <c r="I36" s="667"/>
    </row>
    <row r="37" spans="1:10" ht="12" customHeight="1">
      <c r="A37" s="730" t="s">
        <v>3042</v>
      </c>
      <c r="C37" s="1254" t="s">
        <v>1726</v>
      </c>
      <c r="D37" s="1195">
        <f>'Preview term'!F56</f>
        <v>0</v>
      </c>
      <c r="E37" s="667" t="s">
        <v>3043</v>
      </c>
      <c r="I37" s="667"/>
    </row>
    <row r="38" spans="1:10" ht="3" customHeight="1">
      <c r="G38" s="778"/>
      <c r="H38" s="667"/>
      <c r="I38" s="667"/>
    </row>
    <row r="39" spans="1:10" ht="25.5" customHeight="1">
      <c r="A39" s="779" t="s">
        <v>3044</v>
      </c>
      <c r="C39" s="3258"/>
      <c r="D39" s="3258"/>
      <c r="E39" s="3258"/>
      <c r="F39" s="3258"/>
      <c r="G39" s="3258"/>
      <c r="H39" s="3258"/>
      <c r="I39" s="3258"/>
      <c r="J39" s="3258"/>
    </row>
    <row r="40" spans="1:10" ht="3" customHeight="1">
      <c r="G40" s="667"/>
      <c r="H40" s="667"/>
      <c r="I40" s="667"/>
    </row>
    <row r="41" spans="1:10" ht="25.5" customHeight="1">
      <c r="A41" s="779" t="s">
        <v>3045</v>
      </c>
      <c r="C41" s="3259" t="s">
        <v>3384</v>
      </c>
      <c r="D41" s="3259"/>
      <c r="E41" s="3259"/>
      <c r="F41" s="3259"/>
      <c r="G41" s="3259"/>
      <c r="H41" s="3259"/>
      <c r="I41" s="3259"/>
      <c r="J41" s="3259"/>
    </row>
    <row r="42" spans="1:10" ht="3" customHeight="1">
      <c r="C42" s="536"/>
      <c r="D42" s="536"/>
      <c r="E42" s="536"/>
      <c r="F42" s="536"/>
      <c r="G42" s="536"/>
      <c r="H42" s="537"/>
      <c r="I42" s="538"/>
      <c r="J42" s="537"/>
    </row>
    <row r="43" spans="1:10" ht="12" customHeight="1">
      <c r="A43" s="730" t="s">
        <v>3046</v>
      </c>
      <c r="C43" s="604" t="str">
        <f>'Part I-Project Information'!J39</f>
        <v>Long</v>
      </c>
      <c r="D43" s="536"/>
      <c r="F43" s="537"/>
      <c r="I43" s="538"/>
      <c r="J43" s="537"/>
    </row>
    <row r="44" spans="1:10" ht="3" customHeight="1">
      <c r="C44" s="536"/>
      <c r="D44" s="536"/>
      <c r="E44" s="536"/>
      <c r="F44" s="537"/>
      <c r="I44" s="538"/>
      <c r="J44" s="537"/>
    </row>
    <row r="45" spans="1:10" ht="12" customHeight="1">
      <c r="A45" s="730" t="s">
        <v>3047</v>
      </c>
      <c r="C45" s="793" t="s">
        <v>1726</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59" t="s">
        <v>557</v>
      </c>
      <c r="D49" s="3259"/>
      <c r="E49" s="3259"/>
      <c r="F49" s="3259"/>
      <c r="G49" s="3259"/>
      <c r="H49" s="3259"/>
      <c r="I49" s="3259"/>
      <c r="J49" s="3259"/>
    </row>
    <row r="50" spans="1:10" ht="12" customHeight="1">
      <c r="C50" s="3264" t="s">
        <v>1761</v>
      </c>
      <c r="D50" s="3264"/>
      <c r="E50" s="3264"/>
      <c r="F50" s="3264"/>
      <c r="G50" s="3264"/>
      <c r="H50" s="3264"/>
      <c r="I50" s="3264"/>
      <c r="J50" s="3264"/>
    </row>
    <row r="51" spans="1:10" ht="3" customHeight="1">
      <c r="D51" s="782"/>
      <c r="E51" s="782"/>
      <c r="F51" s="782"/>
      <c r="G51" s="783"/>
      <c r="H51" s="667"/>
      <c r="I51" s="782"/>
      <c r="J51" s="782"/>
    </row>
    <row r="52" spans="1:10" ht="12" customHeight="1">
      <c r="A52" s="779" t="s">
        <v>3050</v>
      </c>
      <c r="B52" s="779"/>
      <c r="C52" s="784" t="s">
        <v>3051</v>
      </c>
      <c r="D52" s="784" t="s">
        <v>3385</v>
      </c>
      <c r="E52" s="3265"/>
      <c r="F52" s="3265"/>
      <c r="G52" s="3265"/>
      <c r="H52" s="3265"/>
      <c r="I52" s="3265"/>
      <c r="J52" s="3265"/>
    </row>
    <row r="53" spans="1:10" ht="12" customHeight="1">
      <c r="A53" s="779"/>
      <c r="B53" s="779"/>
      <c r="C53" s="779"/>
      <c r="D53" s="784" t="s">
        <v>3386</v>
      </c>
      <c r="E53" s="3266"/>
      <c r="F53" s="3266"/>
      <c r="G53" s="3266"/>
      <c r="H53" s="3266"/>
      <c r="I53" s="3266"/>
      <c r="J53" s="3266"/>
    </row>
    <row r="54" spans="1:10" ht="12" customHeight="1">
      <c r="A54" s="771" t="s">
        <v>3052</v>
      </c>
      <c r="G54" s="667"/>
      <c r="H54" s="667"/>
      <c r="I54" s="667"/>
    </row>
    <row r="55" spans="1:10" ht="18" customHeight="1">
      <c r="A55" s="730" t="s">
        <v>3053</v>
      </c>
      <c r="C55" s="773" t="str">
        <f>'Sensitivity Analysis'!C10</f>
        <v>MVAH Twin Oaks Commons LLC</v>
      </c>
      <c r="G55" s="667"/>
      <c r="I55" s="667"/>
    </row>
    <row r="56" spans="1:10" ht="3" customHeight="1">
      <c r="C56" s="773"/>
      <c r="G56" s="667"/>
      <c r="I56" s="667"/>
    </row>
    <row r="57" spans="1:10" ht="12" customHeight="1">
      <c r="A57" s="730" t="s">
        <v>3054</v>
      </c>
      <c r="C57" s="773" t="str">
        <f>'Sensitivity Analysis'!C11</f>
        <v>N/A</v>
      </c>
      <c r="E57" s="773" t="str">
        <f>'Sensitivity Analysis'!E11</f>
        <v>N/A</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5010000</v>
      </c>
      <c r="G62" s="667"/>
      <c r="I62" s="667"/>
    </row>
    <row r="63" spans="1:10" ht="3" customHeight="1">
      <c r="D63" s="785"/>
      <c r="G63" s="667"/>
      <c r="H63" s="786"/>
      <c r="I63" s="667"/>
    </row>
    <row r="64" spans="1:10" ht="12" customHeight="1">
      <c r="A64" s="730" t="s">
        <v>3059</v>
      </c>
      <c r="C64" s="730" t="s">
        <v>3061</v>
      </c>
      <c r="D64" s="773" t="s">
        <v>947</v>
      </c>
      <c r="G64" s="667"/>
      <c r="I64" s="667"/>
    </row>
    <row r="65" spans="1:10" ht="3" customHeight="1">
      <c r="D65" s="785"/>
      <c r="G65" s="667"/>
      <c r="H65" s="667"/>
      <c r="I65" s="667"/>
    </row>
    <row r="66" spans="1:10" ht="12" customHeight="1">
      <c r="A66" s="730" t="s">
        <v>3062</v>
      </c>
      <c r="C66" s="1200" t="s">
        <v>1726</v>
      </c>
      <c r="D66" s="799"/>
      <c r="I66" s="667"/>
    </row>
    <row r="67" spans="1:10" ht="12" customHeight="1">
      <c r="C67" s="730" t="s">
        <v>3063</v>
      </c>
      <c r="D67" s="1241" t="s">
        <v>1726</v>
      </c>
      <c r="I67" s="667"/>
    </row>
    <row r="68" spans="1:10" ht="12" customHeight="1">
      <c r="C68" s="730" t="s">
        <v>3029</v>
      </c>
      <c r="D68" s="3260"/>
      <c r="E68" s="3260"/>
      <c r="F68" s="3260"/>
      <c r="G68" s="3260"/>
      <c r="H68" s="3260"/>
      <c r="I68" s="3260"/>
      <c r="J68" s="3260"/>
    </row>
    <row r="69" spans="1:10" ht="3" customHeight="1">
      <c r="D69" s="785"/>
      <c r="E69" s="667"/>
      <c r="F69" s="667"/>
      <c r="I69" s="667"/>
    </row>
    <row r="70" spans="1:10" ht="12" customHeight="1">
      <c r="A70" s="730" t="s">
        <v>3064</v>
      </c>
      <c r="C70" s="730" t="s">
        <v>2345</v>
      </c>
      <c r="D70" s="793" t="s">
        <v>1726</v>
      </c>
      <c r="I70" s="667"/>
    </row>
    <row r="71" spans="1:10" ht="3" customHeight="1">
      <c r="D71" s="667"/>
      <c r="E71" s="667"/>
      <c r="I71" s="667"/>
    </row>
    <row r="72" spans="1:10" ht="12" customHeight="1">
      <c r="A72" s="730" t="s">
        <v>3065</v>
      </c>
      <c r="C72" s="1200" t="s">
        <v>1726</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3427</v>
      </c>
      <c r="D77" s="790">
        <v>24</v>
      </c>
      <c r="I77" s="667"/>
    </row>
    <row r="78" spans="1:10" ht="3" customHeight="1">
      <c r="D78" s="785"/>
      <c r="E78" s="667"/>
      <c r="F78" s="667"/>
      <c r="I78" s="667"/>
    </row>
    <row r="79" spans="1:10" ht="12" customHeight="1">
      <c r="A79" s="730" t="s">
        <v>3069</v>
      </c>
      <c r="C79" s="730" t="s">
        <v>2345</v>
      </c>
      <c r="D79" s="791">
        <f>'Preview term'!F39</f>
        <v>180</v>
      </c>
      <c r="E79" s="667" t="s">
        <v>3389</v>
      </c>
      <c r="I79" s="667"/>
    </row>
    <row r="80" spans="1:10" ht="3" customHeight="1">
      <c r="D80" s="785"/>
      <c r="G80" s="667"/>
      <c r="H80" s="667"/>
      <c r="I80" s="667"/>
    </row>
    <row r="81" spans="1:9" ht="12" customHeight="1">
      <c r="A81" s="730" t="s">
        <v>3070</v>
      </c>
      <c r="D81" s="1201">
        <v>0</v>
      </c>
      <c r="E81" s="792">
        <f>D81*12</f>
        <v>0</v>
      </c>
      <c r="F81" s="667" t="s">
        <v>3428</v>
      </c>
    </row>
    <row r="82" spans="1:9" ht="3" customHeight="1">
      <c r="D82" s="773"/>
      <c r="E82" s="667"/>
      <c r="G82" s="667"/>
    </row>
    <row r="83" spans="1:9" ht="12" customHeight="1">
      <c r="A83" s="730" t="s">
        <v>3071</v>
      </c>
      <c r="D83" s="1241" t="s">
        <v>947</v>
      </c>
      <c r="E83" s="667" t="s">
        <v>3072</v>
      </c>
      <c r="G83" s="667"/>
    </row>
    <row r="84" spans="1:9" ht="3" customHeight="1">
      <c r="G84" s="667"/>
      <c r="H84" s="667"/>
      <c r="I84" s="667"/>
    </row>
    <row r="85" spans="1:9" ht="12" customHeight="1">
      <c r="A85" s="730" t="s">
        <v>3073</v>
      </c>
      <c r="C85" s="1199">
        <f>'Part VII-Pro Forma'!K71</f>
        <v>0</v>
      </c>
      <c r="D85" s="794" t="s">
        <v>3387</v>
      </c>
      <c r="I85" s="667"/>
    </row>
    <row r="86" spans="1:9" ht="3" customHeight="1">
      <c r="C86" s="667" t="s">
        <v>1726</v>
      </c>
      <c r="D86" s="667"/>
      <c r="E86" s="667"/>
      <c r="I86" s="667"/>
    </row>
    <row r="87" spans="1:9" ht="12" customHeight="1">
      <c r="A87" s="730" t="s">
        <v>3074</v>
      </c>
      <c r="B87" s="795"/>
      <c r="C87" s="1200" t="s">
        <v>1726</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947</v>
      </c>
      <c r="I90" s="667"/>
    </row>
    <row r="91" spans="1:9" ht="3" customHeight="1">
      <c r="G91" s="667"/>
      <c r="H91" s="667"/>
      <c r="I91" s="667"/>
    </row>
    <row r="92" spans="1:9" ht="12" customHeight="1">
      <c r="A92" s="730" t="s">
        <v>3078</v>
      </c>
      <c r="C92" s="785" t="s">
        <v>3067</v>
      </c>
      <c r="D92" s="667" t="s">
        <v>3079</v>
      </c>
      <c r="E92" s="785" t="str">
        <f>'Part III-Sources of Funds'!H20</f>
        <v>PNC Bank, N.A.</v>
      </c>
      <c r="I92" s="667"/>
    </row>
    <row r="93" spans="1:9" ht="12" customHeight="1">
      <c r="C93" s="799"/>
      <c r="D93" s="667"/>
      <c r="E93" s="785" t="s">
        <v>1752</v>
      </c>
      <c r="F93" s="3267"/>
      <c r="G93" s="3267"/>
      <c r="H93" s="3267"/>
      <c r="I93" s="667"/>
    </row>
    <row r="94" spans="1:9" ht="12" customHeight="1">
      <c r="C94" s="785"/>
      <c r="D94" s="667"/>
      <c r="E94" s="785" t="s">
        <v>1933</v>
      </c>
      <c r="F94" s="3268"/>
      <c r="G94" s="3268"/>
      <c r="H94" s="3268"/>
      <c r="I94" s="667"/>
    </row>
    <row r="95" spans="1:9" ht="12" customHeight="1">
      <c r="C95" s="785"/>
      <c r="D95" s="667"/>
      <c r="E95" s="785" t="s">
        <v>1754</v>
      </c>
      <c r="F95" s="3263"/>
      <c r="G95" s="3263"/>
      <c r="H95" s="3263"/>
      <c r="I95" s="667"/>
    </row>
    <row r="96" spans="1:9" ht="12" customHeight="1">
      <c r="B96" s="775"/>
      <c r="C96" s="788" t="s">
        <v>3223</v>
      </c>
      <c r="D96" s="667" t="s">
        <v>3079</v>
      </c>
      <c r="E96" s="785" t="str">
        <f>'Part III-Sources of Funds'!E38</f>
        <v>PNC Bank, N.A.</v>
      </c>
      <c r="I96" s="667"/>
    </row>
    <row r="97" spans="1:10" ht="12" customHeight="1">
      <c r="C97" s="785"/>
      <c r="D97" s="667"/>
      <c r="E97" s="785" t="s">
        <v>1752</v>
      </c>
      <c r="F97" s="3267"/>
      <c r="G97" s="3267"/>
      <c r="H97" s="3267"/>
      <c r="I97" s="667"/>
    </row>
    <row r="98" spans="1:10" ht="12" customHeight="1">
      <c r="C98" s="785"/>
      <c r="D98" s="667"/>
      <c r="E98" s="785" t="s">
        <v>1933</v>
      </c>
      <c r="F98" s="3268"/>
      <c r="G98" s="3268"/>
      <c r="H98" s="3268"/>
      <c r="I98" s="667"/>
    </row>
    <row r="99" spans="1:10" ht="12" customHeight="1">
      <c r="C99" s="785"/>
      <c r="D99" s="667"/>
      <c r="E99" s="785" t="s">
        <v>1754</v>
      </c>
      <c r="F99" s="3263"/>
      <c r="G99" s="3263"/>
      <c r="H99" s="3263"/>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0</v>
      </c>
      <c r="H101" s="730" t="s">
        <v>3388</v>
      </c>
      <c r="I101" s="667"/>
    </row>
    <row r="102" spans="1:10" ht="3" customHeight="1">
      <c r="E102" s="667"/>
      <c r="F102" s="667"/>
      <c r="I102" s="667"/>
    </row>
    <row r="103" spans="1:10" ht="12" customHeight="1">
      <c r="A103" s="667" t="s">
        <v>3224</v>
      </c>
      <c r="D103" s="730" t="s">
        <v>947</v>
      </c>
      <c r="E103" s="667"/>
      <c r="I103" s="667"/>
    </row>
    <row r="104" spans="1:10" ht="6" customHeight="1">
      <c r="G104" s="667"/>
      <c r="H104" s="667"/>
      <c r="I104" s="667"/>
    </row>
    <row r="105" spans="1:10" ht="12" customHeight="1">
      <c r="A105" s="771" t="s">
        <v>3225</v>
      </c>
      <c r="I105" s="667"/>
    </row>
    <row r="106" spans="1:10" ht="12" customHeight="1">
      <c r="A106" s="730" t="s">
        <v>3081</v>
      </c>
      <c r="C106" s="1204" t="s">
        <v>1726</v>
      </c>
      <c r="D106" s="3270"/>
      <c r="E106" s="3270"/>
      <c r="F106" s="3270"/>
      <c r="G106" s="3270"/>
      <c r="H106" s="3270"/>
      <c r="I106" s="3270"/>
      <c r="J106" s="3271"/>
    </row>
    <row r="107" spans="1:10" ht="3" customHeight="1">
      <c r="C107" s="785"/>
      <c r="D107" s="667"/>
      <c r="I107" s="667"/>
    </row>
    <row r="108" spans="1:10" ht="12" customHeight="1">
      <c r="A108" s="730" t="s">
        <v>3082</v>
      </c>
      <c r="C108" s="1241" t="s">
        <v>1726</v>
      </c>
    </row>
    <row r="109" spans="1:10" ht="3" customHeight="1">
      <c r="C109" s="785"/>
      <c r="E109" s="667"/>
      <c r="F109" s="667"/>
      <c r="I109" s="667"/>
    </row>
    <row r="110" spans="1:10" ht="12" customHeight="1">
      <c r="A110" s="730" t="s">
        <v>3083</v>
      </c>
      <c r="C110" s="1241" t="s">
        <v>1726</v>
      </c>
      <c r="I110" s="667"/>
    </row>
    <row r="111" spans="1:10" ht="3" customHeight="1">
      <c r="D111" s="778"/>
      <c r="I111" s="667"/>
    </row>
    <row r="112" spans="1:10" ht="12" customHeight="1">
      <c r="A112" s="730" t="s">
        <v>3084</v>
      </c>
      <c r="D112" s="791">
        <v>24</v>
      </c>
      <c r="E112" s="667" t="s">
        <v>3085</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1726</v>
      </c>
      <c r="D118" s="799"/>
      <c r="I118" s="667"/>
    </row>
    <row r="119" spans="1:10" ht="12" customHeight="1">
      <c r="C119" s="667" t="s">
        <v>3089</v>
      </c>
      <c r="D119" s="789"/>
      <c r="E119" s="3273" t="s">
        <v>3899</v>
      </c>
      <c r="F119" s="3273"/>
      <c r="G119" s="3273"/>
      <c r="H119" s="3273"/>
      <c r="I119" s="3273"/>
      <c r="J119" s="3273"/>
    </row>
    <row r="120" spans="1:10" ht="12" customHeight="1">
      <c r="C120" s="667" t="s">
        <v>3090</v>
      </c>
      <c r="D120" s="1206"/>
      <c r="E120" s="3273"/>
      <c r="F120" s="3273"/>
      <c r="G120" s="3273"/>
      <c r="H120" s="3273"/>
      <c r="I120" s="3273"/>
      <c r="J120" s="3273"/>
    </row>
    <row r="121" spans="1:10" ht="12" customHeight="1">
      <c r="C121" s="667" t="s">
        <v>3091</v>
      </c>
      <c r="D121" s="1206"/>
      <c r="E121" s="3273"/>
      <c r="F121" s="3273"/>
      <c r="G121" s="3273"/>
      <c r="H121" s="3273"/>
      <c r="I121" s="3273"/>
      <c r="J121" s="3273"/>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MVAH Development LLC</v>
      </c>
      <c r="D130" s="773" t="str">
        <f>'Sensitivity Analysis'!K11</f>
        <v>N/A</v>
      </c>
      <c r="G130" s="773" t="str">
        <f>'Sensitivity Analysis'!M11</f>
        <v>N/A</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235234.5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MVAH Management LLC</v>
      </c>
      <c r="G137" s="667"/>
      <c r="I137" s="667"/>
      <c r="J137" s="802"/>
    </row>
    <row r="138" spans="1:10" ht="3" customHeight="1">
      <c r="C138" s="773"/>
      <c r="G138" s="667"/>
      <c r="I138" s="667"/>
    </row>
    <row r="139" spans="1:10" ht="12" customHeight="1">
      <c r="A139" s="730" t="s">
        <v>3102</v>
      </c>
      <c r="C139" s="774" t="str">
        <f>C8</f>
        <v>Twin Oaks Commons LLC</v>
      </c>
      <c r="G139" s="667"/>
      <c r="I139" s="772"/>
      <c r="J139" s="803"/>
    </row>
    <row r="140" spans="1:10" ht="3" customHeight="1">
      <c r="C140" s="774"/>
      <c r="G140" s="667"/>
      <c r="I140" s="772"/>
      <c r="J140" s="803"/>
    </row>
    <row r="141" spans="1:10" ht="12" customHeight="1">
      <c r="A141" s="730" t="s">
        <v>3103</v>
      </c>
      <c r="C141" s="774" t="str">
        <f>C18</f>
        <v>9100 Centre Pointe Dr., Suite 200</v>
      </c>
      <c r="G141" s="667"/>
      <c r="I141" s="772"/>
      <c r="J141" s="803"/>
    </row>
    <row r="142" spans="1:10">
      <c r="C142" s="774" t="str">
        <f>C19</f>
        <v>West Chester, OH 45069</v>
      </c>
      <c r="G142" s="667"/>
      <c r="I142" s="772"/>
      <c r="J142" s="803"/>
    </row>
    <row r="143" spans="1:10" ht="3" customHeight="1">
      <c r="C143" s="804"/>
      <c r="G143" s="667"/>
      <c r="I143" s="772"/>
      <c r="J143" s="803"/>
    </row>
    <row r="144" spans="1:10" ht="12" customHeight="1">
      <c r="A144" s="730" t="s">
        <v>3104</v>
      </c>
      <c r="C144" s="774" t="str">
        <f>'Sensitivity Analysis'!H10</f>
        <v>PNC Bank, N.A.</v>
      </c>
      <c r="G144" s="667"/>
      <c r="I144" s="772"/>
      <c r="J144" s="802"/>
    </row>
    <row r="145" spans="1:10" ht="3" customHeight="1">
      <c r="C145" s="774"/>
      <c r="G145" s="667"/>
      <c r="I145" s="772"/>
      <c r="J145" s="803"/>
    </row>
    <row r="146" spans="1:10" ht="12" customHeight="1">
      <c r="A146" s="730" t="s">
        <v>3105</v>
      </c>
      <c r="C146" s="774" t="str">
        <f>'Sensitivity Analysis'!K10</f>
        <v>Monarch Private Capital</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3390</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1726</v>
      </c>
      <c r="D158" s="667" t="s">
        <v>3429</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3391</v>
      </c>
      <c r="E164" s="3260"/>
      <c r="F164" s="3260"/>
      <c r="G164" s="3260"/>
      <c r="I164" s="667"/>
    </row>
    <row r="165" spans="1:13" ht="3" customHeight="1">
      <c r="E165" s="667"/>
      <c r="G165" s="667"/>
      <c r="I165" s="667"/>
    </row>
    <row r="166" spans="1:13" ht="12" customHeight="1">
      <c r="A166" s="730" t="s">
        <v>3114</v>
      </c>
      <c r="C166" s="730" t="s">
        <v>3115</v>
      </c>
      <c r="E166" s="806">
        <f>'Preview term'!F71</f>
        <v>86572.647549288376</v>
      </c>
      <c r="G166" s="667"/>
      <c r="I166" s="667"/>
    </row>
    <row r="167" spans="1:13" ht="12" customHeight="1">
      <c r="C167" s="730" t="s">
        <v>3391</v>
      </c>
      <c r="E167" s="3260"/>
      <c r="F167" s="3260"/>
      <c r="G167" s="3260"/>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14000</v>
      </c>
      <c r="G170" s="667"/>
      <c r="I170" s="667"/>
    </row>
    <row r="171" spans="1:13" ht="12" customHeight="1">
      <c r="C171" s="730" t="s">
        <v>3117</v>
      </c>
      <c r="E171" s="806">
        <f>'Preview term'!F73</f>
        <v>14000</v>
      </c>
      <c r="G171" s="667"/>
      <c r="I171" s="772"/>
      <c r="J171" s="803"/>
      <c r="K171" s="803"/>
      <c r="L171" s="803"/>
      <c r="M171" s="803"/>
    </row>
    <row r="172" spans="1:13" ht="12" customHeight="1">
      <c r="C172" s="730" t="s">
        <v>3118</v>
      </c>
      <c r="E172" s="801">
        <f>'Part VI-Revenues &amp; Expenses'!Q233</f>
        <v>14000</v>
      </c>
      <c r="F172" s="772" t="s">
        <v>3119</v>
      </c>
      <c r="J172" s="803"/>
      <c r="K172" s="803"/>
      <c r="L172" s="803"/>
      <c r="M172" s="803"/>
    </row>
    <row r="173" spans="1:13">
      <c r="E173" s="806">
        <f>E172/12</f>
        <v>1166.6666666666667</v>
      </c>
      <c r="F173" s="667" t="s">
        <v>2971</v>
      </c>
    </row>
    <row r="174" spans="1:13" ht="12" customHeight="1">
      <c r="C174" s="730" t="s">
        <v>3392</v>
      </c>
      <c r="E174" s="3260"/>
      <c r="F174" s="3260"/>
      <c r="G174" s="3260"/>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1726</v>
      </c>
      <c r="F178" s="807"/>
      <c r="I178" s="667"/>
    </row>
    <row r="179" spans="1:10" ht="12" customHeight="1">
      <c r="C179" s="730" t="s">
        <v>3122</v>
      </c>
      <c r="E179" s="793" t="s">
        <v>1726</v>
      </c>
      <c r="F179" s="3260"/>
      <c r="G179" s="3260"/>
      <c r="H179" s="3260"/>
      <c r="I179" s="3260"/>
      <c r="J179" s="3260"/>
    </row>
    <row r="180" spans="1:10" ht="12" customHeight="1">
      <c r="C180" s="730" t="s">
        <v>3393</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37754</v>
      </c>
      <c r="G183" s="667"/>
      <c r="I183" s="667"/>
    </row>
    <row r="184" spans="1:10" ht="12" customHeight="1">
      <c r="C184" s="730" t="s">
        <v>3391</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3391</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1726</v>
      </c>
      <c r="E195" s="667"/>
      <c r="F195" s="667"/>
      <c r="I195" s="667"/>
    </row>
    <row r="196" spans="1:10" ht="3" customHeight="1">
      <c r="G196" s="667"/>
      <c r="H196" s="667"/>
      <c r="I196" s="667"/>
    </row>
    <row r="197" spans="1:10">
      <c r="A197" s="779" t="s">
        <v>3395</v>
      </c>
      <c r="B197" s="779"/>
      <c r="C197" s="779"/>
      <c r="D197" s="779"/>
      <c r="E197" s="784" t="s">
        <v>3394</v>
      </c>
      <c r="F197" s="3272" t="str">
        <f>'Part VIII-Threshold Criteria'!E391</f>
        <v>N/A</v>
      </c>
      <c r="G197" s="3272"/>
      <c r="H197" s="3272"/>
      <c r="I197" s="3272"/>
      <c r="J197" s="3272"/>
    </row>
    <row r="198" spans="1:10" ht="9" customHeight="1">
      <c r="G198" s="667"/>
      <c r="H198" s="667"/>
      <c r="I198" s="667"/>
    </row>
    <row r="199" spans="1:10" ht="12" customHeight="1">
      <c r="A199" s="808" t="s">
        <v>3212</v>
      </c>
      <c r="G199" s="667"/>
      <c r="H199" s="667"/>
      <c r="I199" s="792"/>
    </row>
    <row r="200" spans="1:10" ht="25.5" hidden="1" customHeight="1">
      <c r="A200" s="3261" t="str">
        <f>'Subsidy Layering Memo'!A98</f>
        <v>Include any reserve requirements; explain any reserves far in excess of 6 month ODR, 3 mo lease up, 1 year RR, 6 mo T&amp;I standards.</v>
      </c>
      <c r="B200" s="3261"/>
      <c r="C200" s="3261"/>
      <c r="D200" s="3261"/>
      <c r="E200" s="3261"/>
      <c r="F200" s="3261"/>
      <c r="G200" s="3261"/>
      <c r="H200" s="3261"/>
      <c r="I200" s="3261"/>
      <c r="J200" s="3261"/>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62" t="s">
        <v>2837</v>
      </c>
      <c r="B204" s="3262"/>
      <c r="C204" s="3262"/>
      <c r="D204" s="3262"/>
      <c r="E204" s="3262"/>
      <c r="F204" s="3262"/>
      <c r="G204" s="3262"/>
      <c r="H204" s="3262"/>
      <c r="I204" s="3262"/>
      <c r="J204" s="3262"/>
    </row>
    <row r="205" spans="1:10">
      <c r="A205" s="667" t="s">
        <v>2838</v>
      </c>
      <c r="G205" s="667"/>
      <c r="H205" s="667"/>
      <c r="I205" s="667"/>
    </row>
    <row r="206" spans="1:10" ht="38.25" customHeight="1">
      <c r="A206" s="3262" t="str">
        <f>'Subsidy Layering Memo'!A37&amp;".  "&amp;'Subsidy Layering Memo'!A38</f>
        <v xml:space="preserve">.  </v>
      </c>
      <c r="B206" s="3269"/>
      <c r="C206" s="3269"/>
      <c r="D206" s="3269"/>
      <c r="E206" s="3269"/>
      <c r="F206" s="3269"/>
      <c r="G206" s="3269"/>
      <c r="H206" s="3269"/>
      <c r="I206" s="3269"/>
      <c r="J206" s="3269"/>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21" t="str">
        <f>'Part I-Project Information'!F34</f>
        <v>Twin Oaks Commons</v>
      </c>
      <c r="E3" s="3322"/>
      <c r="F3" s="3322"/>
      <c r="G3" s="3322"/>
      <c r="H3" s="3322"/>
      <c r="I3" s="3322"/>
      <c r="J3" s="3327" t="s">
        <v>4642</v>
      </c>
      <c r="K3" s="3328"/>
    </row>
    <row r="4" spans="1:11" ht="15" customHeight="1">
      <c r="A4" s="1633" t="s">
        <v>4640</v>
      </c>
      <c r="B4" s="1634"/>
      <c r="C4" s="1635"/>
      <c r="D4" s="3323" t="str">
        <f>CONCATENATE('Part I-Project Information'!F35,", ",'Part I-Project Information'!F38,", GA ",'Part I-Project Information'!J38," (",'Part I-Project Information'!J39," Co.)",)</f>
        <v>158 Twin Oaks Dr., Ludowici, GA 313160000 (Long Co.)</v>
      </c>
      <c r="E4" s="3324"/>
      <c r="F4" s="3324"/>
      <c r="G4" s="3324"/>
      <c r="H4" s="3324"/>
      <c r="I4" s="3324"/>
      <c r="J4" s="3329" t="s">
        <v>4681</v>
      </c>
      <c r="K4" s="3330"/>
    </row>
    <row r="5" spans="1:11" ht="15" customHeight="1" thickBot="1">
      <c r="A5" s="1636" t="s">
        <v>4641</v>
      </c>
      <c r="B5" s="1637"/>
      <c r="C5" s="1638"/>
      <c r="D5" s="3325"/>
      <c r="E5" s="3326"/>
      <c r="F5" s="3326"/>
      <c r="G5" s="3326"/>
      <c r="H5" s="3326"/>
      <c r="I5" s="3326"/>
      <c r="J5" s="3331"/>
      <c r="K5" s="3332"/>
    </row>
    <row r="6" spans="1:11" ht="9" customHeight="1" thickBot="1">
      <c r="E6" s="1628"/>
    </row>
    <row r="7" spans="1:11">
      <c r="A7" s="3318" t="s">
        <v>4643</v>
      </c>
      <c r="B7" s="3319"/>
      <c r="C7" s="3319"/>
      <c r="D7" s="3319"/>
      <c r="E7" s="3319"/>
      <c r="F7" s="3319"/>
      <c r="G7" s="3319"/>
      <c r="H7" s="3319"/>
      <c r="I7" s="3319"/>
      <c r="J7" s="3319"/>
      <c r="K7" s="3320"/>
    </row>
    <row r="8" spans="1:11" ht="14.25" customHeight="1">
      <c r="A8" s="1654"/>
      <c r="B8" s="1654"/>
      <c r="C8" s="1676">
        <v>1</v>
      </c>
      <c r="D8" s="1655" t="s">
        <v>4644</v>
      </c>
      <c r="E8" s="1655"/>
      <c r="F8" s="1655"/>
      <c r="G8" s="1655"/>
      <c r="H8" s="1655"/>
      <c r="I8" s="1655"/>
      <c r="J8" s="1655"/>
      <c r="K8" s="1656"/>
    </row>
    <row r="9" spans="1:11" ht="7.2" customHeight="1">
      <c r="A9" s="3313"/>
      <c r="B9" s="3313"/>
      <c r="C9" s="3313"/>
      <c r="D9" s="3314"/>
      <c r="E9" s="3314"/>
      <c r="F9" s="3314"/>
      <c r="G9" s="3314"/>
      <c r="H9" s="3314"/>
      <c r="I9" s="3314"/>
      <c r="J9" s="3314"/>
      <c r="K9" s="1657"/>
    </row>
    <row r="10" spans="1:11">
      <c r="A10" s="3277" t="s">
        <v>4645</v>
      </c>
      <c r="B10" s="3278"/>
      <c r="C10" s="3278"/>
      <c r="D10" s="3278"/>
      <c r="E10" s="3278"/>
      <c r="F10" s="3278"/>
      <c r="G10" s="3278"/>
      <c r="H10" s="3278"/>
      <c r="I10" s="3278"/>
      <c r="J10" s="3278"/>
      <c r="K10" s="3279"/>
    </row>
    <row r="11" spans="1:11" ht="14.25" customHeight="1">
      <c r="A11" s="1654"/>
      <c r="B11" s="1654"/>
      <c r="C11" s="1676">
        <v>2</v>
      </c>
      <c r="D11" s="1655" t="s">
        <v>4646</v>
      </c>
      <c r="E11" s="1658"/>
      <c r="F11" s="1658"/>
      <c r="G11" s="1658"/>
      <c r="H11" s="1658"/>
      <c r="I11" s="1658"/>
      <c r="J11" s="1658"/>
      <c r="K11" s="1659"/>
    </row>
    <row r="12" spans="1:11" ht="7.2" customHeight="1">
      <c r="A12" s="3313"/>
      <c r="B12" s="3313"/>
      <c r="C12" s="3313"/>
      <c r="D12" s="3314"/>
      <c r="E12" s="3314"/>
      <c r="F12" s="3314"/>
      <c r="G12" s="3314"/>
      <c r="H12" s="3314"/>
      <c r="I12" s="3314"/>
      <c r="J12" s="3314"/>
      <c r="K12" s="1660"/>
    </row>
    <row r="13" spans="1:11">
      <c r="A13" s="3277" t="s">
        <v>4647</v>
      </c>
      <c r="B13" s="3278"/>
      <c r="C13" s="3278"/>
      <c r="D13" s="3278"/>
      <c r="E13" s="3278"/>
      <c r="F13" s="3278"/>
      <c r="G13" s="3278"/>
      <c r="H13" s="3278"/>
      <c r="I13" s="3278"/>
      <c r="J13" s="3278"/>
      <c r="K13" s="3279"/>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13"/>
      <c r="B18" s="3313"/>
      <c r="C18" s="3313"/>
      <c r="D18" s="3314"/>
      <c r="E18" s="3314"/>
      <c r="F18" s="3314"/>
      <c r="G18" s="3314"/>
      <c r="H18" s="3314"/>
      <c r="I18" s="3314"/>
      <c r="J18" s="3314"/>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13"/>
      <c r="B21" s="3313"/>
      <c r="C21" s="3313"/>
      <c r="D21" s="3314"/>
      <c r="E21" s="3314"/>
      <c r="F21" s="3314"/>
      <c r="G21" s="3314"/>
      <c r="H21" s="3314"/>
      <c r="I21" s="3314"/>
      <c r="J21" s="3314"/>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80" t="s">
        <v>4687</v>
      </c>
      <c r="B30" s="3281"/>
      <c r="C30" s="3281"/>
      <c r="D30" s="3281"/>
      <c r="E30" s="3281"/>
      <c r="F30" s="3281"/>
      <c r="G30" s="3281"/>
      <c r="H30" s="3281"/>
      <c r="I30" s="3281"/>
      <c r="J30" s="3281"/>
      <c r="K30" s="3282"/>
    </row>
    <row r="31" spans="1:13">
      <c r="A31" s="1652"/>
      <c r="B31" s="3283" t="s">
        <v>4642</v>
      </c>
      <c r="C31" s="3283"/>
      <c r="D31" s="3283"/>
      <c r="E31" s="3283"/>
      <c r="F31" s="3283"/>
      <c r="G31" s="3315" t="s">
        <v>4656</v>
      </c>
      <c r="H31" s="3316"/>
      <c r="I31" s="3316"/>
      <c r="J31" s="3316"/>
      <c r="K31" s="3317"/>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275" t="s">
        <v>4661</v>
      </c>
      <c r="M32" s="3275"/>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75"/>
      <c r="M33" s="3275"/>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75"/>
      <c r="M34" s="3275"/>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75"/>
      <c r="M35" s="3275"/>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75"/>
      <c r="M36" s="3275"/>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75"/>
      <c r="M37" s="3275"/>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75"/>
      <c r="M38" s="3275"/>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75"/>
      <c r="M39" s="3275"/>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75"/>
      <c r="M40" s="3275"/>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75"/>
      <c r="M41" s="3275"/>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75"/>
      <c r="M42" s="3275"/>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75"/>
      <c r="M43" s="3275"/>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75"/>
      <c r="M44" s="3275"/>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75"/>
      <c r="M45" s="3275"/>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75"/>
      <c r="M46" s="3275"/>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75"/>
      <c r="M47" s="3275"/>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75"/>
      <c r="M48" s="3275"/>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75"/>
      <c r="M49" s="3275"/>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75"/>
      <c r="M50" s="3275"/>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75"/>
      <c r="M51" s="3275"/>
    </row>
    <row r="52" spans="1:13" ht="15" customHeight="1" thickBot="1">
      <c r="A52" s="1652"/>
      <c r="B52" s="1673"/>
      <c r="D52" s="1661"/>
      <c r="E52" s="1661"/>
      <c r="F52" s="1661"/>
      <c r="G52" s="1686" t="s">
        <v>4662</v>
      </c>
      <c r="H52" s="1685" t="e">
        <f>SUM(H33:H51)</f>
        <v>#VALUE!</v>
      </c>
      <c r="I52" s="1661"/>
      <c r="J52" s="1673" t="s">
        <v>4663</v>
      </c>
      <c r="K52" s="1669" t="e">
        <f>SUM(K33:K51)</f>
        <v>#VALUE!</v>
      </c>
      <c r="L52" s="3275"/>
      <c r="M52" s="3275"/>
    </row>
    <row r="53" spans="1:13" ht="15" customHeight="1">
      <c r="A53" s="1652"/>
      <c r="B53" s="1674"/>
      <c r="C53" s="3297" t="s">
        <v>4664</v>
      </c>
      <c r="D53" s="3297"/>
      <c r="E53" s="3297"/>
      <c r="F53" s="3297"/>
      <c r="G53" s="3297"/>
      <c r="H53" s="3297"/>
      <c r="I53" s="3297"/>
      <c r="J53" s="3298"/>
      <c r="K53" s="1675" t="str">
        <f>IF(K17="no",0,IF(K17="yes",K16,"Error"))</f>
        <v>Error</v>
      </c>
      <c r="L53" s="3275"/>
      <c r="M53" s="3275"/>
    </row>
    <row r="54" spans="1:13" ht="15" customHeight="1" thickBot="1">
      <c r="A54" s="1652"/>
      <c r="B54" s="1674"/>
      <c r="C54" s="3299" t="s">
        <v>4665</v>
      </c>
      <c r="D54" s="3299"/>
      <c r="E54" s="3299"/>
      <c r="F54" s="3299"/>
      <c r="G54" s="3299"/>
      <c r="H54" s="3299"/>
      <c r="I54" s="3299"/>
      <c r="J54" s="3300"/>
      <c r="K54" s="1688" t="e">
        <f>K52+K53</f>
        <v>#VALUE!</v>
      </c>
    </row>
    <row r="55" spans="1:13" ht="7.95" customHeight="1">
      <c r="A55" s="3301"/>
      <c r="B55" s="3292"/>
      <c r="C55" s="3292"/>
      <c r="D55" s="3292"/>
      <c r="E55" s="3292"/>
      <c r="F55" s="3292"/>
      <c r="G55" s="3292"/>
      <c r="H55" s="3292"/>
      <c r="I55" s="3292"/>
      <c r="J55" s="3292"/>
      <c r="K55" s="1702"/>
    </row>
    <row r="56" spans="1:13" ht="15" customHeight="1">
      <c r="A56" s="3284" t="s">
        <v>4666</v>
      </c>
      <c r="B56" s="3285"/>
      <c r="C56" s="3285"/>
      <c r="D56" s="3285"/>
      <c r="E56" s="3285"/>
      <c r="F56" s="3285"/>
      <c r="G56" s="3285"/>
      <c r="H56" s="3285"/>
      <c r="I56" s="3285"/>
      <c r="J56" s="3285"/>
      <c r="K56" s="3286"/>
    </row>
    <row r="57" spans="1:13" ht="48" customHeight="1">
      <c r="A57" s="1649"/>
      <c r="B57" s="1640"/>
      <c r="C57" s="1651" t="s">
        <v>4667</v>
      </c>
      <c r="D57" s="2017" t="s">
        <v>6834</v>
      </c>
      <c r="E57" s="3302" t="s">
        <v>4683</v>
      </c>
      <c r="F57" s="3303"/>
      <c r="G57" s="3304" t="s">
        <v>4668</v>
      </c>
      <c r="H57" s="3305"/>
      <c r="I57" s="3302" t="s">
        <v>4682</v>
      </c>
      <c r="J57" s="3303"/>
      <c r="K57" s="3306"/>
    </row>
    <row r="58" spans="1:13" ht="15" customHeight="1">
      <c r="A58" s="1805"/>
      <c r="B58" s="2014"/>
      <c r="C58" s="1670">
        <f>SUMIF(C33:C51, "0", H33:H51)</f>
        <v>0</v>
      </c>
      <c r="D58" s="2018">
        <f>ROUNDUP(C58*1.1,0)</f>
        <v>0</v>
      </c>
      <c r="E58" s="3308" t="s">
        <v>4669</v>
      </c>
      <c r="F58" s="3309"/>
      <c r="G58" s="3310">
        <f>62445*2.4</f>
        <v>149868</v>
      </c>
      <c r="H58" s="3311"/>
      <c r="I58" s="3312">
        <f t="shared" ref="I58:I63" si="6">D58*G58</f>
        <v>0</v>
      </c>
      <c r="J58" s="3312"/>
      <c r="K58" s="3307"/>
    </row>
    <row r="59" spans="1:13">
      <c r="A59" s="1805"/>
      <c r="B59" s="2014"/>
      <c r="C59" s="1671">
        <f>SUMIF(C33:C51, "1", H33:H51)</f>
        <v>0</v>
      </c>
      <c r="D59" s="2019">
        <f t="shared" ref="D59:D63" si="7">ROUNDUP(C59*1.1,0)</f>
        <v>0</v>
      </c>
      <c r="E59" s="3293" t="s">
        <v>2630</v>
      </c>
      <c r="F59" s="3294"/>
      <c r="G59" s="3295">
        <f>71584*2.4</f>
        <v>171801.60000000001</v>
      </c>
      <c r="H59" s="3296"/>
      <c r="I59" s="3274">
        <f t="shared" si="6"/>
        <v>0</v>
      </c>
      <c r="J59" s="3274"/>
      <c r="K59" s="3307"/>
    </row>
    <row r="60" spans="1:13" ht="15" customHeight="1">
      <c r="A60" s="1805"/>
      <c r="B60" s="2014"/>
      <c r="C60" s="1671">
        <f>SUMIF(C33:C51, "2", H33:H51)</f>
        <v>0</v>
      </c>
      <c r="D60" s="2019">
        <f t="shared" si="7"/>
        <v>0</v>
      </c>
      <c r="E60" s="3293" t="s">
        <v>2631</v>
      </c>
      <c r="F60" s="3294"/>
      <c r="G60" s="3295">
        <f>87047*2.4</f>
        <v>208912.8</v>
      </c>
      <c r="H60" s="3296"/>
      <c r="I60" s="3274">
        <f t="shared" si="6"/>
        <v>0</v>
      </c>
      <c r="J60" s="3274"/>
      <c r="K60" s="3307"/>
    </row>
    <row r="61" spans="1:13">
      <c r="A61" s="1805"/>
      <c r="B61" s="2014"/>
      <c r="C61" s="1671">
        <f>SUMIF(C33:C51, "3", H33:H51)</f>
        <v>0</v>
      </c>
      <c r="D61" s="2019">
        <f t="shared" si="7"/>
        <v>0</v>
      </c>
      <c r="E61" s="3293" t="s">
        <v>2634</v>
      </c>
      <c r="F61" s="3294"/>
      <c r="G61" s="3295">
        <f>112611*2.4</f>
        <v>270266.39999999997</v>
      </c>
      <c r="H61" s="3296"/>
      <c r="I61" s="3274">
        <f t="shared" si="6"/>
        <v>0</v>
      </c>
      <c r="J61" s="3274"/>
      <c r="K61" s="3307"/>
    </row>
    <row r="62" spans="1:13">
      <c r="A62" s="1805"/>
      <c r="B62" s="2014"/>
      <c r="C62" s="1671">
        <f>SUMIF(C33:C51, "4", H33:H51)</f>
        <v>0</v>
      </c>
      <c r="D62" s="2019">
        <f t="shared" si="7"/>
        <v>0</v>
      </c>
      <c r="E62" s="3293" t="s">
        <v>4670</v>
      </c>
      <c r="F62" s="3294"/>
      <c r="G62" s="3295">
        <f>123611*2.4</f>
        <v>296666.39999999997</v>
      </c>
      <c r="H62" s="3296"/>
      <c r="I62" s="3274">
        <f t="shared" si="6"/>
        <v>0</v>
      </c>
      <c r="J62" s="3274"/>
      <c r="K62" s="3307"/>
    </row>
    <row r="63" spans="1:13">
      <c r="A63" s="2015"/>
      <c r="B63" s="2016"/>
      <c r="C63" s="1672">
        <f>SUMIF(C33:C51, "5", H33:H51)</f>
        <v>0</v>
      </c>
      <c r="D63" s="2020">
        <f t="shared" si="7"/>
        <v>0</v>
      </c>
      <c r="E63" s="3287" t="s">
        <v>4671</v>
      </c>
      <c r="F63" s="3288"/>
      <c r="G63" s="3289">
        <f>123611*2.4</f>
        <v>296666.39999999997</v>
      </c>
      <c r="H63" s="3290"/>
      <c r="I63" s="3291">
        <f t="shared" si="6"/>
        <v>0</v>
      </c>
      <c r="J63" s="3291"/>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292"/>
      <c r="B65" s="3292"/>
      <c r="C65" s="3292"/>
      <c r="D65" s="3292"/>
      <c r="E65" s="3292"/>
      <c r="F65" s="3292"/>
      <c r="G65" s="3292"/>
      <c r="H65" s="3292"/>
      <c r="I65" s="3292"/>
      <c r="J65" s="3292"/>
    </row>
    <row r="66" spans="1:11">
      <c r="A66" s="3284" t="s">
        <v>4674</v>
      </c>
      <c r="B66" s="3285"/>
      <c r="C66" s="3285"/>
      <c r="D66" s="3285"/>
      <c r="E66" s="3285"/>
      <c r="F66" s="3285"/>
      <c r="G66" s="3285"/>
      <c r="H66" s="3285"/>
      <c r="I66" s="3285"/>
      <c r="J66" s="3285"/>
      <c r="K66" s="3286"/>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276" t="s">
        <v>4678</v>
      </c>
      <c r="D70" s="3276"/>
      <c r="E70" s="3276"/>
      <c r="F70" s="3276"/>
      <c r="G70" s="3276"/>
      <c r="H70" s="3276"/>
      <c r="I70" s="3276"/>
      <c r="J70" s="3276"/>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Twin Oaks Commons</v>
      </c>
    </row>
    <row r="2" spans="1:11">
      <c r="A2" s="667" t="s">
        <v>3131</v>
      </c>
      <c r="H2" s="730" t="str">
        <f>'Sensitivity Analysis'!E8</f>
        <v>2020-050</v>
      </c>
    </row>
    <row r="3" spans="1:11" ht="3" customHeight="1"/>
    <row r="4" spans="1:11" ht="51.75" customHeight="1">
      <c r="A4" s="3269" t="s">
        <v>3229</v>
      </c>
      <c r="B4" s="3269"/>
      <c r="C4" s="3269"/>
      <c r="D4" s="3269"/>
      <c r="E4" s="3269"/>
      <c r="F4" s="3269"/>
      <c r="G4" s="3269"/>
      <c r="H4" s="3269"/>
      <c r="J4" s="1218">
        <f>SUM('Part VII-Pro Forma'!B14:B16)/12</f>
        <v>17875.418399999999</v>
      </c>
      <c r="K4" s="1217" t="s">
        <v>4103</v>
      </c>
    </row>
    <row r="5" spans="1:11" ht="1.5" customHeight="1">
      <c r="C5" s="809"/>
      <c r="D5" s="809"/>
      <c r="E5" s="809"/>
      <c r="F5" s="809"/>
      <c r="G5" s="809"/>
      <c r="H5" s="809"/>
    </row>
    <row r="6" spans="1:11" ht="12.75" customHeight="1">
      <c r="B6" s="810" t="s">
        <v>2370</v>
      </c>
      <c r="C6" s="3269" t="s">
        <v>3132</v>
      </c>
      <c r="D6" s="3269"/>
      <c r="E6" s="3269"/>
      <c r="F6" s="3269"/>
      <c r="G6" s="3269"/>
      <c r="H6" s="3269"/>
    </row>
    <row r="7" spans="1:11" ht="12.75" customHeight="1">
      <c r="B7" s="810" t="s">
        <v>2371</v>
      </c>
      <c r="C7" s="3269" t="s">
        <v>3133</v>
      </c>
      <c r="D7" s="3269"/>
      <c r="E7" s="3269"/>
      <c r="F7" s="3269"/>
      <c r="G7" s="3269"/>
      <c r="H7" s="3269"/>
    </row>
    <row r="8" spans="1:11" ht="3" customHeight="1"/>
    <row r="9" spans="1:11">
      <c r="A9" s="730" t="s">
        <v>3134</v>
      </c>
    </row>
    <row r="10" spans="1:11" ht="1.5" customHeight="1"/>
    <row r="11" spans="1:11" ht="26.25" customHeight="1">
      <c r="A11" s="811" t="s">
        <v>1934</v>
      </c>
      <c r="B11" s="3338" t="s">
        <v>3226</v>
      </c>
      <c r="C11" s="3338"/>
      <c r="D11" s="3338"/>
      <c r="E11" s="3338"/>
      <c r="F11" s="3338"/>
      <c r="G11" s="3339">
        <f>'Part III-Sources of Funds'!I49+'Part III-Sources of Funds'!I50</f>
        <v>5287170</v>
      </c>
      <c r="H11" s="3339"/>
    </row>
    <row r="12" spans="1:11" ht="1.5" customHeight="1">
      <c r="G12" s="779"/>
      <c r="H12" s="779"/>
    </row>
    <row r="13" spans="1:11" ht="26.25" customHeight="1">
      <c r="A13" s="811" t="s">
        <v>1936</v>
      </c>
      <c r="B13" s="3338" t="s">
        <v>3227</v>
      </c>
      <c r="C13" s="3338"/>
      <c r="D13" s="3338"/>
      <c r="E13" s="3338"/>
      <c r="F13" s="3338"/>
      <c r="G13" s="3340" t="s">
        <v>3060</v>
      </c>
      <c r="H13" s="3340"/>
    </row>
    <row r="14" spans="1:11" ht="12" hidden="1" customHeight="1">
      <c r="A14" s="811"/>
      <c r="B14" s="3258"/>
      <c r="C14" s="3258"/>
      <c r="D14" s="3258"/>
      <c r="E14" s="3258"/>
      <c r="F14" s="3258"/>
      <c r="G14" s="3258"/>
      <c r="H14" s="3258"/>
    </row>
    <row r="15" spans="1:11" ht="1.5" customHeight="1"/>
    <row r="16" spans="1:11" ht="12" customHeight="1">
      <c r="A16" s="811" t="s">
        <v>730</v>
      </c>
      <c r="B16" s="730" t="s">
        <v>3230</v>
      </c>
      <c r="F16" s="803"/>
      <c r="G16" s="3255" t="s">
        <v>2886</v>
      </c>
      <c r="H16" s="3255"/>
    </row>
    <row r="17" spans="1:8" ht="1.5" customHeight="1">
      <c r="G17" s="785"/>
    </row>
    <row r="18" spans="1:8" ht="12" customHeight="1">
      <c r="A18" s="811" t="s">
        <v>2063</v>
      </c>
      <c r="B18" s="779" t="s">
        <v>3228</v>
      </c>
      <c r="C18" s="811"/>
      <c r="D18" s="811"/>
      <c r="E18" s="811"/>
      <c r="G18" s="3258" t="s">
        <v>2726</v>
      </c>
      <c r="H18" s="3258"/>
    </row>
    <row r="19" spans="1:8" ht="12" hidden="1" customHeight="1">
      <c r="B19" s="3258"/>
      <c r="C19" s="3258"/>
      <c r="D19" s="3258"/>
      <c r="E19" s="3258"/>
      <c r="F19" s="3258"/>
      <c r="G19" s="3258"/>
      <c r="H19" s="3258"/>
    </row>
    <row r="20" spans="1:8" ht="13.5" customHeight="1"/>
    <row r="21" spans="1:8" ht="12" customHeight="1">
      <c r="A21" s="667" t="s">
        <v>3135</v>
      </c>
    </row>
    <row r="22" spans="1:8" ht="3" customHeight="1"/>
    <row r="23" spans="1:8" ht="24.75" customHeight="1">
      <c r="A23" s="3341" t="s">
        <v>4819</v>
      </c>
      <c r="B23" s="3341"/>
      <c r="C23" s="3341"/>
      <c r="D23" s="3341"/>
      <c r="E23" s="3341"/>
      <c r="F23" s="3341"/>
      <c r="G23" s="3341"/>
      <c r="H23" s="3341"/>
    </row>
    <row r="24" spans="1:8" ht="9" customHeight="1" thickBot="1">
      <c r="A24" s="752"/>
    </row>
    <row r="25" spans="1:8" ht="16.2" customHeight="1" thickBot="1">
      <c r="A25" s="3333">
        <v>20</v>
      </c>
      <c r="B25" s="3334"/>
      <c r="C25" s="1789" t="s">
        <v>1017</v>
      </c>
    </row>
    <row r="26" spans="1:8" ht="9" customHeight="1">
      <c r="A26" s="752"/>
    </row>
    <row r="27" spans="1:8" ht="28.2" customHeight="1">
      <c r="A27" s="3337" t="s">
        <v>4824</v>
      </c>
      <c r="B27" s="3337"/>
      <c r="C27" s="3337"/>
      <c r="D27" s="3337"/>
      <c r="E27" s="3337"/>
      <c r="F27" s="3337"/>
      <c r="G27" s="3337"/>
      <c r="H27" s="3337"/>
    </row>
    <row r="28" spans="1:8" ht="9" customHeight="1">
      <c r="A28" s="752"/>
    </row>
    <row r="29" spans="1:8">
      <c r="A29" s="785" t="s">
        <v>3231</v>
      </c>
      <c r="B29" s="812" t="str">
        <f>IF('Part VI-Revenues &amp; Expenses'!$K$62=0,"",'Part VI-Revenues &amp; Expenses'!$K$62)</f>
        <v/>
      </c>
      <c r="C29" s="785" t="s">
        <v>4817</v>
      </c>
      <c r="D29" s="813" t="s">
        <v>4818</v>
      </c>
    </row>
    <row r="30" spans="1:8" ht="1.95" customHeight="1"/>
    <row r="31" spans="1:8" ht="12.75" customHeight="1">
      <c r="C31" s="779" t="s">
        <v>3136</v>
      </c>
      <c r="D31" s="814" t="s">
        <v>1937</v>
      </c>
      <c r="E31" s="815"/>
      <c r="F31" s="3269" t="s">
        <v>3137</v>
      </c>
      <c r="G31" s="3269"/>
      <c r="H31" s="3269"/>
    </row>
    <row r="32" spans="1:8" ht="12.75" customHeight="1">
      <c r="C32" s="816" t="s">
        <v>1325</v>
      </c>
      <c r="D32" s="814" t="s">
        <v>1939</v>
      </c>
      <c r="E32" s="3269" t="s">
        <v>3236</v>
      </c>
      <c r="F32" s="3269"/>
      <c r="G32" s="3269"/>
      <c r="H32" s="3269"/>
    </row>
    <row r="33" spans="1:11" ht="12.75" customHeight="1">
      <c r="C33" s="1787" t="s">
        <v>4822</v>
      </c>
      <c r="E33" s="3269" t="s">
        <v>3397</v>
      </c>
      <c r="F33" s="3269"/>
      <c r="G33" s="3269"/>
      <c r="H33" s="3269"/>
    </row>
    <row r="34" spans="1:11" ht="12.75" customHeight="1">
      <c r="C34" s="1788"/>
      <c r="D34" s="1786" t="s">
        <v>3235</v>
      </c>
      <c r="E34" s="3335" t="s">
        <v>3398</v>
      </c>
      <c r="F34" s="3335"/>
      <c r="G34" s="3335"/>
      <c r="H34" s="3335"/>
    </row>
    <row r="35" spans="1:11" ht="3" customHeight="1">
      <c r="D35" s="814"/>
      <c r="E35" s="1784"/>
      <c r="F35" s="1784"/>
      <c r="G35" s="1784"/>
      <c r="H35" s="1784"/>
    </row>
    <row r="36" spans="1:11" ht="12.75" customHeight="1">
      <c r="C36" s="779" t="s">
        <v>3136</v>
      </c>
      <c r="D36" s="814" t="s">
        <v>1937</v>
      </c>
      <c r="E36" s="815"/>
      <c r="F36" s="811" t="s">
        <v>3137</v>
      </c>
      <c r="G36" s="811"/>
      <c r="H36" s="811"/>
    </row>
    <row r="37" spans="1:11" ht="12.75" customHeight="1">
      <c r="C37" s="816" t="s">
        <v>1325</v>
      </c>
      <c r="D37" s="814" t="s">
        <v>1939</v>
      </c>
      <c r="E37" s="3269" t="s">
        <v>3236</v>
      </c>
      <c r="F37" s="3269"/>
      <c r="G37" s="3269"/>
      <c r="H37" s="3269"/>
    </row>
    <row r="38" spans="1:11" ht="12.75" customHeight="1">
      <c r="C38" s="1787" t="s">
        <v>4822</v>
      </c>
      <c r="E38" s="3269" t="s">
        <v>3397</v>
      </c>
      <c r="F38" s="3269"/>
      <c r="G38" s="3269"/>
      <c r="H38" s="3269"/>
    </row>
    <row r="39" spans="1:11" ht="12.75" customHeight="1">
      <c r="C39" s="1788"/>
      <c r="D39" s="1786" t="s">
        <v>3235</v>
      </c>
      <c r="E39" s="3335" t="s">
        <v>3398</v>
      </c>
      <c r="F39" s="3335"/>
      <c r="G39" s="3335"/>
      <c r="H39" s="3335"/>
    </row>
    <row r="40" spans="1:11" ht="3" customHeight="1">
      <c r="D40" s="814"/>
      <c r="E40" s="1784"/>
      <c r="F40" s="1784"/>
      <c r="G40" s="1784"/>
      <c r="H40" s="1784"/>
    </row>
    <row r="41" spans="1:11" ht="12.75" customHeight="1">
      <c r="C41" s="779" t="s">
        <v>3136</v>
      </c>
      <c r="D41" s="814" t="s">
        <v>1937</v>
      </c>
      <c r="E41" s="815"/>
      <c r="F41" s="811" t="s">
        <v>3137</v>
      </c>
      <c r="G41" s="811"/>
      <c r="H41" s="811"/>
    </row>
    <row r="42" spans="1:11" ht="12.75" customHeight="1">
      <c r="C42" s="816" t="s">
        <v>1325</v>
      </c>
      <c r="D42" s="814" t="s">
        <v>1939</v>
      </c>
      <c r="E42" s="3269" t="s">
        <v>3236</v>
      </c>
      <c r="F42" s="3269"/>
      <c r="G42" s="3269"/>
      <c r="H42" s="3269"/>
    </row>
    <row r="43" spans="1:11" ht="12.75" customHeight="1">
      <c r="C43" s="1787" t="s">
        <v>4822</v>
      </c>
      <c r="E43" s="3269" t="s">
        <v>3397</v>
      </c>
      <c r="F43" s="3269"/>
      <c r="G43" s="3269"/>
      <c r="H43" s="3269"/>
    </row>
    <row r="44" spans="1:11" ht="12.75" customHeight="1">
      <c r="C44" s="1788"/>
      <c r="D44" s="1786" t="s">
        <v>3235</v>
      </c>
      <c r="E44" s="3335" t="s">
        <v>3398</v>
      </c>
      <c r="F44" s="3335"/>
      <c r="G44" s="3335"/>
      <c r="H44" s="3335"/>
    </row>
    <row r="45" spans="1:11" ht="6" customHeight="1">
      <c r="D45" s="814"/>
      <c r="E45" s="1784"/>
      <c r="F45" s="1784"/>
      <c r="G45" s="1784"/>
      <c r="H45" s="1784"/>
    </row>
    <row r="46" spans="1:11">
      <c r="A46" s="785" t="s">
        <v>3231</v>
      </c>
      <c r="B46" s="812" t="str">
        <f>IF('Part VI-Revenues &amp; Expenses'!$L$62=0,"",'Part VI-Revenues &amp; Expenses'!$L$62)</f>
        <v/>
      </c>
      <c r="C46" s="785" t="s">
        <v>3232</v>
      </c>
      <c r="D46" s="813" t="s">
        <v>3399</v>
      </c>
    </row>
    <row r="47" spans="1:11" ht="1.95" customHeight="1">
      <c r="K47" s="1803"/>
    </row>
    <row r="48" spans="1:11" ht="12.75" customHeight="1">
      <c r="C48" s="779" t="s">
        <v>3136</v>
      </c>
      <c r="D48" s="814" t="s">
        <v>1937</v>
      </c>
      <c r="E48" s="815"/>
      <c r="F48" s="811" t="s">
        <v>3137</v>
      </c>
      <c r="G48" s="811"/>
      <c r="H48" s="811"/>
      <c r="K48" s="1803"/>
    </row>
    <row r="49" spans="1:11" ht="12.75" customHeight="1">
      <c r="C49" s="816" t="s">
        <v>1325</v>
      </c>
      <c r="D49" s="814" t="s">
        <v>1939</v>
      </c>
      <c r="E49" s="3269" t="s">
        <v>3236</v>
      </c>
      <c r="F49" s="3269"/>
      <c r="G49" s="3269"/>
      <c r="H49" s="3269"/>
      <c r="K49" s="1803"/>
    </row>
    <row r="50" spans="1:11" ht="12.75" customHeight="1">
      <c r="C50" s="1787" t="s">
        <v>4822</v>
      </c>
      <c r="E50" s="3269" t="s">
        <v>3397</v>
      </c>
      <c r="F50" s="3269"/>
      <c r="G50" s="3269"/>
      <c r="H50" s="3269"/>
    </row>
    <row r="51" spans="1:11" ht="12.75" customHeight="1">
      <c r="C51" s="1788"/>
      <c r="D51" s="1785" t="s">
        <v>3235</v>
      </c>
      <c r="E51" s="3336" t="s">
        <v>3398</v>
      </c>
      <c r="F51" s="3336"/>
      <c r="G51" s="3336"/>
      <c r="H51" s="3336"/>
    </row>
    <row r="52" spans="1:11" ht="3" customHeight="1">
      <c r="D52" s="814"/>
      <c r="E52" s="1784"/>
      <c r="F52" s="1784"/>
      <c r="G52" s="1784"/>
      <c r="H52" s="1784"/>
    </row>
    <row r="53" spans="1:11" ht="12.75" customHeight="1">
      <c r="C53" s="779" t="s">
        <v>3136</v>
      </c>
      <c r="D53" s="814" t="s">
        <v>1937</v>
      </c>
      <c r="E53" s="815"/>
      <c r="F53" s="811" t="s">
        <v>3137</v>
      </c>
      <c r="G53" s="811"/>
      <c r="H53" s="811"/>
    </row>
    <row r="54" spans="1:11" ht="12.75" customHeight="1">
      <c r="C54" s="816" t="s">
        <v>1325</v>
      </c>
      <c r="D54" s="814" t="s">
        <v>1939</v>
      </c>
      <c r="E54" s="3269" t="s">
        <v>3236</v>
      </c>
      <c r="F54" s="3269"/>
      <c r="G54" s="3269"/>
      <c r="H54" s="3269"/>
    </row>
    <row r="55" spans="1:11" ht="12.75" customHeight="1">
      <c r="C55" s="1787" t="s">
        <v>4822</v>
      </c>
      <c r="E55" s="3269" t="s">
        <v>3397</v>
      </c>
      <c r="F55" s="3269"/>
      <c r="G55" s="3269"/>
      <c r="H55" s="3269"/>
    </row>
    <row r="56" spans="1:11" ht="12.75" customHeight="1">
      <c r="C56" s="1788"/>
      <c r="D56" s="1786" t="s">
        <v>3235</v>
      </c>
      <c r="E56" s="3335" t="s">
        <v>3398</v>
      </c>
      <c r="F56" s="3335"/>
      <c r="G56" s="3335"/>
      <c r="H56" s="3335"/>
    </row>
    <row r="57" spans="1:11" ht="3" customHeight="1">
      <c r="D57" s="814"/>
      <c r="E57" s="1784"/>
      <c r="F57" s="1784"/>
      <c r="G57" s="1784"/>
      <c r="H57" s="1784"/>
    </row>
    <row r="58" spans="1:11" ht="12.75" customHeight="1">
      <c r="C58" s="779" t="s">
        <v>3136</v>
      </c>
      <c r="D58" s="814" t="s">
        <v>1937</v>
      </c>
      <c r="E58" s="815"/>
      <c r="F58" s="811" t="s">
        <v>3137</v>
      </c>
      <c r="G58" s="811"/>
      <c r="H58" s="811"/>
    </row>
    <row r="59" spans="1:11" ht="12.75" customHeight="1">
      <c r="C59" s="816" t="s">
        <v>1325</v>
      </c>
      <c r="D59" s="814" t="s">
        <v>1939</v>
      </c>
      <c r="E59" s="3269" t="s">
        <v>3236</v>
      </c>
      <c r="F59" s="3269"/>
      <c r="G59" s="3269"/>
      <c r="H59" s="3269"/>
    </row>
    <row r="60" spans="1:11" ht="12.75" customHeight="1">
      <c r="C60" s="1787" t="s">
        <v>4822</v>
      </c>
      <c r="E60" s="3269" t="s">
        <v>3397</v>
      </c>
      <c r="F60" s="3269"/>
      <c r="G60" s="3269"/>
      <c r="H60" s="3269"/>
    </row>
    <row r="61" spans="1:11" ht="12.75" customHeight="1">
      <c r="C61" s="1788"/>
      <c r="D61" s="1786" t="s">
        <v>3235</v>
      </c>
      <c r="E61" s="3335" t="s">
        <v>3398</v>
      </c>
      <c r="F61" s="3335"/>
      <c r="G61" s="3335"/>
      <c r="H61" s="3335"/>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3400</v>
      </c>
    </row>
    <row r="64" spans="1:11" ht="1.95" customHeight="1"/>
    <row r="65" spans="1:8" ht="12.75" customHeight="1">
      <c r="C65" s="779" t="s">
        <v>3136</v>
      </c>
      <c r="D65" s="814" t="s">
        <v>1937</v>
      </c>
      <c r="E65" s="815"/>
      <c r="F65" s="811" t="s">
        <v>3137</v>
      </c>
      <c r="G65" s="811"/>
      <c r="H65" s="811"/>
    </row>
    <row r="66" spans="1:8" ht="12.75" customHeight="1">
      <c r="C66" s="816" t="s">
        <v>1325</v>
      </c>
      <c r="D66" s="814" t="s">
        <v>1939</v>
      </c>
      <c r="E66" s="3269" t="s">
        <v>3236</v>
      </c>
      <c r="F66" s="3269"/>
      <c r="G66" s="3269"/>
      <c r="H66" s="3269"/>
    </row>
    <row r="67" spans="1:8" ht="12.75" customHeight="1">
      <c r="C67" s="1787" t="s">
        <v>4822</v>
      </c>
      <c r="E67" s="3269" t="s">
        <v>3397</v>
      </c>
      <c r="F67" s="3269"/>
      <c r="G67" s="3269"/>
      <c r="H67" s="3269"/>
    </row>
    <row r="68" spans="1:8" ht="12.75" customHeight="1">
      <c r="C68" s="1788"/>
      <c r="D68" s="1785" t="s">
        <v>3235</v>
      </c>
      <c r="E68" s="3336" t="s">
        <v>3398</v>
      </c>
      <c r="F68" s="3336"/>
      <c r="G68" s="3336"/>
      <c r="H68" s="3336"/>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1325</v>
      </c>
      <c r="D71" s="814" t="s">
        <v>1939</v>
      </c>
      <c r="E71" s="3269" t="s">
        <v>3236</v>
      </c>
      <c r="F71" s="3269"/>
      <c r="G71" s="3269"/>
      <c r="H71" s="3269"/>
    </row>
    <row r="72" spans="1:8" ht="12.75" customHeight="1">
      <c r="C72" s="1787" t="s">
        <v>4822</v>
      </c>
      <c r="E72" s="3269" t="s">
        <v>3397</v>
      </c>
      <c r="F72" s="3269"/>
      <c r="G72" s="3269"/>
      <c r="H72" s="3269"/>
    </row>
    <row r="73" spans="1:8" ht="12.75" customHeight="1">
      <c r="C73" s="1788"/>
      <c r="D73" s="1786" t="s">
        <v>3235</v>
      </c>
      <c r="E73" s="3335" t="s">
        <v>3398</v>
      </c>
      <c r="F73" s="3335"/>
      <c r="G73" s="3335"/>
      <c r="H73" s="3335"/>
    </row>
    <row r="74" spans="1:8" ht="3" customHeight="1">
      <c r="D74" s="814"/>
      <c r="E74" s="1784"/>
      <c r="F74" s="1784"/>
      <c r="G74" s="1784"/>
      <c r="H74" s="1784"/>
    </row>
    <row r="75" spans="1:8" ht="12.75" customHeight="1">
      <c r="C75" s="779" t="s">
        <v>3136</v>
      </c>
      <c r="D75" s="814" t="s">
        <v>1937</v>
      </c>
      <c r="E75" s="815"/>
      <c r="F75" s="811" t="s">
        <v>3137</v>
      </c>
      <c r="G75" s="811"/>
      <c r="H75" s="811"/>
    </row>
    <row r="76" spans="1:8" ht="12.75" customHeight="1">
      <c r="C76" s="816" t="s">
        <v>1325</v>
      </c>
      <c r="D76" s="814" t="s">
        <v>1939</v>
      </c>
      <c r="E76" s="3269" t="s">
        <v>3236</v>
      </c>
      <c r="F76" s="3269"/>
      <c r="G76" s="3269"/>
      <c r="H76" s="3269"/>
    </row>
    <row r="77" spans="1:8" ht="12.75" customHeight="1">
      <c r="C77" s="1787" t="s">
        <v>4822</v>
      </c>
      <c r="E77" s="3269" t="s">
        <v>3397</v>
      </c>
      <c r="F77" s="3269"/>
      <c r="G77" s="3269"/>
      <c r="H77" s="3269"/>
    </row>
    <row r="78" spans="1:8" ht="12.75" customHeight="1">
      <c r="C78" s="1788"/>
      <c r="D78" s="1786" t="s">
        <v>3235</v>
      </c>
      <c r="E78" s="3335" t="s">
        <v>3398</v>
      </c>
      <c r="F78" s="3335"/>
      <c r="G78" s="3335"/>
      <c r="H78" s="3335"/>
    </row>
    <row r="79" spans="1:8" ht="6" customHeight="1">
      <c r="D79" s="814"/>
      <c r="E79" s="1784"/>
      <c r="F79" s="1784"/>
      <c r="G79" s="1784"/>
      <c r="H79" s="1784"/>
    </row>
    <row r="80" spans="1:8">
      <c r="A80" s="785" t="s">
        <v>3231</v>
      </c>
      <c r="B80" s="812" t="str">
        <f>IF('Part VI-Revenues &amp; Expenses'!$N$62=0,"",'Part VI-Revenues &amp; Expenses'!$N$62)</f>
        <v/>
      </c>
      <c r="C80" s="785" t="s">
        <v>3234</v>
      </c>
      <c r="D80" s="813" t="s">
        <v>3401</v>
      </c>
    </row>
    <row r="81" spans="3:8" ht="1.95" customHeight="1"/>
    <row r="82" spans="3:8" ht="12.75" customHeight="1">
      <c r="C82" s="779" t="s">
        <v>3136</v>
      </c>
      <c r="D82" s="814" t="s">
        <v>1937</v>
      </c>
      <c r="E82" s="815"/>
      <c r="F82" s="811" t="s">
        <v>3137</v>
      </c>
      <c r="G82" s="811"/>
      <c r="H82" s="811"/>
    </row>
    <row r="83" spans="3:8" ht="12.75" customHeight="1">
      <c r="C83" s="816" t="s">
        <v>1325</v>
      </c>
      <c r="D83" s="814" t="s">
        <v>1939</v>
      </c>
      <c r="E83" s="3269" t="s">
        <v>3236</v>
      </c>
      <c r="F83" s="3269"/>
      <c r="G83" s="3269"/>
      <c r="H83" s="3269"/>
    </row>
    <row r="84" spans="3:8" ht="12.75" customHeight="1">
      <c r="C84" s="1787" t="s">
        <v>4822</v>
      </c>
      <c r="E84" s="3269" t="s">
        <v>3397</v>
      </c>
      <c r="F84" s="3269"/>
      <c r="G84" s="3269"/>
      <c r="H84" s="3269"/>
    </row>
    <row r="85" spans="3:8" ht="12.75" customHeight="1">
      <c r="C85" s="1788"/>
      <c r="D85" s="1785" t="s">
        <v>3235</v>
      </c>
      <c r="E85" s="3336" t="s">
        <v>3398</v>
      </c>
      <c r="F85" s="3336"/>
      <c r="G85" s="3336"/>
      <c r="H85" s="3336"/>
    </row>
    <row r="86" spans="3:8" ht="3" customHeight="1">
      <c r="D86" s="814"/>
      <c r="E86" s="1784"/>
      <c r="F86" s="1784"/>
      <c r="G86" s="1784"/>
      <c r="H86" s="1784"/>
    </row>
    <row r="87" spans="3:8" ht="12.75" customHeight="1">
      <c r="C87" s="779" t="s">
        <v>3136</v>
      </c>
      <c r="D87" s="814" t="s">
        <v>1937</v>
      </c>
      <c r="E87" s="815"/>
      <c r="F87" s="811" t="s">
        <v>3137</v>
      </c>
      <c r="G87" s="811"/>
      <c r="H87" s="811"/>
    </row>
    <row r="88" spans="3:8" ht="12.75" customHeight="1">
      <c r="C88" s="816" t="s">
        <v>1325</v>
      </c>
      <c r="D88" s="814" t="s">
        <v>1939</v>
      </c>
      <c r="E88" s="3269" t="s">
        <v>3236</v>
      </c>
      <c r="F88" s="3269"/>
      <c r="G88" s="3269"/>
      <c r="H88" s="3269"/>
    </row>
    <row r="89" spans="3:8" ht="12.75" customHeight="1">
      <c r="C89" s="1787" t="s">
        <v>4822</v>
      </c>
      <c r="E89" s="3269" t="s">
        <v>3397</v>
      </c>
      <c r="F89" s="3269"/>
      <c r="G89" s="3269"/>
      <c r="H89" s="3269"/>
    </row>
    <row r="90" spans="3:8" ht="12.75" customHeight="1">
      <c r="C90" s="1788"/>
      <c r="D90" s="1786" t="s">
        <v>3235</v>
      </c>
      <c r="E90" s="3335" t="s">
        <v>3398</v>
      </c>
      <c r="F90" s="3335"/>
      <c r="G90" s="3335"/>
      <c r="H90" s="3335"/>
    </row>
    <row r="91" spans="3:8" ht="3" customHeight="1">
      <c r="D91" s="814"/>
      <c r="E91" s="1784"/>
      <c r="F91" s="1784"/>
      <c r="G91" s="1784"/>
      <c r="H91" s="1784"/>
    </row>
    <row r="92" spans="3:8" ht="12.75" customHeight="1">
      <c r="C92" s="779" t="s">
        <v>3136</v>
      </c>
      <c r="D92" s="814" t="s">
        <v>1937</v>
      </c>
      <c r="E92" s="815"/>
      <c r="F92" s="811" t="s">
        <v>3137</v>
      </c>
      <c r="G92" s="811"/>
      <c r="H92" s="811"/>
    </row>
    <row r="93" spans="3:8" ht="12.75" customHeight="1">
      <c r="C93" s="816" t="s">
        <v>1325</v>
      </c>
      <c r="D93" s="814" t="s">
        <v>1939</v>
      </c>
      <c r="E93" s="3269" t="s">
        <v>3236</v>
      </c>
      <c r="F93" s="3269"/>
      <c r="G93" s="3269"/>
      <c r="H93" s="3269"/>
    </row>
    <row r="94" spans="3:8" ht="12.75" customHeight="1">
      <c r="C94" s="1787" t="s">
        <v>4822</v>
      </c>
      <c r="E94" s="3269" t="s">
        <v>3397</v>
      </c>
      <c r="F94" s="3269"/>
      <c r="G94" s="3269"/>
      <c r="H94" s="3269"/>
    </row>
    <row r="95" spans="3:8" ht="12.75" customHeight="1">
      <c r="C95" s="1788"/>
      <c r="D95" s="1786" t="s">
        <v>3235</v>
      </c>
      <c r="E95" s="3335" t="s">
        <v>3398</v>
      </c>
      <c r="F95" s="3335"/>
      <c r="G95" s="3335"/>
      <c r="H95" s="3335"/>
    </row>
    <row r="96" spans="3:8" ht="6" customHeight="1">
      <c r="D96" s="814"/>
      <c r="E96" s="1784"/>
      <c r="F96" s="1784"/>
      <c r="G96" s="1784"/>
      <c r="H96" s="1784"/>
    </row>
    <row r="97" spans="1:11">
      <c r="A97" s="785" t="s">
        <v>3231</v>
      </c>
      <c r="B97" s="812" t="str">
        <f>IF('Part VI-Revenues &amp; Expenses'!$O$62=0,"",'Part VI-Revenues &amp; Expenses'!$O$62)</f>
        <v/>
      </c>
      <c r="C97" s="785" t="s">
        <v>4820</v>
      </c>
      <c r="D97" s="813" t="s">
        <v>4821</v>
      </c>
    </row>
    <row r="98" spans="1:11" ht="1.95" customHeight="1"/>
    <row r="99" spans="1:11" ht="12.75" customHeight="1">
      <c r="C99" s="779" t="s">
        <v>3136</v>
      </c>
      <c r="D99" s="814" t="s">
        <v>1937</v>
      </c>
      <c r="E99" s="815"/>
      <c r="F99" s="3269" t="s">
        <v>3137</v>
      </c>
      <c r="G99" s="3269"/>
      <c r="H99" s="3269"/>
      <c r="K99" s="730" t="s">
        <v>238</v>
      </c>
    </row>
    <row r="100" spans="1:11" ht="12.75" customHeight="1">
      <c r="C100" s="816" t="s">
        <v>1325</v>
      </c>
      <c r="D100" s="814" t="s">
        <v>1939</v>
      </c>
      <c r="E100" s="3269" t="s">
        <v>3237</v>
      </c>
      <c r="F100" s="3269"/>
      <c r="G100" s="3269"/>
      <c r="H100" s="3269"/>
    </row>
    <row r="101" spans="1:11" ht="12.75" customHeight="1">
      <c r="E101" s="3269" t="s">
        <v>3397</v>
      </c>
      <c r="F101" s="3269"/>
      <c r="G101" s="3269"/>
      <c r="H101" s="3269"/>
    </row>
    <row r="102" spans="1:11" ht="12.75" customHeight="1">
      <c r="D102" s="817" t="s">
        <v>3235</v>
      </c>
      <c r="E102" s="3269" t="s">
        <v>3398</v>
      </c>
      <c r="F102" s="3269"/>
      <c r="G102" s="3269"/>
      <c r="H102" s="3269"/>
    </row>
    <row r="103" spans="1:11" ht="9" customHeight="1" thickBot="1"/>
    <row r="104" spans="1:11" ht="16.2" customHeight="1" thickBot="1">
      <c r="A104" s="3333">
        <v>30</v>
      </c>
      <c r="B104" s="3334"/>
      <c r="C104" s="1789" t="s">
        <v>1017</v>
      </c>
    </row>
    <row r="105" spans="1:11" ht="9" customHeight="1">
      <c r="A105" s="752"/>
    </row>
    <row r="106" spans="1:11" ht="28.2" customHeight="1">
      <c r="A106" s="3337" t="s">
        <v>4825</v>
      </c>
      <c r="B106" s="3337"/>
      <c r="C106" s="3337"/>
      <c r="D106" s="3337"/>
      <c r="E106" s="3337"/>
      <c r="F106" s="3337"/>
      <c r="G106" s="3337"/>
      <c r="H106" s="3337"/>
    </row>
    <row r="107" spans="1:11" ht="9" customHeight="1">
      <c r="A107" s="752"/>
    </row>
    <row r="108" spans="1:11">
      <c r="A108" s="785" t="s">
        <v>3231</v>
      </c>
      <c r="B108" s="812" t="str">
        <f>IF('Part VI-Revenues &amp; Expenses'!$K$61=0,"",'Part VI-Revenues &amp; Expenses'!$K$61)</f>
        <v/>
      </c>
      <c r="C108" s="785" t="s">
        <v>4817</v>
      </c>
      <c r="D108" s="813" t="s">
        <v>4818</v>
      </c>
    </row>
    <row r="109" spans="1:11" ht="1.95" customHeight="1"/>
    <row r="110" spans="1:11" ht="12.75" customHeight="1">
      <c r="C110" s="779" t="s">
        <v>3136</v>
      </c>
      <c r="D110" s="814" t="s">
        <v>1937</v>
      </c>
      <c r="E110" s="815"/>
      <c r="F110" s="3269" t="s">
        <v>3137</v>
      </c>
      <c r="G110" s="3269"/>
      <c r="H110" s="3269"/>
    </row>
    <row r="111" spans="1:11" ht="12.75" customHeight="1">
      <c r="C111" s="816" t="s">
        <v>1325</v>
      </c>
      <c r="D111" s="814" t="s">
        <v>1939</v>
      </c>
      <c r="E111" s="3269" t="s">
        <v>3236</v>
      </c>
      <c r="F111" s="3269"/>
      <c r="G111" s="3269"/>
      <c r="H111" s="3269"/>
    </row>
    <row r="112" spans="1:11" ht="12.75" customHeight="1">
      <c r="C112" s="1787" t="s">
        <v>4822</v>
      </c>
      <c r="E112" s="3269" t="s">
        <v>3397</v>
      </c>
      <c r="F112" s="3269"/>
      <c r="G112" s="3269"/>
      <c r="H112" s="3269"/>
    </row>
    <row r="113" spans="1:8" ht="12.75" customHeight="1">
      <c r="C113" s="1788"/>
      <c r="D113" s="1786" t="s">
        <v>3235</v>
      </c>
      <c r="E113" s="3335" t="s">
        <v>3398</v>
      </c>
      <c r="F113" s="3335"/>
      <c r="G113" s="3335"/>
      <c r="H113" s="3335"/>
    </row>
    <row r="114" spans="1:8" ht="3" customHeight="1">
      <c r="D114" s="814"/>
      <c r="E114" s="1784"/>
      <c r="F114" s="1784"/>
      <c r="G114" s="1784"/>
      <c r="H114" s="1784"/>
    </row>
    <row r="115" spans="1:8" ht="12.75" customHeight="1">
      <c r="C115" s="779" t="s">
        <v>3136</v>
      </c>
      <c r="D115" s="814" t="s">
        <v>1937</v>
      </c>
      <c r="E115" s="815"/>
      <c r="F115" s="811" t="s">
        <v>3137</v>
      </c>
      <c r="G115" s="811"/>
      <c r="H115" s="811"/>
    </row>
    <row r="116" spans="1:8" ht="12.75" customHeight="1">
      <c r="C116" s="816" t="s">
        <v>1325</v>
      </c>
      <c r="D116" s="814" t="s">
        <v>1939</v>
      </c>
      <c r="E116" s="3269" t="s">
        <v>3236</v>
      </c>
      <c r="F116" s="3269"/>
      <c r="G116" s="3269"/>
      <c r="H116" s="3269"/>
    </row>
    <row r="117" spans="1:8" ht="12.75" customHeight="1">
      <c r="C117" s="1787" t="s">
        <v>4822</v>
      </c>
      <c r="E117" s="3269" t="s">
        <v>3397</v>
      </c>
      <c r="F117" s="3269"/>
      <c r="G117" s="3269"/>
      <c r="H117" s="3269"/>
    </row>
    <row r="118" spans="1:8" ht="12.75" customHeight="1">
      <c r="C118" s="1788"/>
      <c r="D118" s="1786" t="s">
        <v>3235</v>
      </c>
      <c r="E118" s="3335" t="s">
        <v>3398</v>
      </c>
      <c r="F118" s="3335"/>
      <c r="G118" s="3335"/>
      <c r="H118" s="3335"/>
    </row>
    <row r="119" spans="1:8" ht="3" customHeight="1">
      <c r="D119" s="814"/>
      <c r="E119" s="1784"/>
      <c r="F119" s="1784"/>
      <c r="G119" s="1784"/>
      <c r="H119" s="1784"/>
    </row>
    <row r="120" spans="1:8" ht="12.75" customHeight="1">
      <c r="C120" s="779" t="s">
        <v>3136</v>
      </c>
      <c r="D120" s="814" t="s">
        <v>1937</v>
      </c>
      <c r="E120" s="815"/>
      <c r="F120" s="811" t="s">
        <v>3137</v>
      </c>
      <c r="G120" s="811"/>
      <c r="H120" s="811"/>
    </row>
    <row r="121" spans="1:8" ht="12.75" customHeight="1">
      <c r="C121" s="816" t="s">
        <v>1325</v>
      </c>
      <c r="D121" s="814" t="s">
        <v>1939</v>
      </c>
      <c r="E121" s="3269" t="s">
        <v>3236</v>
      </c>
      <c r="F121" s="3269"/>
      <c r="G121" s="3269"/>
      <c r="H121" s="3269"/>
    </row>
    <row r="122" spans="1:8" ht="12.75" customHeight="1">
      <c r="C122" s="1787" t="s">
        <v>4822</v>
      </c>
      <c r="E122" s="3269" t="s">
        <v>3397</v>
      </c>
      <c r="F122" s="3269"/>
      <c r="G122" s="3269"/>
      <c r="H122" s="3269"/>
    </row>
    <row r="123" spans="1:8" ht="12.75" customHeight="1">
      <c r="C123" s="1788"/>
      <c r="D123" s="1786" t="s">
        <v>3235</v>
      </c>
      <c r="E123" s="3335" t="s">
        <v>3398</v>
      </c>
      <c r="F123" s="3335"/>
      <c r="G123" s="3335"/>
      <c r="H123" s="3335"/>
    </row>
    <row r="124" spans="1:8" ht="6" customHeight="1">
      <c r="D124" s="814"/>
      <c r="E124" s="1784"/>
      <c r="F124" s="1784"/>
      <c r="G124" s="1784"/>
      <c r="H124" s="1784"/>
    </row>
    <row r="125" spans="1:8">
      <c r="A125" s="785" t="s">
        <v>3231</v>
      </c>
      <c r="B125" s="812" t="str">
        <f>IF('Part VI-Revenues &amp; Expenses'!$L$61=0,"",'Part VI-Revenues &amp; Expenses'!$L$61)</f>
        <v/>
      </c>
      <c r="C125" s="785" t="s">
        <v>3232</v>
      </c>
      <c r="D125" s="813" t="s">
        <v>3399</v>
      </c>
    </row>
    <row r="126" spans="1:8" ht="1.95" customHeight="1"/>
    <row r="127" spans="1:8" ht="12.75" customHeight="1">
      <c r="C127" s="779" t="s">
        <v>3136</v>
      </c>
      <c r="D127" s="814" t="s">
        <v>1937</v>
      </c>
      <c r="E127" s="815"/>
      <c r="F127" s="811" t="s">
        <v>3137</v>
      </c>
      <c r="G127" s="811"/>
      <c r="H127" s="811"/>
    </row>
    <row r="128" spans="1:8" ht="12.75" customHeight="1">
      <c r="C128" s="816" t="s">
        <v>1325</v>
      </c>
      <c r="D128" s="814" t="s">
        <v>1939</v>
      </c>
      <c r="E128" s="3269" t="s">
        <v>3236</v>
      </c>
      <c r="F128" s="3269"/>
      <c r="G128" s="3269"/>
      <c r="H128" s="3269"/>
    </row>
    <row r="129" spans="1:8" ht="12.75" customHeight="1">
      <c r="C129" s="1787" t="s">
        <v>4822</v>
      </c>
      <c r="E129" s="3269" t="s">
        <v>3397</v>
      </c>
      <c r="F129" s="3269"/>
      <c r="G129" s="3269"/>
      <c r="H129" s="3269"/>
    </row>
    <row r="130" spans="1:8" ht="12.75" customHeight="1">
      <c r="C130" s="1788"/>
      <c r="D130" s="1785" t="s">
        <v>3235</v>
      </c>
      <c r="E130" s="3336" t="s">
        <v>3398</v>
      </c>
      <c r="F130" s="3336"/>
      <c r="G130" s="3336"/>
      <c r="H130" s="3336"/>
    </row>
    <row r="131" spans="1:8" ht="3" customHeight="1">
      <c r="D131" s="814"/>
      <c r="E131" s="1784"/>
      <c r="F131" s="1784"/>
      <c r="G131" s="1784"/>
      <c r="H131" s="1784"/>
    </row>
    <row r="132" spans="1:8" ht="12.75" customHeight="1">
      <c r="C132" s="779" t="s">
        <v>3136</v>
      </c>
      <c r="D132" s="814" t="s">
        <v>1937</v>
      </c>
      <c r="E132" s="815"/>
      <c r="F132" s="811" t="s">
        <v>3137</v>
      </c>
      <c r="G132" s="811"/>
      <c r="H132" s="811"/>
    </row>
    <row r="133" spans="1:8" ht="12.75" customHeight="1">
      <c r="C133" s="816" t="s">
        <v>1325</v>
      </c>
      <c r="D133" s="814" t="s">
        <v>1939</v>
      </c>
      <c r="E133" s="3269" t="s">
        <v>3236</v>
      </c>
      <c r="F133" s="3269"/>
      <c r="G133" s="3269"/>
      <c r="H133" s="3269"/>
    </row>
    <row r="134" spans="1:8" ht="12.75" customHeight="1">
      <c r="C134" s="1787" t="s">
        <v>4822</v>
      </c>
      <c r="E134" s="3269" t="s">
        <v>3397</v>
      </c>
      <c r="F134" s="3269"/>
      <c r="G134" s="3269"/>
      <c r="H134" s="3269"/>
    </row>
    <row r="135" spans="1:8" ht="12.75" customHeight="1">
      <c r="C135" s="1788"/>
      <c r="D135" s="1786" t="s">
        <v>3235</v>
      </c>
      <c r="E135" s="3335" t="s">
        <v>3398</v>
      </c>
      <c r="F135" s="3335"/>
      <c r="G135" s="3335"/>
      <c r="H135" s="3335"/>
    </row>
    <row r="136" spans="1:8" ht="3" customHeight="1">
      <c r="D136" s="814"/>
      <c r="E136" s="1784"/>
      <c r="F136" s="1784"/>
      <c r="G136" s="1784"/>
      <c r="H136" s="1784"/>
    </row>
    <row r="137" spans="1:8" ht="12.75" customHeight="1">
      <c r="C137" s="779" t="s">
        <v>3136</v>
      </c>
      <c r="D137" s="814" t="s">
        <v>1937</v>
      </c>
      <c r="E137" s="815"/>
      <c r="F137" s="811" t="s">
        <v>3137</v>
      </c>
      <c r="G137" s="811"/>
      <c r="H137" s="811"/>
    </row>
    <row r="138" spans="1:8" ht="12.75" customHeight="1">
      <c r="C138" s="816" t="s">
        <v>1325</v>
      </c>
      <c r="D138" s="814" t="s">
        <v>1939</v>
      </c>
      <c r="E138" s="3269" t="s">
        <v>3236</v>
      </c>
      <c r="F138" s="3269"/>
      <c r="G138" s="3269"/>
      <c r="H138" s="3269"/>
    </row>
    <row r="139" spans="1:8" ht="12.75" customHeight="1">
      <c r="C139" s="1787" t="s">
        <v>4822</v>
      </c>
      <c r="E139" s="3269" t="s">
        <v>3397</v>
      </c>
      <c r="F139" s="3269"/>
      <c r="G139" s="3269"/>
      <c r="H139" s="3269"/>
    </row>
    <row r="140" spans="1:8" ht="12.75" customHeight="1">
      <c r="C140" s="1788"/>
      <c r="D140" s="1786" t="s">
        <v>3235</v>
      </c>
      <c r="E140" s="3335" t="s">
        <v>3398</v>
      </c>
      <c r="F140" s="3335"/>
      <c r="G140" s="3335"/>
      <c r="H140" s="3335"/>
    </row>
    <row r="141" spans="1:8" ht="6" customHeight="1">
      <c r="D141" s="814"/>
      <c r="E141" s="1784"/>
      <c r="F141" s="1784"/>
      <c r="G141" s="1784"/>
      <c r="H141" s="1784"/>
    </row>
    <row r="142" spans="1:8">
      <c r="A142" s="785" t="s">
        <v>3231</v>
      </c>
      <c r="B142" s="812" t="str">
        <f>IF('Part VI-Revenues &amp; Expenses'!$M$61=0,"",'Part VI-Revenues &amp; Expenses'!$M$61)</f>
        <v/>
      </c>
      <c r="C142" s="785" t="s">
        <v>3233</v>
      </c>
      <c r="D142" s="813" t="s">
        <v>3400</v>
      </c>
    </row>
    <row r="143" spans="1:8" ht="1.95" customHeight="1"/>
    <row r="144" spans="1:8" ht="12.75" customHeight="1">
      <c r="C144" s="779" t="s">
        <v>3136</v>
      </c>
      <c r="D144" s="814" t="s">
        <v>1937</v>
      </c>
      <c r="E144" s="815"/>
      <c r="F144" s="811" t="s">
        <v>3137</v>
      </c>
      <c r="G144" s="811"/>
      <c r="H144" s="811"/>
    </row>
    <row r="145" spans="1:8" ht="12.75" customHeight="1">
      <c r="C145" s="816" t="s">
        <v>1325</v>
      </c>
      <c r="D145" s="814" t="s">
        <v>1939</v>
      </c>
      <c r="E145" s="3269" t="s">
        <v>3236</v>
      </c>
      <c r="F145" s="3269"/>
      <c r="G145" s="3269"/>
      <c r="H145" s="3269"/>
    </row>
    <row r="146" spans="1:8" ht="12.75" customHeight="1">
      <c r="C146" s="1787" t="s">
        <v>4822</v>
      </c>
      <c r="E146" s="3269" t="s">
        <v>3397</v>
      </c>
      <c r="F146" s="3269"/>
      <c r="G146" s="3269"/>
      <c r="H146" s="3269"/>
    </row>
    <row r="147" spans="1:8" ht="12.75" customHeight="1">
      <c r="C147" s="1788"/>
      <c r="D147" s="1785" t="s">
        <v>3235</v>
      </c>
      <c r="E147" s="3336" t="s">
        <v>3398</v>
      </c>
      <c r="F147" s="3336"/>
      <c r="G147" s="3336"/>
      <c r="H147" s="3336"/>
    </row>
    <row r="148" spans="1:8" ht="3" customHeight="1">
      <c r="D148" s="814"/>
      <c r="E148" s="1784"/>
      <c r="F148" s="1784"/>
      <c r="G148" s="1784"/>
      <c r="H148" s="1784"/>
    </row>
    <row r="149" spans="1:8" ht="12.75" customHeight="1">
      <c r="C149" s="779" t="s">
        <v>3136</v>
      </c>
      <c r="D149" s="814" t="s">
        <v>1937</v>
      </c>
      <c r="E149" s="815"/>
      <c r="F149" s="811" t="s">
        <v>3137</v>
      </c>
      <c r="G149" s="811"/>
      <c r="H149" s="811"/>
    </row>
    <row r="150" spans="1:8" ht="12.75" customHeight="1">
      <c r="C150" s="816" t="s">
        <v>1325</v>
      </c>
      <c r="D150" s="814" t="s">
        <v>1939</v>
      </c>
      <c r="E150" s="3269" t="s">
        <v>3236</v>
      </c>
      <c r="F150" s="3269"/>
      <c r="G150" s="3269"/>
      <c r="H150" s="3269"/>
    </row>
    <row r="151" spans="1:8" ht="12.75" customHeight="1">
      <c r="C151" s="1787" t="s">
        <v>4822</v>
      </c>
      <c r="E151" s="3269" t="s">
        <v>3397</v>
      </c>
      <c r="F151" s="3269"/>
      <c r="G151" s="3269"/>
      <c r="H151" s="3269"/>
    </row>
    <row r="152" spans="1:8" ht="12.75" customHeight="1">
      <c r="C152" s="1788"/>
      <c r="D152" s="1786" t="s">
        <v>3235</v>
      </c>
      <c r="E152" s="3335" t="s">
        <v>3398</v>
      </c>
      <c r="F152" s="3335"/>
      <c r="G152" s="3335"/>
      <c r="H152" s="3335"/>
    </row>
    <row r="153" spans="1:8" ht="3" customHeight="1">
      <c r="D153" s="814"/>
      <c r="E153" s="1784"/>
      <c r="F153" s="1784"/>
      <c r="G153" s="1784"/>
      <c r="H153" s="1784"/>
    </row>
    <row r="154" spans="1:8" ht="12.75" customHeight="1">
      <c r="C154" s="779" t="s">
        <v>3136</v>
      </c>
      <c r="D154" s="814" t="s">
        <v>1937</v>
      </c>
      <c r="E154" s="815"/>
      <c r="F154" s="811" t="s">
        <v>3137</v>
      </c>
      <c r="G154" s="811"/>
      <c r="H154" s="811"/>
    </row>
    <row r="155" spans="1:8" ht="12.75" customHeight="1">
      <c r="C155" s="816" t="s">
        <v>1325</v>
      </c>
      <c r="D155" s="814" t="s">
        <v>1939</v>
      </c>
      <c r="E155" s="3269" t="s">
        <v>3236</v>
      </c>
      <c r="F155" s="3269"/>
      <c r="G155" s="3269"/>
      <c r="H155" s="3269"/>
    </row>
    <row r="156" spans="1:8" ht="12.75" customHeight="1">
      <c r="C156" s="1787" t="s">
        <v>4822</v>
      </c>
      <c r="E156" s="3269" t="s">
        <v>3397</v>
      </c>
      <c r="F156" s="3269"/>
      <c r="G156" s="3269"/>
      <c r="H156" s="3269"/>
    </row>
    <row r="157" spans="1:8" ht="12.75" customHeight="1">
      <c r="C157" s="1788"/>
      <c r="D157" s="1786" t="s">
        <v>3235</v>
      </c>
      <c r="E157" s="3335" t="s">
        <v>3398</v>
      </c>
      <c r="F157" s="3335"/>
      <c r="G157" s="3335"/>
      <c r="H157" s="3335"/>
    </row>
    <row r="158" spans="1:8" ht="6" customHeight="1">
      <c r="D158" s="814"/>
      <c r="E158" s="1784"/>
      <c r="F158" s="1784"/>
      <c r="G158" s="1784"/>
      <c r="H158" s="1784"/>
    </row>
    <row r="159" spans="1:8">
      <c r="A159" s="785" t="s">
        <v>3231</v>
      </c>
      <c r="B159" s="812" t="str">
        <f>IF('Part VI-Revenues &amp; Expenses'!$N$61=0,"",'Part VI-Revenues &amp; Expenses'!$N$61)</f>
        <v/>
      </c>
      <c r="C159" s="785" t="s">
        <v>3234</v>
      </c>
      <c r="D159" s="813" t="s">
        <v>3401</v>
      </c>
    </row>
    <row r="160" spans="1:8" ht="1.95" customHeight="1"/>
    <row r="161" spans="1:8" ht="12.75" customHeight="1">
      <c r="C161" s="779" t="s">
        <v>3136</v>
      </c>
      <c r="D161" s="814" t="s">
        <v>1937</v>
      </c>
      <c r="E161" s="815"/>
      <c r="F161" s="811" t="s">
        <v>3137</v>
      </c>
      <c r="G161" s="811"/>
      <c r="H161" s="811"/>
    </row>
    <row r="162" spans="1:8" ht="12.75" customHeight="1">
      <c r="C162" s="816" t="s">
        <v>1325</v>
      </c>
      <c r="D162" s="814" t="s">
        <v>1939</v>
      </c>
      <c r="E162" s="3269" t="s">
        <v>3236</v>
      </c>
      <c r="F162" s="3269"/>
      <c r="G162" s="3269"/>
      <c r="H162" s="3269"/>
    </row>
    <row r="163" spans="1:8" ht="12.75" customHeight="1">
      <c r="C163" s="1787" t="s">
        <v>4822</v>
      </c>
      <c r="E163" s="3269" t="s">
        <v>3397</v>
      </c>
      <c r="F163" s="3269"/>
      <c r="G163" s="3269"/>
      <c r="H163" s="3269"/>
    </row>
    <row r="164" spans="1:8" ht="12.75" customHeight="1">
      <c r="C164" s="1788"/>
      <c r="D164" s="1785" t="s">
        <v>3235</v>
      </c>
      <c r="E164" s="3336" t="s">
        <v>3398</v>
      </c>
      <c r="F164" s="3336"/>
      <c r="G164" s="3336"/>
      <c r="H164" s="3336"/>
    </row>
    <row r="165" spans="1:8" ht="3" customHeight="1">
      <c r="D165" s="814"/>
      <c r="E165" s="1784"/>
      <c r="F165" s="1784"/>
      <c r="G165" s="1784"/>
      <c r="H165" s="1784"/>
    </row>
    <row r="166" spans="1:8" ht="12.75" customHeight="1">
      <c r="C166" s="779" t="s">
        <v>3136</v>
      </c>
      <c r="D166" s="814" t="s">
        <v>1937</v>
      </c>
      <c r="E166" s="815"/>
      <c r="F166" s="811" t="s">
        <v>3137</v>
      </c>
      <c r="G166" s="811"/>
      <c r="H166" s="811"/>
    </row>
    <row r="167" spans="1:8" ht="12.75" customHeight="1">
      <c r="C167" s="816" t="s">
        <v>1325</v>
      </c>
      <c r="D167" s="814" t="s">
        <v>1939</v>
      </c>
      <c r="E167" s="3269" t="s">
        <v>3236</v>
      </c>
      <c r="F167" s="3269"/>
      <c r="G167" s="3269"/>
      <c r="H167" s="3269"/>
    </row>
    <row r="168" spans="1:8" ht="12.75" customHeight="1">
      <c r="C168" s="1787" t="s">
        <v>4822</v>
      </c>
      <c r="E168" s="3269" t="s">
        <v>3397</v>
      </c>
      <c r="F168" s="3269"/>
      <c r="G168" s="3269"/>
      <c r="H168" s="3269"/>
    </row>
    <row r="169" spans="1:8" ht="12.75" customHeight="1">
      <c r="C169" s="1788"/>
      <c r="D169" s="1786" t="s">
        <v>3235</v>
      </c>
      <c r="E169" s="3335" t="s">
        <v>3398</v>
      </c>
      <c r="F169" s="3335"/>
      <c r="G169" s="3335"/>
      <c r="H169" s="3335"/>
    </row>
    <row r="170" spans="1:8" ht="3" customHeight="1">
      <c r="D170" s="814"/>
      <c r="E170" s="1784"/>
      <c r="F170" s="1784"/>
      <c r="G170" s="1784"/>
      <c r="H170" s="1784"/>
    </row>
    <row r="171" spans="1:8" ht="12.75" customHeight="1">
      <c r="C171" s="779" t="s">
        <v>3136</v>
      </c>
      <c r="D171" s="814" t="s">
        <v>1937</v>
      </c>
      <c r="E171" s="815"/>
      <c r="F171" s="811" t="s">
        <v>3137</v>
      </c>
      <c r="G171" s="811"/>
      <c r="H171" s="811"/>
    </row>
    <row r="172" spans="1:8" ht="12.75" customHeight="1">
      <c r="C172" s="816" t="s">
        <v>1325</v>
      </c>
      <c r="D172" s="814" t="s">
        <v>1939</v>
      </c>
      <c r="E172" s="3269" t="s">
        <v>3236</v>
      </c>
      <c r="F172" s="3269"/>
      <c r="G172" s="3269"/>
      <c r="H172" s="3269"/>
    </row>
    <row r="173" spans="1:8" ht="12.75" customHeight="1">
      <c r="C173" s="1787" t="s">
        <v>4822</v>
      </c>
      <c r="E173" s="3269" t="s">
        <v>3397</v>
      </c>
      <c r="F173" s="3269"/>
      <c r="G173" s="3269"/>
      <c r="H173" s="3269"/>
    </row>
    <row r="174" spans="1:8" ht="12.75" customHeight="1">
      <c r="C174" s="1788"/>
      <c r="D174" s="1786" t="s">
        <v>3235</v>
      </c>
      <c r="E174" s="3335" t="s">
        <v>3398</v>
      </c>
      <c r="F174" s="3335"/>
      <c r="G174" s="3335"/>
      <c r="H174" s="3335"/>
    </row>
    <row r="175" spans="1:8" ht="6" customHeight="1">
      <c r="D175" s="814"/>
      <c r="E175" s="1784"/>
      <c r="F175" s="1784"/>
      <c r="G175" s="1784"/>
      <c r="H175" s="1784"/>
    </row>
    <row r="176" spans="1:8">
      <c r="A176" s="785" t="s">
        <v>3231</v>
      </c>
      <c r="B176" s="812" t="str">
        <f>IF('Part VI-Revenues &amp; Expenses'!$O61=0,"",'Part VI-Revenues &amp; Expenses'!$O$61)</f>
        <v/>
      </c>
      <c r="C176" s="785" t="s">
        <v>4820</v>
      </c>
      <c r="D176" s="813" t="s">
        <v>4821</v>
      </c>
    </row>
    <row r="177" spans="1:11" ht="1.95" customHeight="1"/>
    <row r="178" spans="1:11" ht="12.75" customHeight="1">
      <c r="C178" s="779" t="s">
        <v>3136</v>
      </c>
      <c r="D178" s="814" t="s">
        <v>1937</v>
      </c>
      <c r="E178" s="815"/>
      <c r="F178" s="3269" t="s">
        <v>3137</v>
      </c>
      <c r="G178" s="3269"/>
      <c r="H178" s="3269"/>
      <c r="K178" s="730" t="s">
        <v>238</v>
      </c>
    </row>
    <row r="179" spans="1:11" ht="12.75" customHeight="1">
      <c r="C179" s="816" t="s">
        <v>1325</v>
      </c>
      <c r="D179" s="814" t="s">
        <v>1939</v>
      </c>
      <c r="E179" s="3269" t="s">
        <v>3237</v>
      </c>
      <c r="F179" s="3269"/>
      <c r="G179" s="3269"/>
      <c r="H179" s="3269"/>
    </row>
    <row r="180" spans="1:11" ht="12.75" customHeight="1">
      <c r="E180" s="3269" t="s">
        <v>3397</v>
      </c>
      <c r="F180" s="3269"/>
      <c r="G180" s="3269"/>
      <c r="H180" s="3269"/>
    </row>
    <row r="181" spans="1:11" ht="12.75" customHeight="1">
      <c r="D181" s="817" t="s">
        <v>3235</v>
      </c>
      <c r="E181" s="3269" t="s">
        <v>3398</v>
      </c>
      <c r="F181" s="3269"/>
      <c r="G181" s="3269"/>
      <c r="H181" s="3269"/>
    </row>
    <row r="182" spans="1:11" ht="9" customHeight="1" thickBot="1"/>
    <row r="183" spans="1:11" ht="16.2" customHeight="1" thickBot="1">
      <c r="A183" s="3333">
        <v>40</v>
      </c>
      <c r="B183" s="3334"/>
      <c r="C183" s="1789" t="s">
        <v>1017</v>
      </c>
    </row>
    <row r="184" spans="1:11" ht="9" customHeight="1">
      <c r="A184" s="752"/>
    </row>
    <row r="185" spans="1:11" ht="28.2" customHeight="1">
      <c r="A185" s="3337" t="s">
        <v>4826</v>
      </c>
      <c r="B185" s="3337"/>
      <c r="C185" s="3337"/>
      <c r="D185" s="3337"/>
      <c r="E185" s="3337"/>
      <c r="F185" s="3337"/>
      <c r="G185" s="3337"/>
      <c r="H185" s="3337"/>
    </row>
    <row r="186" spans="1:11" ht="9" customHeight="1">
      <c r="A186" s="752"/>
    </row>
    <row r="187" spans="1:11">
      <c r="A187" s="785" t="s">
        <v>3231</v>
      </c>
      <c r="B187" s="812" t="str">
        <f>IF('Part VI-Revenues &amp; Expenses'!$K$60=0,"",'Part VI-Revenues &amp; Expenses'!$K$60)</f>
        <v/>
      </c>
      <c r="C187" s="785" t="s">
        <v>4817</v>
      </c>
      <c r="D187" s="813" t="s">
        <v>4818</v>
      </c>
    </row>
    <row r="188" spans="1:11" ht="1.95" customHeight="1"/>
    <row r="189" spans="1:11" ht="12.75" customHeight="1">
      <c r="C189" s="779" t="s">
        <v>3136</v>
      </c>
      <c r="D189" s="814" t="s">
        <v>1937</v>
      </c>
      <c r="E189" s="815"/>
      <c r="F189" s="3269" t="s">
        <v>3137</v>
      </c>
      <c r="G189" s="3269"/>
      <c r="H189" s="3269"/>
    </row>
    <row r="190" spans="1:11" ht="12.75" customHeight="1">
      <c r="C190" s="816" t="s">
        <v>1325</v>
      </c>
      <c r="D190" s="814" t="s">
        <v>1939</v>
      </c>
      <c r="E190" s="3269" t="s">
        <v>3236</v>
      </c>
      <c r="F190" s="3269"/>
      <c r="G190" s="3269"/>
      <c r="H190" s="3269"/>
    </row>
    <row r="191" spans="1:11" ht="12.75" customHeight="1">
      <c r="C191" s="1787" t="s">
        <v>4822</v>
      </c>
      <c r="E191" s="3269" t="s">
        <v>3397</v>
      </c>
      <c r="F191" s="3269"/>
      <c r="G191" s="3269"/>
      <c r="H191" s="3269"/>
    </row>
    <row r="192" spans="1:11" ht="12.75" customHeight="1">
      <c r="C192" s="1788"/>
      <c r="D192" s="1786" t="s">
        <v>3235</v>
      </c>
      <c r="E192" s="3335" t="s">
        <v>3398</v>
      </c>
      <c r="F192" s="3335"/>
      <c r="G192" s="3335"/>
      <c r="H192" s="3335"/>
    </row>
    <row r="193" spans="1:8" ht="3" customHeight="1">
      <c r="D193" s="814"/>
      <c r="E193" s="1784"/>
      <c r="F193" s="1784"/>
      <c r="G193" s="1784"/>
      <c r="H193" s="1784"/>
    </row>
    <row r="194" spans="1:8" ht="12.75" customHeight="1">
      <c r="C194" s="779" t="s">
        <v>3136</v>
      </c>
      <c r="D194" s="814" t="s">
        <v>1937</v>
      </c>
      <c r="E194" s="815"/>
      <c r="F194" s="811" t="s">
        <v>3137</v>
      </c>
      <c r="G194" s="811"/>
      <c r="H194" s="811"/>
    </row>
    <row r="195" spans="1:8" ht="12.75" customHeight="1">
      <c r="C195" s="816" t="s">
        <v>1325</v>
      </c>
      <c r="D195" s="814" t="s">
        <v>1939</v>
      </c>
      <c r="E195" s="3269" t="s">
        <v>3236</v>
      </c>
      <c r="F195" s="3269"/>
      <c r="G195" s="3269"/>
      <c r="H195" s="3269"/>
    </row>
    <row r="196" spans="1:8" ht="12.75" customHeight="1">
      <c r="C196" s="1787" t="s">
        <v>4822</v>
      </c>
      <c r="E196" s="3269" t="s">
        <v>3397</v>
      </c>
      <c r="F196" s="3269"/>
      <c r="G196" s="3269"/>
      <c r="H196" s="3269"/>
    </row>
    <row r="197" spans="1:8" ht="12.75" customHeight="1">
      <c r="C197" s="1788"/>
      <c r="D197" s="1786" t="s">
        <v>3235</v>
      </c>
      <c r="E197" s="3335" t="s">
        <v>3398</v>
      </c>
      <c r="F197" s="3335"/>
      <c r="G197" s="3335"/>
      <c r="H197" s="3335"/>
    </row>
    <row r="198" spans="1:8" ht="3" customHeight="1">
      <c r="D198" s="814"/>
      <c r="E198" s="1784"/>
      <c r="F198" s="1784"/>
      <c r="G198" s="1784"/>
      <c r="H198" s="1784"/>
    </row>
    <row r="199" spans="1:8" ht="12.75" customHeight="1">
      <c r="C199" s="779" t="s">
        <v>3136</v>
      </c>
      <c r="D199" s="814" t="s">
        <v>1937</v>
      </c>
      <c r="E199" s="815"/>
      <c r="F199" s="811" t="s">
        <v>3137</v>
      </c>
      <c r="G199" s="811"/>
      <c r="H199" s="811"/>
    </row>
    <row r="200" spans="1:8" ht="12.75" customHeight="1">
      <c r="C200" s="816" t="s">
        <v>1325</v>
      </c>
      <c r="D200" s="814" t="s">
        <v>1939</v>
      </c>
      <c r="E200" s="3269" t="s">
        <v>3236</v>
      </c>
      <c r="F200" s="3269"/>
      <c r="G200" s="3269"/>
      <c r="H200" s="3269"/>
    </row>
    <row r="201" spans="1:8" ht="12.75" customHeight="1">
      <c r="C201" s="1787" t="s">
        <v>4822</v>
      </c>
      <c r="E201" s="3269" t="s">
        <v>3397</v>
      </c>
      <c r="F201" s="3269"/>
      <c r="G201" s="3269"/>
      <c r="H201" s="3269"/>
    </row>
    <row r="202" spans="1:8" ht="12.75" customHeight="1">
      <c r="C202" s="1788"/>
      <c r="D202" s="1786" t="s">
        <v>3235</v>
      </c>
      <c r="E202" s="3335" t="s">
        <v>3398</v>
      </c>
      <c r="F202" s="3335"/>
      <c r="G202" s="3335"/>
      <c r="H202" s="3335"/>
    </row>
    <row r="203" spans="1:8" ht="6" customHeight="1">
      <c r="D203" s="814"/>
      <c r="E203" s="1784"/>
      <c r="F203" s="1784"/>
      <c r="G203" s="1784"/>
      <c r="H203" s="1784"/>
    </row>
    <row r="204" spans="1:8">
      <c r="A204" s="785" t="s">
        <v>3231</v>
      </c>
      <c r="B204" s="812" t="str">
        <f>IF('Part VI-Revenues &amp; Expenses'!$L$60=0,"",'Part VI-Revenues &amp; Expenses'!$L$60)</f>
        <v/>
      </c>
      <c r="C204" s="785" t="s">
        <v>3232</v>
      </c>
      <c r="D204" s="813" t="s">
        <v>3399</v>
      </c>
    </row>
    <row r="205" spans="1:8" ht="1.95" customHeight="1"/>
    <row r="206" spans="1:8" ht="12.75" customHeight="1">
      <c r="C206" s="779" t="s">
        <v>3136</v>
      </c>
      <c r="D206" s="814" t="s">
        <v>1937</v>
      </c>
      <c r="E206" s="815"/>
      <c r="F206" s="811" t="s">
        <v>3137</v>
      </c>
      <c r="G206" s="811"/>
      <c r="H206" s="811"/>
    </row>
    <row r="207" spans="1:8" ht="12.75" customHeight="1">
      <c r="C207" s="816" t="s">
        <v>1325</v>
      </c>
      <c r="D207" s="814" t="s">
        <v>1939</v>
      </c>
      <c r="E207" s="3269" t="s">
        <v>3236</v>
      </c>
      <c r="F207" s="3269"/>
      <c r="G207" s="3269"/>
      <c r="H207" s="3269"/>
    </row>
    <row r="208" spans="1:8" ht="12.75" customHeight="1">
      <c r="C208" s="1787" t="s">
        <v>4822</v>
      </c>
      <c r="E208" s="3269" t="s">
        <v>3397</v>
      </c>
      <c r="F208" s="3269"/>
      <c r="G208" s="3269"/>
      <c r="H208" s="3269"/>
    </row>
    <row r="209" spans="1:8" ht="12.75" customHeight="1">
      <c r="C209" s="1788"/>
      <c r="D209" s="1785" t="s">
        <v>3235</v>
      </c>
      <c r="E209" s="3336" t="s">
        <v>3398</v>
      </c>
      <c r="F209" s="3336"/>
      <c r="G209" s="3336"/>
      <c r="H209" s="3336"/>
    </row>
    <row r="210" spans="1:8" ht="3" customHeight="1">
      <c r="D210" s="814"/>
      <c r="E210" s="1784"/>
      <c r="F210" s="1784"/>
      <c r="G210" s="1784"/>
      <c r="H210" s="1784"/>
    </row>
    <row r="211" spans="1:8" ht="12.75" customHeight="1">
      <c r="C211" s="779" t="s">
        <v>3136</v>
      </c>
      <c r="D211" s="814" t="s">
        <v>1937</v>
      </c>
      <c r="E211" s="815"/>
      <c r="F211" s="811" t="s">
        <v>3137</v>
      </c>
      <c r="G211" s="811"/>
      <c r="H211" s="811"/>
    </row>
    <row r="212" spans="1:8" ht="12.75" customHeight="1">
      <c r="C212" s="816" t="s">
        <v>1325</v>
      </c>
      <c r="D212" s="814" t="s">
        <v>1939</v>
      </c>
      <c r="E212" s="3269" t="s">
        <v>3236</v>
      </c>
      <c r="F212" s="3269"/>
      <c r="G212" s="3269"/>
      <c r="H212" s="3269"/>
    </row>
    <row r="213" spans="1:8" ht="12.75" customHeight="1">
      <c r="C213" s="1787" t="s">
        <v>4822</v>
      </c>
      <c r="E213" s="3269" t="s">
        <v>3397</v>
      </c>
      <c r="F213" s="3269"/>
      <c r="G213" s="3269"/>
      <c r="H213" s="3269"/>
    </row>
    <row r="214" spans="1:8" ht="12.75" customHeight="1">
      <c r="C214" s="1788"/>
      <c r="D214" s="1786" t="s">
        <v>3235</v>
      </c>
      <c r="E214" s="3335" t="s">
        <v>3398</v>
      </c>
      <c r="F214" s="3335"/>
      <c r="G214" s="3335"/>
      <c r="H214" s="3335"/>
    </row>
    <row r="215" spans="1:8" ht="3" customHeight="1">
      <c r="D215" s="814"/>
      <c r="E215" s="1784"/>
      <c r="F215" s="1784"/>
      <c r="G215" s="1784"/>
      <c r="H215" s="1784"/>
    </row>
    <row r="216" spans="1:8" ht="12.75" customHeight="1">
      <c r="C216" s="779" t="s">
        <v>3136</v>
      </c>
      <c r="D216" s="814" t="s">
        <v>1937</v>
      </c>
      <c r="E216" s="815"/>
      <c r="F216" s="811" t="s">
        <v>3137</v>
      </c>
      <c r="G216" s="811"/>
      <c r="H216" s="811"/>
    </row>
    <row r="217" spans="1:8" ht="12.75" customHeight="1">
      <c r="C217" s="816" t="s">
        <v>1325</v>
      </c>
      <c r="D217" s="814" t="s">
        <v>1939</v>
      </c>
      <c r="E217" s="3269" t="s">
        <v>3236</v>
      </c>
      <c r="F217" s="3269"/>
      <c r="G217" s="3269"/>
      <c r="H217" s="3269"/>
    </row>
    <row r="218" spans="1:8" ht="12.75" customHeight="1">
      <c r="C218" s="1787" t="s">
        <v>4822</v>
      </c>
      <c r="E218" s="3269" t="s">
        <v>3397</v>
      </c>
      <c r="F218" s="3269"/>
      <c r="G218" s="3269"/>
      <c r="H218" s="3269"/>
    </row>
    <row r="219" spans="1:8" ht="12.75" customHeight="1">
      <c r="C219" s="1788"/>
      <c r="D219" s="1786" t="s">
        <v>3235</v>
      </c>
      <c r="E219" s="3335" t="s">
        <v>3398</v>
      </c>
      <c r="F219" s="3335"/>
      <c r="G219" s="3335"/>
      <c r="H219" s="3335"/>
    </row>
    <row r="220" spans="1:8" ht="6" customHeight="1">
      <c r="D220" s="814"/>
      <c r="E220" s="1784"/>
      <c r="F220" s="1784"/>
      <c r="G220" s="1784"/>
      <c r="H220" s="1784"/>
    </row>
    <row r="221" spans="1:8">
      <c r="A221" s="785" t="s">
        <v>3231</v>
      </c>
      <c r="B221" s="812" t="str">
        <f>IF('Part VI-Revenues &amp; Expenses'!$M$60=0,"",'Part VI-Revenues &amp; Expenses'!$M$60)</f>
        <v/>
      </c>
      <c r="C221" s="785" t="s">
        <v>3233</v>
      </c>
      <c r="D221" s="813" t="s">
        <v>3400</v>
      </c>
    </row>
    <row r="222" spans="1:8" ht="1.95" customHeight="1"/>
    <row r="223" spans="1:8" ht="12.75" customHeight="1">
      <c r="C223" s="779" t="s">
        <v>3136</v>
      </c>
      <c r="D223" s="814" t="s">
        <v>1937</v>
      </c>
      <c r="E223" s="815"/>
      <c r="F223" s="811" t="s">
        <v>3137</v>
      </c>
      <c r="G223" s="811"/>
      <c r="H223" s="811"/>
    </row>
    <row r="224" spans="1:8" ht="12.75" customHeight="1">
      <c r="C224" s="816" t="s">
        <v>1325</v>
      </c>
      <c r="D224" s="814" t="s">
        <v>1939</v>
      </c>
      <c r="E224" s="3269" t="s">
        <v>3236</v>
      </c>
      <c r="F224" s="3269"/>
      <c r="G224" s="3269"/>
      <c r="H224" s="3269"/>
    </row>
    <row r="225" spans="1:8" ht="12.75" customHeight="1">
      <c r="C225" s="1787" t="s">
        <v>4822</v>
      </c>
      <c r="E225" s="3269" t="s">
        <v>3397</v>
      </c>
      <c r="F225" s="3269"/>
      <c r="G225" s="3269"/>
      <c r="H225" s="3269"/>
    </row>
    <row r="226" spans="1:8" ht="12.75" customHeight="1">
      <c r="C226" s="1788"/>
      <c r="D226" s="1785" t="s">
        <v>3235</v>
      </c>
      <c r="E226" s="3336" t="s">
        <v>3398</v>
      </c>
      <c r="F226" s="3336"/>
      <c r="G226" s="3336"/>
      <c r="H226" s="3336"/>
    </row>
    <row r="227" spans="1:8" ht="3" customHeight="1">
      <c r="D227" s="814"/>
      <c r="E227" s="1784"/>
      <c r="F227" s="1784"/>
      <c r="G227" s="1784"/>
      <c r="H227" s="1784"/>
    </row>
    <row r="228" spans="1:8" ht="12.75" customHeight="1">
      <c r="C228" s="779" t="s">
        <v>3136</v>
      </c>
      <c r="D228" s="814" t="s">
        <v>1937</v>
      </c>
      <c r="E228" s="815"/>
      <c r="F228" s="811" t="s">
        <v>3137</v>
      </c>
      <c r="G228" s="811"/>
      <c r="H228" s="811"/>
    </row>
    <row r="229" spans="1:8" ht="12.75" customHeight="1">
      <c r="C229" s="816" t="s">
        <v>1325</v>
      </c>
      <c r="D229" s="814" t="s">
        <v>1939</v>
      </c>
      <c r="E229" s="3269" t="s">
        <v>3236</v>
      </c>
      <c r="F229" s="3269"/>
      <c r="G229" s="3269"/>
      <c r="H229" s="3269"/>
    </row>
    <row r="230" spans="1:8" ht="12.75" customHeight="1">
      <c r="C230" s="1787" t="s">
        <v>4822</v>
      </c>
      <c r="E230" s="3269" t="s">
        <v>3397</v>
      </c>
      <c r="F230" s="3269"/>
      <c r="G230" s="3269"/>
      <c r="H230" s="3269"/>
    </row>
    <row r="231" spans="1:8" ht="12.75" customHeight="1">
      <c r="C231" s="1788"/>
      <c r="D231" s="1786" t="s">
        <v>3235</v>
      </c>
      <c r="E231" s="3335" t="s">
        <v>3398</v>
      </c>
      <c r="F231" s="3335"/>
      <c r="G231" s="3335"/>
      <c r="H231" s="3335"/>
    </row>
    <row r="232" spans="1:8" ht="3" customHeight="1">
      <c r="D232" s="814"/>
      <c r="E232" s="1784"/>
      <c r="F232" s="1784"/>
      <c r="G232" s="1784"/>
      <c r="H232" s="1784"/>
    </row>
    <row r="233" spans="1:8" ht="12.75" customHeight="1">
      <c r="C233" s="779" t="s">
        <v>3136</v>
      </c>
      <c r="D233" s="814" t="s">
        <v>1937</v>
      </c>
      <c r="E233" s="815"/>
      <c r="F233" s="811" t="s">
        <v>3137</v>
      </c>
      <c r="G233" s="811"/>
      <c r="H233" s="811"/>
    </row>
    <row r="234" spans="1:8" ht="12.75" customHeight="1">
      <c r="C234" s="816" t="s">
        <v>1325</v>
      </c>
      <c r="D234" s="814" t="s">
        <v>1939</v>
      </c>
      <c r="E234" s="3269" t="s">
        <v>3236</v>
      </c>
      <c r="F234" s="3269"/>
      <c r="G234" s="3269"/>
      <c r="H234" s="3269"/>
    </row>
    <row r="235" spans="1:8" ht="12.75" customHeight="1">
      <c r="C235" s="1787" t="s">
        <v>4822</v>
      </c>
      <c r="E235" s="3269" t="s">
        <v>3397</v>
      </c>
      <c r="F235" s="3269"/>
      <c r="G235" s="3269"/>
      <c r="H235" s="3269"/>
    </row>
    <row r="236" spans="1:8" ht="12.75" customHeight="1">
      <c r="C236" s="1788"/>
      <c r="D236" s="1786" t="s">
        <v>3235</v>
      </c>
      <c r="E236" s="3335" t="s">
        <v>3398</v>
      </c>
      <c r="F236" s="3335"/>
      <c r="G236" s="3335"/>
      <c r="H236" s="3335"/>
    </row>
    <row r="237" spans="1:8" ht="6" customHeight="1">
      <c r="D237" s="814"/>
      <c r="E237" s="1784"/>
      <c r="F237" s="1784"/>
      <c r="G237" s="1784"/>
      <c r="H237" s="1784"/>
    </row>
    <row r="238" spans="1:8">
      <c r="A238" s="785" t="s">
        <v>3231</v>
      </c>
      <c r="B238" s="812" t="str">
        <f>IF('Part VI-Revenues &amp; Expenses'!$N$60=0,"",'Part VI-Revenues &amp; Expenses'!$N$60)</f>
        <v/>
      </c>
      <c r="C238" s="785" t="s">
        <v>3234</v>
      </c>
      <c r="D238" s="813" t="s">
        <v>3401</v>
      </c>
    </row>
    <row r="239" spans="1:8" ht="1.95" customHeight="1"/>
    <row r="240" spans="1:8" ht="12.75" customHeight="1">
      <c r="C240" s="779" t="s">
        <v>3136</v>
      </c>
      <c r="D240" s="814" t="s">
        <v>1937</v>
      </c>
      <c r="E240" s="815"/>
      <c r="F240" s="811" t="s">
        <v>3137</v>
      </c>
      <c r="G240" s="811"/>
      <c r="H240" s="811"/>
    </row>
    <row r="241" spans="1:8" ht="12.75" customHeight="1">
      <c r="C241" s="816" t="s">
        <v>1325</v>
      </c>
      <c r="D241" s="814" t="s">
        <v>1939</v>
      </c>
      <c r="E241" s="3269" t="s">
        <v>3236</v>
      </c>
      <c r="F241" s="3269"/>
      <c r="G241" s="3269"/>
      <c r="H241" s="3269"/>
    </row>
    <row r="242" spans="1:8" ht="12.75" customHeight="1">
      <c r="C242" s="1787" t="s">
        <v>4822</v>
      </c>
      <c r="E242" s="3269" t="s">
        <v>3397</v>
      </c>
      <c r="F242" s="3269"/>
      <c r="G242" s="3269"/>
      <c r="H242" s="3269"/>
    </row>
    <row r="243" spans="1:8" ht="12.75" customHeight="1">
      <c r="C243" s="1788"/>
      <c r="D243" s="1785" t="s">
        <v>3235</v>
      </c>
      <c r="E243" s="3336" t="s">
        <v>3398</v>
      </c>
      <c r="F243" s="3336"/>
      <c r="G243" s="3336"/>
      <c r="H243" s="3336"/>
    </row>
    <row r="244" spans="1:8" ht="3" customHeight="1">
      <c r="D244" s="814"/>
      <c r="E244" s="1784"/>
      <c r="F244" s="1784"/>
      <c r="G244" s="1784"/>
      <c r="H244" s="1784"/>
    </row>
    <row r="245" spans="1:8" ht="12.75" customHeight="1">
      <c r="C245" s="779" t="s">
        <v>3136</v>
      </c>
      <c r="D245" s="814" t="s">
        <v>1937</v>
      </c>
      <c r="E245" s="815"/>
      <c r="F245" s="811" t="s">
        <v>3137</v>
      </c>
      <c r="G245" s="811"/>
      <c r="H245" s="811"/>
    </row>
    <row r="246" spans="1:8" ht="12.75" customHeight="1">
      <c r="C246" s="816" t="s">
        <v>1325</v>
      </c>
      <c r="D246" s="814" t="s">
        <v>1939</v>
      </c>
      <c r="E246" s="3269" t="s">
        <v>3236</v>
      </c>
      <c r="F246" s="3269"/>
      <c r="G246" s="3269"/>
      <c r="H246" s="3269"/>
    </row>
    <row r="247" spans="1:8" ht="12.75" customHeight="1">
      <c r="C247" s="1787" t="s">
        <v>4822</v>
      </c>
      <c r="E247" s="3269" t="s">
        <v>3397</v>
      </c>
      <c r="F247" s="3269"/>
      <c r="G247" s="3269"/>
      <c r="H247" s="3269"/>
    </row>
    <row r="248" spans="1:8" ht="12.75" customHeight="1">
      <c r="C248" s="1788"/>
      <c r="D248" s="1786" t="s">
        <v>3235</v>
      </c>
      <c r="E248" s="3335" t="s">
        <v>3398</v>
      </c>
      <c r="F248" s="3335"/>
      <c r="G248" s="3335"/>
      <c r="H248" s="3335"/>
    </row>
    <row r="249" spans="1:8" ht="3" customHeight="1">
      <c r="D249" s="814"/>
      <c r="E249" s="1784"/>
      <c r="F249" s="1784"/>
      <c r="G249" s="1784"/>
      <c r="H249" s="1784"/>
    </row>
    <row r="250" spans="1:8" ht="12.75" customHeight="1">
      <c r="C250" s="779" t="s">
        <v>3136</v>
      </c>
      <c r="D250" s="814" t="s">
        <v>1937</v>
      </c>
      <c r="E250" s="815"/>
      <c r="F250" s="811" t="s">
        <v>3137</v>
      </c>
      <c r="G250" s="811"/>
      <c r="H250" s="811"/>
    </row>
    <row r="251" spans="1:8" ht="12.75" customHeight="1">
      <c r="C251" s="816" t="s">
        <v>1325</v>
      </c>
      <c r="D251" s="814" t="s">
        <v>1939</v>
      </c>
      <c r="E251" s="3269" t="s">
        <v>3236</v>
      </c>
      <c r="F251" s="3269"/>
      <c r="G251" s="3269"/>
      <c r="H251" s="3269"/>
    </row>
    <row r="252" spans="1:8" ht="12.75" customHeight="1">
      <c r="C252" s="1787" t="s">
        <v>4822</v>
      </c>
      <c r="E252" s="3269" t="s">
        <v>3397</v>
      </c>
      <c r="F252" s="3269"/>
      <c r="G252" s="3269"/>
      <c r="H252" s="3269"/>
    </row>
    <row r="253" spans="1:8" ht="12.75" customHeight="1">
      <c r="C253" s="1788"/>
      <c r="D253" s="1786" t="s">
        <v>3235</v>
      </c>
      <c r="E253" s="3335" t="s">
        <v>3398</v>
      </c>
      <c r="F253" s="3335"/>
      <c r="G253" s="3335"/>
      <c r="H253" s="3335"/>
    </row>
    <row r="254" spans="1:8" ht="6" customHeight="1">
      <c r="D254" s="814"/>
      <c r="E254" s="1784"/>
      <c r="F254" s="1784"/>
      <c r="G254" s="1784"/>
      <c r="H254" s="1784"/>
    </row>
    <row r="255" spans="1:8">
      <c r="A255" s="785" t="s">
        <v>3231</v>
      </c>
      <c r="B255" s="812" t="str">
        <f>IF('Part VI-Revenues &amp; Expenses'!$O$60=0,"",'Part VI-Revenues &amp; Expenses'!$O$60)</f>
        <v/>
      </c>
      <c r="C255" s="785" t="s">
        <v>4820</v>
      </c>
      <c r="D255" s="813" t="s">
        <v>4821</v>
      </c>
    </row>
    <row r="256" spans="1:8" ht="1.95" customHeight="1"/>
    <row r="257" spans="1:11" ht="12.75" customHeight="1">
      <c r="C257" s="779" t="s">
        <v>3136</v>
      </c>
      <c r="D257" s="814" t="s">
        <v>1937</v>
      </c>
      <c r="E257" s="815"/>
      <c r="F257" s="3269" t="s">
        <v>3137</v>
      </c>
      <c r="G257" s="3269"/>
      <c r="H257" s="3269"/>
      <c r="K257" s="730" t="s">
        <v>238</v>
      </c>
    </row>
    <row r="258" spans="1:11" ht="12.75" customHeight="1">
      <c r="C258" s="816" t="s">
        <v>1325</v>
      </c>
      <c r="D258" s="814" t="s">
        <v>1939</v>
      </c>
      <c r="E258" s="3269" t="s">
        <v>3237</v>
      </c>
      <c r="F258" s="3269"/>
      <c r="G258" s="3269"/>
      <c r="H258" s="3269"/>
    </row>
    <row r="259" spans="1:11" ht="12.75" customHeight="1">
      <c r="E259" s="3269" t="s">
        <v>3397</v>
      </c>
      <c r="F259" s="3269"/>
      <c r="G259" s="3269"/>
      <c r="H259" s="3269"/>
    </row>
    <row r="260" spans="1:11" ht="12.75" customHeight="1">
      <c r="D260" s="817" t="s">
        <v>3235</v>
      </c>
      <c r="E260" s="3269" t="s">
        <v>3398</v>
      </c>
      <c r="F260" s="3269"/>
      <c r="G260" s="3269"/>
      <c r="H260" s="3269"/>
    </row>
    <row r="261" spans="1:11" ht="9" customHeight="1" thickBot="1"/>
    <row r="262" spans="1:11" ht="16.2" customHeight="1" thickBot="1">
      <c r="A262" s="3333">
        <v>50</v>
      </c>
      <c r="B262" s="3334"/>
      <c r="C262" s="1789" t="s">
        <v>1017</v>
      </c>
    </row>
    <row r="263" spans="1:11" ht="9" customHeight="1">
      <c r="A263" s="752"/>
    </row>
    <row r="264" spans="1:11" ht="28.2" customHeight="1">
      <c r="A264" s="3337" t="s">
        <v>4823</v>
      </c>
      <c r="B264" s="3337"/>
      <c r="C264" s="3337"/>
      <c r="D264" s="3337"/>
      <c r="E264" s="3337"/>
      <c r="F264" s="3337"/>
      <c r="G264" s="3337"/>
      <c r="H264" s="3337"/>
    </row>
    <row r="265" spans="1:11" ht="9" customHeight="1">
      <c r="A265" s="752"/>
    </row>
    <row r="266" spans="1:11">
      <c r="A266" s="785" t="s">
        <v>3231</v>
      </c>
      <c r="B266" s="812" t="str">
        <f>IF('Part VI-Revenues &amp; Expenses'!$K$59=0,"",'Part VI-Revenues &amp; Expenses'!$K$59)</f>
        <v/>
      </c>
      <c r="C266" s="785" t="s">
        <v>4817</v>
      </c>
      <c r="D266" s="813" t="s">
        <v>4818</v>
      </c>
    </row>
    <row r="267" spans="1:11" ht="1.95" customHeight="1"/>
    <row r="268" spans="1:11" ht="12.75" customHeight="1">
      <c r="C268" s="779" t="s">
        <v>3136</v>
      </c>
      <c r="D268" s="814" t="s">
        <v>1937</v>
      </c>
      <c r="E268" s="815"/>
      <c r="F268" s="3269" t="s">
        <v>3137</v>
      </c>
      <c r="G268" s="3269"/>
      <c r="H268" s="3269"/>
    </row>
    <row r="269" spans="1:11" ht="12.75" customHeight="1">
      <c r="C269" s="816" t="s">
        <v>1325</v>
      </c>
      <c r="D269" s="814" t="s">
        <v>1939</v>
      </c>
      <c r="E269" s="3269" t="s">
        <v>3236</v>
      </c>
      <c r="F269" s="3269"/>
      <c r="G269" s="3269"/>
      <c r="H269" s="3269"/>
    </row>
    <row r="270" spans="1:11" ht="12.75" customHeight="1">
      <c r="C270" s="1787" t="s">
        <v>4822</v>
      </c>
      <c r="E270" s="3269" t="s">
        <v>3397</v>
      </c>
      <c r="F270" s="3269"/>
      <c r="G270" s="3269"/>
      <c r="H270" s="3269"/>
    </row>
    <row r="271" spans="1:11" ht="12.75" customHeight="1">
      <c r="C271" s="1788"/>
      <c r="D271" s="1786" t="s">
        <v>3235</v>
      </c>
      <c r="E271" s="3335" t="s">
        <v>3398</v>
      </c>
      <c r="F271" s="3335"/>
      <c r="G271" s="3335"/>
      <c r="H271" s="3335"/>
    </row>
    <row r="272" spans="1:11" ht="3" customHeight="1">
      <c r="D272" s="814"/>
      <c r="E272" s="1784"/>
      <c r="F272" s="1784"/>
      <c r="G272" s="1784"/>
      <c r="H272" s="1784"/>
    </row>
    <row r="273" spans="1:8" ht="12.75" customHeight="1">
      <c r="C273" s="779" t="s">
        <v>3136</v>
      </c>
      <c r="D273" s="814" t="s">
        <v>1937</v>
      </c>
      <c r="E273" s="815"/>
      <c r="F273" s="811" t="s">
        <v>3137</v>
      </c>
      <c r="G273" s="811"/>
      <c r="H273" s="811"/>
    </row>
    <row r="274" spans="1:8" ht="12.75" customHeight="1">
      <c r="C274" s="816" t="s">
        <v>1325</v>
      </c>
      <c r="D274" s="814" t="s">
        <v>1939</v>
      </c>
      <c r="E274" s="3269" t="s">
        <v>3236</v>
      </c>
      <c r="F274" s="3269"/>
      <c r="G274" s="3269"/>
      <c r="H274" s="3269"/>
    </row>
    <row r="275" spans="1:8" ht="12.75" customHeight="1">
      <c r="C275" s="1787" t="s">
        <v>4822</v>
      </c>
      <c r="E275" s="3269" t="s">
        <v>3397</v>
      </c>
      <c r="F275" s="3269"/>
      <c r="G275" s="3269"/>
      <c r="H275" s="3269"/>
    </row>
    <row r="276" spans="1:8" ht="12.75" customHeight="1">
      <c r="C276" s="1788"/>
      <c r="D276" s="1786" t="s">
        <v>3235</v>
      </c>
      <c r="E276" s="3335" t="s">
        <v>3398</v>
      </c>
      <c r="F276" s="3335"/>
      <c r="G276" s="3335"/>
      <c r="H276" s="3335"/>
    </row>
    <row r="277" spans="1:8" ht="3" customHeight="1">
      <c r="D277" s="814"/>
      <c r="E277" s="1784"/>
      <c r="F277" s="1784"/>
      <c r="G277" s="1784"/>
      <c r="H277" s="1784"/>
    </row>
    <row r="278" spans="1:8" ht="12.75" customHeight="1">
      <c r="C278" s="779" t="s">
        <v>3136</v>
      </c>
      <c r="D278" s="814" t="s">
        <v>1937</v>
      </c>
      <c r="E278" s="815"/>
      <c r="F278" s="811" t="s">
        <v>3137</v>
      </c>
      <c r="G278" s="811"/>
      <c r="H278" s="811"/>
    </row>
    <row r="279" spans="1:8" ht="12.75" customHeight="1">
      <c r="C279" s="816" t="s">
        <v>1325</v>
      </c>
      <c r="D279" s="814" t="s">
        <v>1939</v>
      </c>
      <c r="E279" s="3269" t="s">
        <v>3236</v>
      </c>
      <c r="F279" s="3269"/>
      <c r="G279" s="3269"/>
      <c r="H279" s="3269"/>
    </row>
    <row r="280" spans="1:8" ht="12.75" customHeight="1">
      <c r="C280" s="1787" t="s">
        <v>4822</v>
      </c>
      <c r="E280" s="3269" t="s">
        <v>3397</v>
      </c>
      <c r="F280" s="3269"/>
      <c r="G280" s="3269"/>
      <c r="H280" s="3269"/>
    </row>
    <row r="281" spans="1:8" ht="12.75" customHeight="1">
      <c r="C281" s="1788"/>
      <c r="D281" s="1786" t="s">
        <v>3235</v>
      </c>
      <c r="E281" s="3335" t="s">
        <v>3398</v>
      </c>
      <c r="F281" s="3335"/>
      <c r="G281" s="3335"/>
      <c r="H281" s="3335"/>
    </row>
    <row r="282" spans="1:8" ht="6" customHeight="1">
      <c r="D282" s="814"/>
      <c r="E282" s="1784"/>
      <c r="F282" s="1784"/>
      <c r="G282" s="1784"/>
      <c r="H282" s="1784"/>
    </row>
    <row r="283" spans="1:8">
      <c r="A283" s="785" t="s">
        <v>3231</v>
      </c>
      <c r="B283" s="812">
        <f>IF('Part VI-Revenues &amp; Expenses'!$L$59=0,"",'Part VI-Revenues &amp; Expenses'!$L$59)</f>
        <v>12</v>
      </c>
      <c r="C283" s="785" t="s">
        <v>3232</v>
      </c>
      <c r="D283" s="813" t="s">
        <v>3399</v>
      </c>
    </row>
    <row r="284" spans="1:8" ht="1.95" customHeight="1"/>
    <row r="285" spans="1:8" ht="12.75" customHeight="1">
      <c r="C285" s="779" t="s">
        <v>3136</v>
      </c>
      <c r="D285" s="814" t="s">
        <v>1937</v>
      </c>
      <c r="E285" s="815"/>
      <c r="F285" s="811" t="s">
        <v>3137</v>
      </c>
      <c r="G285" s="811"/>
      <c r="H285" s="811"/>
    </row>
    <row r="286" spans="1:8" ht="12.75" customHeight="1">
      <c r="C286" s="816" t="s">
        <v>1325</v>
      </c>
      <c r="D286" s="814" t="s">
        <v>1939</v>
      </c>
      <c r="E286" s="3269" t="s">
        <v>3236</v>
      </c>
      <c r="F286" s="3269"/>
      <c r="G286" s="3269"/>
      <c r="H286" s="3269"/>
    </row>
    <row r="287" spans="1:8" ht="12.75" customHeight="1">
      <c r="C287" s="1787" t="s">
        <v>4822</v>
      </c>
      <c r="E287" s="3269" t="s">
        <v>3397</v>
      </c>
      <c r="F287" s="3269"/>
      <c r="G287" s="3269"/>
      <c r="H287" s="3269"/>
    </row>
    <row r="288" spans="1:8" ht="12.75" customHeight="1">
      <c r="C288" s="1788"/>
      <c r="D288" s="1785" t="s">
        <v>3235</v>
      </c>
      <c r="E288" s="3336" t="s">
        <v>3398</v>
      </c>
      <c r="F288" s="3336"/>
      <c r="G288" s="3336"/>
      <c r="H288" s="3336"/>
    </row>
    <row r="289" spans="1:8" ht="3" customHeight="1">
      <c r="D289" s="814"/>
      <c r="E289" s="1784"/>
      <c r="F289" s="1784"/>
      <c r="G289" s="1784"/>
      <c r="H289" s="1784"/>
    </row>
    <row r="290" spans="1:8" ht="12.75" customHeight="1">
      <c r="C290" s="779" t="s">
        <v>3136</v>
      </c>
      <c r="D290" s="814" t="s">
        <v>1937</v>
      </c>
      <c r="E290" s="815"/>
      <c r="F290" s="811" t="s">
        <v>3137</v>
      </c>
      <c r="G290" s="811"/>
      <c r="H290" s="811"/>
    </row>
    <row r="291" spans="1:8" ht="12.75" customHeight="1">
      <c r="C291" s="816" t="s">
        <v>1325</v>
      </c>
      <c r="D291" s="814" t="s">
        <v>1939</v>
      </c>
      <c r="E291" s="3269" t="s">
        <v>3236</v>
      </c>
      <c r="F291" s="3269"/>
      <c r="G291" s="3269"/>
      <c r="H291" s="3269"/>
    </row>
    <row r="292" spans="1:8" ht="12.75" customHeight="1">
      <c r="C292" s="1787" t="s">
        <v>4822</v>
      </c>
      <c r="E292" s="3269" t="s">
        <v>3397</v>
      </c>
      <c r="F292" s="3269"/>
      <c r="G292" s="3269"/>
      <c r="H292" s="3269"/>
    </row>
    <row r="293" spans="1:8" ht="12.75" customHeight="1">
      <c r="C293" s="1788"/>
      <c r="D293" s="1786" t="s">
        <v>3235</v>
      </c>
      <c r="E293" s="3335" t="s">
        <v>3398</v>
      </c>
      <c r="F293" s="3335"/>
      <c r="G293" s="3335"/>
      <c r="H293" s="3335"/>
    </row>
    <row r="294" spans="1:8" ht="3" customHeight="1">
      <c r="D294" s="814"/>
      <c r="E294" s="1784"/>
      <c r="F294" s="1784"/>
      <c r="G294" s="1784"/>
      <c r="H294" s="1784"/>
    </row>
    <row r="295" spans="1:8" ht="12.75" customHeight="1">
      <c r="C295" s="779" t="s">
        <v>3136</v>
      </c>
      <c r="D295" s="814" t="s">
        <v>1937</v>
      </c>
      <c r="E295" s="815"/>
      <c r="F295" s="811" t="s">
        <v>3137</v>
      </c>
      <c r="G295" s="811"/>
      <c r="H295" s="811"/>
    </row>
    <row r="296" spans="1:8" ht="12.75" customHeight="1">
      <c r="C296" s="816" t="s">
        <v>1325</v>
      </c>
      <c r="D296" s="814" t="s">
        <v>1939</v>
      </c>
      <c r="E296" s="3269" t="s">
        <v>3236</v>
      </c>
      <c r="F296" s="3269"/>
      <c r="G296" s="3269"/>
      <c r="H296" s="3269"/>
    </row>
    <row r="297" spans="1:8" ht="12.75" customHeight="1">
      <c r="C297" s="1787" t="s">
        <v>4822</v>
      </c>
      <c r="E297" s="3269" t="s">
        <v>3397</v>
      </c>
      <c r="F297" s="3269"/>
      <c r="G297" s="3269"/>
      <c r="H297" s="3269"/>
    </row>
    <row r="298" spans="1:8" ht="12.75" customHeight="1">
      <c r="C298" s="1788"/>
      <c r="D298" s="1786" t="s">
        <v>3235</v>
      </c>
      <c r="E298" s="3335" t="s">
        <v>3398</v>
      </c>
      <c r="F298" s="3335"/>
      <c r="G298" s="3335"/>
      <c r="H298" s="3335"/>
    </row>
    <row r="299" spans="1:8" ht="6" customHeight="1">
      <c r="D299" s="814"/>
      <c r="E299" s="1784"/>
      <c r="F299" s="1784"/>
      <c r="G299" s="1784"/>
      <c r="H299" s="1784"/>
    </row>
    <row r="300" spans="1:8">
      <c r="A300" s="785" t="s">
        <v>3231</v>
      </c>
      <c r="B300" s="812">
        <f>IF('Part VI-Revenues &amp; Expenses'!$M$59=0,"",'Part VI-Revenues &amp; Expenses'!$M$59)</f>
        <v>20</v>
      </c>
      <c r="C300" s="785" t="s">
        <v>3233</v>
      </c>
      <c r="D300" s="813" t="s">
        <v>3400</v>
      </c>
    </row>
    <row r="301" spans="1:8" ht="1.95" customHeight="1"/>
    <row r="302" spans="1:8" ht="12.75" customHeight="1">
      <c r="C302" s="779" t="s">
        <v>3136</v>
      </c>
      <c r="D302" s="814" t="s">
        <v>1937</v>
      </c>
      <c r="E302" s="815"/>
      <c r="F302" s="811" t="s">
        <v>3137</v>
      </c>
      <c r="G302" s="811"/>
      <c r="H302" s="811"/>
    </row>
    <row r="303" spans="1:8" ht="12.75" customHeight="1">
      <c r="C303" s="816" t="s">
        <v>1325</v>
      </c>
      <c r="D303" s="814" t="s">
        <v>1939</v>
      </c>
      <c r="E303" s="3269" t="s">
        <v>3236</v>
      </c>
      <c r="F303" s="3269"/>
      <c r="G303" s="3269"/>
      <c r="H303" s="3269"/>
    </row>
    <row r="304" spans="1:8" ht="12.75" customHeight="1">
      <c r="C304" s="1787" t="s">
        <v>4822</v>
      </c>
      <c r="E304" s="3269" t="s">
        <v>3397</v>
      </c>
      <c r="F304" s="3269"/>
      <c r="G304" s="3269"/>
      <c r="H304" s="3269"/>
    </row>
    <row r="305" spans="1:8" ht="12.75" customHeight="1">
      <c r="C305" s="1788"/>
      <c r="D305" s="1785" t="s">
        <v>3235</v>
      </c>
      <c r="E305" s="3336" t="s">
        <v>3398</v>
      </c>
      <c r="F305" s="3336"/>
      <c r="G305" s="3336"/>
      <c r="H305" s="3336"/>
    </row>
    <row r="306" spans="1:8" ht="3" customHeight="1">
      <c r="D306" s="814"/>
      <c r="E306" s="1784"/>
      <c r="F306" s="1784"/>
      <c r="G306" s="1784"/>
      <c r="H306" s="1784"/>
    </row>
    <row r="307" spans="1:8" ht="12.75" customHeight="1">
      <c r="C307" s="779" t="s">
        <v>3136</v>
      </c>
      <c r="D307" s="814" t="s">
        <v>1937</v>
      </c>
      <c r="E307" s="815"/>
      <c r="F307" s="811" t="s">
        <v>3137</v>
      </c>
      <c r="G307" s="811"/>
      <c r="H307" s="811"/>
    </row>
    <row r="308" spans="1:8" ht="12.75" customHeight="1">
      <c r="C308" s="816" t="s">
        <v>1325</v>
      </c>
      <c r="D308" s="814" t="s">
        <v>1939</v>
      </c>
      <c r="E308" s="3269" t="s">
        <v>3236</v>
      </c>
      <c r="F308" s="3269"/>
      <c r="G308" s="3269"/>
      <c r="H308" s="3269"/>
    </row>
    <row r="309" spans="1:8" ht="12.75" customHeight="1">
      <c r="C309" s="1787" t="s">
        <v>4822</v>
      </c>
      <c r="E309" s="3269" t="s">
        <v>3397</v>
      </c>
      <c r="F309" s="3269"/>
      <c r="G309" s="3269"/>
      <c r="H309" s="3269"/>
    </row>
    <row r="310" spans="1:8" ht="12.75" customHeight="1">
      <c r="C310" s="1788"/>
      <c r="D310" s="1786" t="s">
        <v>3235</v>
      </c>
      <c r="E310" s="3335" t="s">
        <v>3398</v>
      </c>
      <c r="F310" s="3335"/>
      <c r="G310" s="3335"/>
      <c r="H310" s="3335"/>
    </row>
    <row r="311" spans="1:8" ht="3" customHeight="1">
      <c r="D311" s="814"/>
      <c r="E311" s="1784"/>
      <c r="F311" s="1784"/>
      <c r="G311" s="1784"/>
      <c r="H311" s="1784"/>
    </row>
    <row r="312" spans="1:8" ht="12.75" customHeight="1">
      <c r="C312" s="779" t="s">
        <v>3136</v>
      </c>
      <c r="D312" s="814" t="s">
        <v>1937</v>
      </c>
      <c r="E312" s="815"/>
      <c r="F312" s="811" t="s">
        <v>3137</v>
      </c>
      <c r="G312" s="811"/>
      <c r="H312" s="811"/>
    </row>
    <row r="313" spans="1:8" ht="12.75" customHeight="1">
      <c r="C313" s="816" t="s">
        <v>1325</v>
      </c>
      <c r="D313" s="814" t="s">
        <v>1939</v>
      </c>
      <c r="E313" s="3269" t="s">
        <v>3236</v>
      </c>
      <c r="F313" s="3269"/>
      <c r="G313" s="3269"/>
      <c r="H313" s="3269"/>
    </row>
    <row r="314" spans="1:8" ht="12.75" customHeight="1">
      <c r="C314" s="1787" t="s">
        <v>4822</v>
      </c>
      <c r="E314" s="3269" t="s">
        <v>3397</v>
      </c>
      <c r="F314" s="3269"/>
      <c r="G314" s="3269"/>
      <c r="H314" s="3269"/>
    </row>
    <row r="315" spans="1:8" ht="12.75" customHeight="1">
      <c r="C315" s="1788"/>
      <c r="D315" s="1786" t="s">
        <v>3235</v>
      </c>
      <c r="E315" s="3335" t="s">
        <v>3398</v>
      </c>
      <c r="F315" s="3335"/>
      <c r="G315" s="3335"/>
      <c r="H315" s="3335"/>
    </row>
    <row r="316" spans="1:8" ht="6" customHeight="1">
      <c r="D316" s="814"/>
      <c r="E316" s="1784"/>
      <c r="F316" s="1784"/>
      <c r="G316" s="1784"/>
      <c r="H316" s="1784"/>
    </row>
    <row r="317" spans="1:8">
      <c r="A317" s="785" t="s">
        <v>3231</v>
      </c>
      <c r="B317" s="812">
        <f>IF('Part VI-Revenues &amp; Expenses'!$N$59=0,"",'Part VI-Revenues &amp; Expenses'!$N$59)</f>
        <v>8</v>
      </c>
      <c r="C317" s="785" t="s">
        <v>3234</v>
      </c>
      <c r="D317" s="813" t="s">
        <v>3401</v>
      </c>
    </row>
    <row r="318" spans="1:8" ht="1.95" customHeight="1"/>
    <row r="319" spans="1:8" ht="12.75" customHeight="1">
      <c r="C319" s="779" t="s">
        <v>3136</v>
      </c>
      <c r="D319" s="814" t="s">
        <v>1937</v>
      </c>
      <c r="E319" s="815"/>
      <c r="F319" s="811" t="s">
        <v>3137</v>
      </c>
      <c r="G319" s="811"/>
      <c r="H319" s="811"/>
    </row>
    <row r="320" spans="1:8" ht="12.75" customHeight="1">
      <c r="C320" s="816" t="s">
        <v>1325</v>
      </c>
      <c r="D320" s="814" t="s">
        <v>1939</v>
      </c>
      <c r="E320" s="3269" t="s">
        <v>3236</v>
      </c>
      <c r="F320" s="3269"/>
      <c r="G320" s="3269"/>
      <c r="H320" s="3269"/>
    </row>
    <row r="321" spans="1:11" ht="12.75" customHeight="1">
      <c r="C321" s="1787" t="s">
        <v>4822</v>
      </c>
      <c r="E321" s="3269" t="s">
        <v>3397</v>
      </c>
      <c r="F321" s="3269"/>
      <c r="G321" s="3269"/>
      <c r="H321" s="3269"/>
    </row>
    <row r="322" spans="1:11" ht="12.75" customHeight="1">
      <c r="C322" s="1788"/>
      <c r="D322" s="1785" t="s">
        <v>3235</v>
      </c>
      <c r="E322" s="3336" t="s">
        <v>3398</v>
      </c>
      <c r="F322" s="3336"/>
      <c r="G322" s="3336"/>
      <c r="H322" s="3336"/>
    </row>
    <row r="323" spans="1:11" ht="3" customHeight="1">
      <c r="D323" s="814"/>
      <c r="E323" s="1784"/>
      <c r="F323" s="1784"/>
      <c r="G323" s="1784"/>
      <c r="H323" s="1784"/>
    </row>
    <row r="324" spans="1:11" ht="12.75" customHeight="1">
      <c r="C324" s="779" t="s">
        <v>3136</v>
      </c>
      <c r="D324" s="814" t="s">
        <v>1937</v>
      </c>
      <c r="E324" s="815"/>
      <c r="F324" s="811" t="s">
        <v>3137</v>
      </c>
      <c r="G324" s="811"/>
      <c r="H324" s="811"/>
    </row>
    <row r="325" spans="1:11" ht="12.75" customHeight="1">
      <c r="C325" s="816" t="s">
        <v>1325</v>
      </c>
      <c r="D325" s="814" t="s">
        <v>1939</v>
      </c>
      <c r="E325" s="3269" t="s">
        <v>3236</v>
      </c>
      <c r="F325" s="3269"/>
      <c r="G325" s="3269"/>
      <c r="H325" s="3269"/>
    </row>
    <row r="326" spans="1:11" ht="12.75" customHeight="1">
      <c r="C326" s="1787" t="s">
        <v>4822</v>
      </c>
      <c r="E326" s="3269" t="s">
        <v>3397</v>
      </c>
      <c r="F326" s="3269"/>
      <c r="G326" s="3269"/>
      <c r="H326" s="3269"/>
    </row>
    <row r="327" spans="1:11" ht="12.75" customHeight="1">
      <c r="C327" s="1788"/>
      <c r="D327" s="1786" t="s">
        <v>3235</v>
      </c>
      <c r="E327" s="3335" t="s">
        <v>3398</v>
      </c>
      <c r="F327" s="3335"/>
      <c r="G327" s="3335"/>
      <c r="H327" s="3335"/>
    </row>
    <row r="328" spans="1:11" ht="3" customHeight="1">
      <c r="D328" s="814"/>
      <c r="E328" s="1784"/>
      <c r="F328" s="1784"/>
      <c r="G328" s="1784"/>
      <c r="H328" s="1784"/>
    </row>
    <row r="329" spans="1:11" ht="12.75" customHeight="1">
      <c r="C329" s="779" t="s">
        <v>3136</v>
      </c>
      <c r="D329" s="814" t="s">
        <v>1937</v>
      </c>
      <c r="E329" s="815"/>
      <c r="F329" s="811" t="s">
        <v>3137</v>
      </c>
      <c r="G329" s="811"/>
      <c r="H329" s="811"/>
    </row>
    <row r="330" spans="1:11" ht="12.75" customHeight="1">
      <c r="C330" s="816" t="s">
        <v>1325</v>
      </c>
      <c r="D330" s="814" t="s">
        <v>1939</v>
      </c>
      <c r="E330" s="3269" t="s">
        <v>3236</v>
      </c>
      <c r="F330" s="3269"/>
      <c r="G330" s="3269"/>
      <c r="H330" s="3269"/>
    </row>
    <row r="331" spans="1:11" ht="12.75" customHeight="1">
      <c r="C331" s="1787" t="s">
        <v>4822</v>
      </c>
      <c r="E331" s="3269" t="s">
        <v>3397</v>
      </c>
      <c r="F331" s="3269"/>
      <c r="G331" s="3269"/>
      <c r="H331" s="3269"/>
    </row>
    <row r="332" spans="1:11" ht="12.75" customHeight="1">
      <c r="C332" s="1788"/>
      <c r="D332" s="1786" t="s">
        <v>3235</v>
      </c>
      <c r="E332" s="3335" t="s">
        <v>3398</v>
      </c>
      <c r="F332" s="3335"/>
      <c r="G332" s="3335"/>
      <c r="H332" s="3335"/>
    </row>
    <row r="333" spans="1:11" ht="6" customHeight="1">
      <c r="D333" s="814"/>
      <c r="E333" s="1784"/>
      <c r="F333" s="1784"/>
      <c r="G333" s="1784"/>
      <c r="H333" s="1784"/>
    </row>
    <row r="334" spans="1:11">
      <c r="A334" s="785" t="s">
        <v>3231</v>
      </c>
      <c r="B334" s="812" t="str">
        <f>IF('Part VI-Revenues &amp; Expenses'!$O$59=0,"",'Part VI-Revenues &amp; Expenses'!$O$59)</f>
        <v/>
      </c>
      <c r="C334" s="785" t="s">
        <v>4820</v>
      </c>
      <c r="D334" s="813" t="s">
        <v>4821</v>
      </c>
    </row>
    <row r="335" spans="1:11" ht="1.95" customHeight="1"/>
    <row r="336" spans="1:11" ht="12.75" customHeight="1">
      <c r="C336" s="779" t="s">
        <v>3136</v>
      </c>
      <c r="D336" s="814" t="s">
        <v>1937</v>
      </c>
      <c r="E336" s="815"/>
      <c r="F336" s="3269" t="s">
        <v>3137</v>
      </c>
      <c r="G336" s="3269"/>
      <c r="H336" s="3269"/>
      <c r="K336" s="730" t="s">
        <v>238</v>
      </c>
    </row>
    <row r="337" spans="1:8" ht="12.75" customHeight="1">
      <c r="C337" s="816" t="s">
        <v>1325</v>
      </c>
      <c r="D337" s="814" t="s">
        <v>1939</v>
      </c>
      <c r="E337" s="3269" t="s">
        <v>3237</v>
      </c>
      <c r="F337" s="3269"/>
      <c r="G337" s="3269"/>
      <c r="H337" s="3269"/>
    </row>
    <row r="338" spans="1:8" ht="12.75" customHeight="1">
      <c r="E338" s="3269" t="s">
        <v>3397</v>
      </c>
      <c r="F338" s="3269"/>
      <c r="G338" s="3269"/>
      <c r="H338" s="3269"/>
    </row>
    <row r="339" spans="1:8" ht="12.75" customHeight="1">
      <c r="D339" s="817" t="s">
        <v>3235</v>
      </c>
      <c r="E339" s="3269" t="s">
        <v>3398</v>
      </c>
      <c r="F339" s="3269"/>
      <c r="G339" s="3269"/>
      <c r="H339" s="3269"/>
    </row>
    <row r="340" spans="1:8" ht="9" customHeight="1"/>
    <row r="341" spans="1:8" ht="7.5" customHeight="1" thickBot="1">
      <c r="E341" s="3269"/>
      <c r="F341" s="3269"/>
      <c r="G341" s="3269"/>
      <c r="H341" s="3269"/>
    </row>
    <row r="342" spans="1:8" ht="16.2" customHeight="1" thickBot="1">
      <c r="A342" s="3333">
        <v>60</v>
      </c>
      <c r="B342" s="3334"/>
      <c r="C342" s="1789" t="s">
        <v>1017</v>
      </c>
    </row>
    <row r="343" spans="1:8" ht="9" customHeight="1">
      <c r="A343" s="752"/>
    </row>
    <row r="344" spans="1:8" ht="28.2" customHeight="1">
      <c r="A344" s="3337" t="s">
        <v>4827</v>
      </c>
      <c r="B344" s="3337"/>
      <c r="C344" s="3337"/>
      <c r="D344" s="3337"/>
      <c r="E344" s="3337"/>
      <c r="F344" s="3337"/>
      <c r="G344" s="3337"/>
      <c r="H344" s="3337"/>
    </row>
    <row r="345" spans="1:8" ht="9" customHeight="1">
      <c r="A345" s="752"/>
    </row>
    <row r="346" spans="1:8">
      <c r="A346" s="785" t="s">
        <v>3231</v>
      </c>
      <c r="B346" s="812" t="str">
        <f>IF('Part VI-Revenues &amp; Expenses'!$K$58=0,"",'Part VI-Revenues &amp; Expenses'!$K$58)</f>
        <v/>
      </c>
      <c r="C346" s="785" t="s">
        <v>4817</v>
      </c>
      <c r="D346" s="813" t="s">
        <v>4818</v>
      </c>
    </row>
    <row r="347" spans="1:8" ht="1.95" customHeight="1"/>
    <row r="348" spans="1:8" ht="12.75" customHeight="1">
      <c r="C348" s="779" t="s">
        <v>3136</v>
      </c>
      <c r="D348" s="814" t="s">
        <v>1937</v>
      </c>
      <c r="E348" s="815"/>
      <c r="F348" s="3269" t="s">
        <v>3137</v>
      </c>
      <c r="G348" s="3269"/>
      <c r="H348" s="3269"/>
    </row>
    <row r="349" spans="1:8" ht="12.75" customHeight="1">
      <c r="C349" s="816" t="s">
        <v>1325</v>
      </c>
      <c r="D349" s="814" t="s">
        <v>1939</v>
      </c>
      <c r="E349" s="3269" t="s">
        <v>3236</v>
      </c>
      <c r="F349" s="3269"/>
      <c r="G349" s="3269"/>
      <c r="H349" s="3269"/>
    </row>
    <row r="350" spans="1:8" ht="12.75" customHeight="1">
      <c r="C350" s="1787" t="s">
        <v>4822</v>
      </c>
      <c r="E350" s="3269" t="s">
        <v>3397</v>
      </c>
      <c r="F350" s="3269"/>
      <c r="G350" s="3269"/>
      <c r="H350" s="3269"/>
    </row>
    <row r="351" spans="1:8" ht="12.75" customHeight="1">
      <c r="C351" s="1788"/>
      <c r="D351" s="1786" t="s">
        <v>3235</v>
      </c>
      <c r="E351" s="3335" t="s">
        <v>3398</v>
      </c>
      <c r="F351" s="3335"/>
      <c r="G351" s="3335"/>
      <c r="H351" s="3335"/>
    </row>
    <row r="352" spans="1:8" ht="3" customHeight="1">
      <c r="D352" s="814"/>
      <c r="E352" s="1784"/>
      <c r="F352" s="1784"/>
      <c r="G352" s="1784"/>
      <c r="H352" s="1784"/>
    </row>
    <row r="353" spans="1:8" ht="12.75" customHeight="1">
      <c r="C353" s="779" t="s">
        <v>3136</v>
      </c>
      <c r="D353" s="814" t="s">
        <v>1937</v>
      </c>
      <c r="E353" s="815"/>
      <c r="F353" s="811" t="s">
        <v>3137</v>
      </c>
      <c r="G353" s="811"/>
      <c r="H353" s="811"/>
    </row>
    <row r="354" spans="1:8" ht="12.75" customHeight="1">
      <c r="C354" s="816" t="s">
        <v>1325</v>
      </c>
      <c r="D354" s="814" t="s">
        <v>1939</v>
      </c>
      <c r="E354" s="3269" t="s">
        <v>3236</v>
      </c>
      <c r="F354" s="3269"/>
      <c r="G354" s="3269"/>
      <c r="H354" s="3269"/>
    </row>
    <row r="355" spans="1:8" ht="12.75" customHeight="1">
      <c r="C355" s="1787" t="s">
        <v>4822</v>
      </c>
      <c r="E355" s="3269" t="s">
        <v>3397</v>
      </c>
      <c r="F355" s="3269"/>
      <c r="G355" s="3269"/>
      <c r="H355" s="3269"/>
    </row>
    <row r="356" spans="1:8" ht="12.75" customHeight="1">
      <c r="C356" s="1788"/>
      <c r="D356" s="1786" t="s">
        <v>3235</v>
      </c>
      <c r="E356" s="3335" t="s">
        <v>3398</v>
      </c>
      <c r="F356" s="3335"/>
      <c r="G356" s="3335"/>
      <c r="H356" s="3335"/>
    </row>
    <row r="357" spans="1:8" ht="3" customHeight="1">
      <c r="D357" s="814"/>
      <c r="E357" s="1784"/>
      <c r="F357" s="1784"/>
      <c r="G357" s="1784"/>
      <c r="H357" s="1784"/>
    </row>
    <row r="358" spans="1:8" ht="12.75" customHeight="1">
      <c r="C358" s="779" t="s">
        <v>3136</v>
      </c>
      <c r="D358" s="814" t="s">
        <v>1937</v>
      </c>
      <c r="E358" s="815"/>
      <c r="F358" s="811" t="s">
        <v>3137</v>
      </c>
      <c r="G358" s="811"/>
      <c r="H358" s="811"/>
    </row>
    <row r="359" spans="1:8" ht="12.75" customHeight="1">
      <c r="C359" s="816" t="s">
        <v>1325</v>
      </c>
      <c r="D359" s="814" t="s">
        <v>1939</v>
      </c>
      <c r="E359" s="3269" t="s">
        <v>3236</v>
      </c>
      <c r="F359" s="3269"/>
      <c r="G359" s="3269"/>
      <c r="H359" s="3269"/>
    </row>
    <row r="360" spans="1:8" ht="12.75" customHeight="1">
      <c r="C360" s="1787" t="s">
        <v>4822</v>
      </c>
      <c r="E360" s="3269" t="s">
        <v>3397</v>
      </c>
      <c r="F360" s="3269"/>
      <c r="G360" s="3269"/>
      <c r="H360" s="3269"/>
    </row>
    <row r="361" spans="1:8" ht="12.75" customHeight="1">
      <c r="C361" s="1788"/>
      <c r="D361" s="1786" t="s">
        <v>3235</v>
      </c>
      <c r="E361" s="3335" t="s">
        <v>3398</v>
      </c>
      <c r="F361" s="3335"/>
      <c r="G361" s="3335"/>
      <c r="H361" s="3335"/>
    </row>
    <row r="362" spans="1:8" ht="6" customHeight="1">
      <c r="D362" s="814"/>
      <c r="E362" s="1784"/>
      <c r="F362" s="1784"/>
      <c r="G362" s="1784"/>
      <c r="H362" s="1784"/>
    </row>
    <row r="363" spans="1:8">
      <c r="A363" s="785" t="s">
        <v>3231</v>
      </c>
      <c r="B363" s="812" t="str">
        <f>IF('Part VI-Revenues &amp; Expenses'!$L$58=0,"",'Part VI-Revenues &amp; Expenses'!$L$58)</f>
        <v/>
      </c>
      <c r="C363" s="785" t="s">
        <v>3232</v>
      </c>
      <c r="D363" s="813" t="s">
        <v>3399</v>
      </c>
    </row>
    <row r="364" spans="1:8" ht="1.95" customHeight="1"/>
    <row r="365" spans="1:8" ht="12.75" customHeight="1">
      <c r="C365" s="779" t="s">
        <v>3136</v>
      </c>
      <c r="D365" s="814" t="s">
        <v>1937</v>
      </c>
      <c r="E365" s="815"/>
      <c r="F365" s="811" t="s">
        <v>3137</v>
      </c>
      <c r="G365" s="811"/>
      <c r="H365" s="811"/>
    </row>
    <row r="366" spans="1:8" ht="12.75" customHeight="1">
      <c r="C366" s="816" t="s">
        <v>1325</v>
      </c>
      <c r="D366" s="814" t="s">
        <v>1939</v>
      </c>
      <c r="E366" s="3269" t="s">
        <v>3236</v>
      </c>
      <c r="F366" s="3269"/>
      <c r="G366" s="3269"/>
      <c r="H366" s="3269"/>
    </row>
    <row r="367" spans="1:8" ht="12.75" customHeight="1">
      <c r="C367" s="1787" t="s">
        <v>4822</v>
      </c>
      <c r="E367" s="3269" t="s">
        <v>3397</v>
      </c>
      <c r="F367" s="3269"/>
      <c r="G367" s="3269"/>
      <c r="H367" s="3269"/>
    </row>
    <row r="368" spans="1:8" ht="12.75" customHeight="1">
      <c r="C368" s="1788"/>
      <c r="D368" s="1785" t="s">
        <v>3235</v>
      </c>
      <c r="E368" s="3336" t="s">
        <v>3398</v>
      </c>
      <c r="F368" s="3336"/>
      <c r="G368" s="3336"/>
      <c r="H368" s="3336"/>
    </row>
    <row r="369" spans="1:8" ht="3" customHeight="1">
      <c r="D369" s="814"/>
      <c r="E369" s="1784"/>
      <c r="F369" s="1784"/>
      <c r="G369" s="1784"/>
      <c r="H369" s="1784"/>
    </row>
    <row r="370" spans="1:8" ht="12.75" customHeight="1">
      <c r="C370" s="779" t="s">
        <v>3136</v>
      </c>
      <c r="D370" s="814" t="s">
        <v>1937</v>
      </c>
      <c r="E370" s="815"/>
      <c r="F370" s="811" t="s">
        <v>3137</v>
      </c>
      <c r="G370" s="811"/>
      <c r="H370" s="811"/>
    </row>
    <row r="371" spans="1:8" ht="12.75" customHeight="1">
      <c r="C371" s="816" t="s">
        <v>1325</v>
      </c>
      <c r="D371" s="814" t="s">
        <v>1939</v>
      </c>
      <c r="E371" s="3269" t="s">
        <v>3236</v>
      </c>
      <c r="F371" s="3269"/>
      <c r="G371" s="3269"/>
      <c r="H371" s="3269"/>
    </row>
    <row r="372" spans="1:8" ht="12.75" customHeight="1">
      <c r="C372" s="1787" t="s">
        <v>4822</v>
      </c>
      <c r="E372" s="3269" t="s">
        <v>3397</v>
      </c>
      <c r="F372" s="3269"/>
      <c r="G372" s="3269"/>
      <c r="H372" s="3269"/>
    </row>
    <row r="373" spans="1:8" ht="12.75" customHeight="1">
      <c r="C373" s="1788"/>
      <c r="D373" s="1786" t="s">
        <v>3235</v>
      </c>
      <c r="E373" s="3335" t="s">
        <v>3398</v>
      </c>
      <c r="F373" s="3335"/>
      <c r="G373" s="3335"/>
      <c r="H373" s="3335"/>
    </row>
    <row r="374" spans="1:8" ht="3" customHeight="1">
      <c r="D374" s="814"/>
      <c r="E374" s="1784"/>
      <c r="F374" s="1784"/>
      <c r="G374" s="1784"/>
      <c r="H374" s="1784"/>
    </row>
    <row r="375" spans="1:8" ht="12.75" customHeight="1">
      <c r="C375" s="779" t="s">
        <v>3136</v>
      </c>
      <c r="D375" s="814" t="s">
        <v>1937</v>
      </c>
      <c r="E375" s="815"/>
      <c r="F375" s="811" t="s">
        <v>3137</v>
      </c>
      <c r="G375" s="811"/>
      <c r="H375" s="811"/>
    </row>
    <row r="376" spans="1:8" ht="12.75" customHeight="1">
      <c r="C376" s="816" t="s">
        <v>1325</v>
      </c>
      <c r="D376" s="814" t="s">
        <v>1939</v>
      </c>
      <c r="E376" s="3269" t="s">
        <v>3236</v>
      </c>
      <c r="F376" s="3269"/>
      <c r="G376" s="3269"/>
      <c r="H376" s="3269"/>
    </row>
    <row r="377" spans="1:8" ht="12.75" customHeight="1">
      <c r="C377" s="1787" t="s">
        <v>4822</v>
      </c>
      <c r="E377" s="3269" t="s">
        <v>3397</v>
      </c>
      <c r="F377" s="3269"/>
      <c r="G377" s="3269"/>
      <c r="H377" s="3269"/>
    </row>
    <row r="378" spans="1:8" ht="12.75" customHeight="1">
      <c r="C378" s="1788"/>
      <c r="D378" s="1786" t="s">
        <v>3235</v>
      </c>
      <c r="E378" s="3335" t="s">
        <v>3398</v>
      </c>
      <c r="F378" s="3335"/>
      <c r="G378" s="3335"/>
      <c r="H378" s="3335"/>
    </row>
    <row r="379" spans="1:8" ht="6" customHeight="1">
      <c r="D379" s="814"/>
      <c r="E379" s="1784"/>
      <c r="F379" s="1784"/>
      <c r="G379" s="1784"/>
      <c r="H379" s="1784"/>
    </row>
    <row r="380" spans="1:8">
      <c r="A380" s="785" t="s">
        <v>3231</v>
      </c>
      <c r="B380" s="812" t="str">
        <f>IF('Part VI-Revenues &amp; Expenses'!$M$58=0,"",'Part VI-Revenues &amp; Expenses'!$M$58)</f>
        <v/>
      </c>
      <c r="C380" s="785" t="s">
        <v>3233</v>
      </c>
      <c r="D380" s="813" t="s">
        <v>3400</v>
      </c>
    </row>
    <row r="381" spans="1:8" ht="1.95" customHeight="1"/>
    <row r="382" spans="1:8" ht="12.75" customHeight="1">
      <c r="C382" s="779" t="s">
        <v>3136</v>
      </c>
      <c r="D382" s="814" t="s">
        <v>1937</v>
      </c>
      <c r="E382" s="815"/>
      <c r="F382" s="811" t="s">
        <v>3137</v>
      </c>
      <c r="G382" s="811"/>
      <c r="H382" s="811"/>
    </row>
    <row r="383" spans="1:8" ht="12.75" customHeight="1">
      <c r="C383" s="816" t="s">
        <v>1325</v>
      </c>
      <c r="D383" s="814" t="s">
        <v>1939</v>
      </c>
      <c r="E383" s="3269" t="s">
        <v>3236</v>
      </c>
      <c r="F383" s="3269"/>
      <c r="G383" s="3269"/>
      <c r="H383" s="3269"/>
    </row>
    <row r="384" spans="1:8" ht="12.75" customHeight="1">
      <c r="C384" s="1787" t="s">
        <v>4822</v>
      </c>
      <c r="E384" s="3269" t="s">
        <v>3397</v>
      </c>
      <c r="F384" s="3269"/>
      <c r="G384" s="3269"/>
      <c r="H384" s="3269"/>
    </row>
    <row r="385" spans="1:8" ht="12.75" customHeight="1">
      <c r="C385" s="1788"/>
      <c r="D385" s="1785" t="s">
        <v>3235</v>
      </c>
      <c r="E385" s="3336" t="s">
        <v>3398</v>
      </c>
      <c r="F385" s="3336"/>
      <c r="G385" s="3336"/>
      <c r="H385" s="3336"/>
    </row>
    <row r="386" spans="1:8" ht="3" customHeight="1">
      <c r="D386" s="814"/>
      <c r="E386" s="1784"/>
      <c r="F386" s="1784"/>
      <c r="G386" s="1784"/>
      <c r="H386" s="1784"/>
    </row>
    <row r="387" spans="1:8" ht="12.75" customHeight="1">
      <c r="C387" s="779" t="s">
        <v>3136</v>
      </c>
      <c r="D387" s="814" t="s">
        <v>1937</v>
      </c>
      <c r="E387" s="815"/>
      <c r="F387" s="811" t="s">
        <v>3137</v>
      </c>
      <c r="G387" s="811"/>
      <c r="H387" s="811"/>
    </row>
    <row r="388" spans="1:8" ht="12.75" customHeight="1">
      <c r="C388" s="816" t="s">
        <v>1325</v>
      </c>
      <c r="D388" s="814" t="s">
        <v>1939</v>
      </c>
      <c r="E388" s="3269" t="s">
        <v>3236</v>
      </c>
      <c r="F388" s="3269"/>
      <c r="G388" s="3269"/>
      <c r="H388" s="3269"/>
    </row>
    <row r="389" spans="1:8" ht="12.75" customHeight="1">
      <c r="C389" s="1787" t="s">
        <v>4822</v>
      </c>
      <c r="E389" s="3269" t="s">
        <v>3397</v>
      </c>
      <c r="F389" s="3269"/>
      <c r="G389" s="3269"/>
      <c r="H389" s="3269"/>
    </row>
    <row r="390" spans="1:8" ht="12.75" customHeight="1">
      <c r="C390" s="1788"/>
      <c r="D390" s="1786" t="s">
        <v>3235</v>
      </c>
      <c r="E390" s="3335" t="s">
        <v>3398</v>
      </c>
      <c r="F390" s="3335"/>
      <c r="G390" s="3335"/>
      <c r="H390" s="3335"/>
    </row>
    <row r="391" spans="1:8" ht="3" customHeight="1">
      <c r="D391" s="814"/>
      <c r="E391" s="1784"/>
      <c r="F391" s="1784"/>
      <c r="G391" s="1784"/>
      <c r="H391" s="1784"/>
    </row>
    <row r="392" spans="1:8" ht="12.75" customHeight="1">
      <c r="C392" s="779" t="s">
        <v>3136</v>
      </c>
      <c r="D392" s="814" t="s">
        <v>1937</v>
      </c>
      <c r="E392" s="815"/>
      <c r="F392" s="811" t="s">
        <v>3137</v>
      </c>
      <c r="G392" s="811"/>
      <c r="H392" s="811"/>
    </row>
    <row r="393" spans="1:8" ht="12.75" customHeight="1">
      <c r="C393" s="816" t="s">
        <v>1325</v>
      </c>
      <c r="D393" s="814" t="s">
        <v>1939</v>
      </c>
      <c r="E393" s="3269" t="s">
        <v>3236</v>
      </c>
      <c r="F393" s="3269"/>
      <c r="G393" s="3269"/>
      <c r="H393" s="3269"/>
    </row>
    <row r="394" spans="1:8" ht="12.75" customHeight="1">
      <c r="C394" s="1787" t="s">
        <v>4822</v>
      </c>
      <c r="E394" s="3269" t="s">
        <v>3397</v>
      </c>
      <c r="F394" s="3269"/>
      <c r="G394" s="3269"/>
      <c r="H394" s="3269"/>
    </row>
    <row r="395" spans="1:8" ht="12.75" customHeight="1">
      <c r="C395" s="1788"/>
      <c r="D395" s="1786" t="s">
        <v>3235</v>
      </c>
      <c r="E395" s="3335" t="s">
        <v>3398</v>
      </c>
      <c r="F395" s="3335"/>
      <c r="G395" s="3335"/>
      <c r="H395" s="3335"/>
    </row>
    <row r="396" spans="1:8" ht="6" customHeight="1">
      <c r="D396" s="814"/>
      <c r="E396" s="1784"/>
      <c r="F396" s="1784"/>
      <c r="G396" s="1784"/>
      <c r="H396" s="1784"/>
    </row>
    <row r="397" spans="1:8">
      <c r="A397" s="785" t="s">
        <v>3231</v>
      </c>
      <c r="B397" s="812" t="str">
        <f>IF('Part VI-Revenues &amp; Expenses'!$N$58=0,"",'Part VI-Revenues &amp; Expenses'!$N$58)</f>
        <v/>
      </c>
      <c r="C397" s="785" t="s">
        <v>3234</v>
      </c>
      <c r="D397" s="813" t="s">
        <v>3401</v>
      </c>
    </row>
    <row r="398" spans="1:8" ht="1.95" customHeight="1"/>
    <row r="399" spans="1:8" ht="12.75" customHeight="1">
      <c r="C399" s="779" t="s">
        <v>3136</v>
      </c>
      <c r="D399" s="814" t="s">
        <v>1937</v>
      </c>
      <c r="E399" s="815"/>
      <c r="F399" s="811" t="s">
        <v>3137</v>
      </c>
      <c r="G399" s="811"/>
      <c r="H399" s="811"/>
    </row>
    <row r="400" spans="1:8" ht="12.75" customHeight="1">
      <c r="C400" s="816" t="s">
        <v>1325</v>
      </c>
      <c r="D400" s="814" t="s">
        <v>1939</v>
      </c>
      <c r="E400" s="3269" t="s">
        <v>3236</v>
      </c>
      <c r="F400" s="3269"/>
      <c r="G400" s="3269"/>
      <c r="H400" s="3269"/>
    </row>
    <row r="401" spans="1:11" ht="12.75" customHeight="1">
      <c r="C401" s="1787" t="s">
        <v>4822</v>
      </c>
      <c r="E401" s="3269" t="s">
        <v>3397</v>
      </c>
      <c r="F401" s="3269"/>
      <c r="G401" s="3269"/>
      <c r="H401" s="3269"/>
    </row>
    <row r="402" spans="1:11" ht="12.75" customHeight="1">
      <c r="C402" s="1788"/>
      <c r="D402" s="1785" t="s">
        <v>3235</v>
      </c>
      <c r="E402" s="3336" t="s">
        <v>3398</v>
      </c>
      <c r="F402" s="3336"/>
      <c r="G402" s="3336"/>
      <c r="H402" s="3336"/>
    </row>
    <row r="403" spans="1:11" ht="3" customHeight="1">
      <c r="D403" s="814"/>
      <c r="E403" s="1784"/>
      <c r="F403" s="1784"/>
      <c r="G403" s="1784"/>
      <c r="H403" s="1784"/>
    </row>
    <row r="404" spans="1:11" ht="12.75" customHeight="1">
      <c r="C404" s="779" t="s">
        <v>3136</v>
      </c>
      <c r="D404" s="814" t="s">
        <v>1937</v>
      </c>
      <c r="E404" s="815"/>
      <c r="F404" s="811" t="s">
        <v>3137</v>
      </c>
      <c r="G404" s="811"/>
      <c r="H404" s="811"/>
    </row>
    <row r="405" spans="1:11" ht="12.75" customHeight="1">
      <c r="C405" s="816" t="s">
        <v>1325</v>
      </c>
      <c r="D405" s="814" t="s">
        <v>1939</v>
      </c>
      <c r="E405" s="3269" t="s">
        <v>3236</v>
      </c>
      <c r="F405" s="3269"/>
      <c r="G405" s="3269"/>
      <c r="H405" s="3269"/>
    </row>
    <row r="406" spans="1:11" ht="12.75" customHeight="1">
      <c r="C406" s="1787" t="s">
        <v>4822</v>
      </c>
      <c r="E406" s="3269" t="s">
        <v>3397</v>
      </c>
      <c r="F406" s="3269"/>
      <c r="G406" s="3269"/>
      <c r="H406" s="3269"/>
    </row>
    <row r="407" spans="1:11" ht="12.75" customHeight="1">
      <c r="C407" s="1788"/>
      <c r="D407" s="1786" t="s">
        <v>3235</v>
      </c>
      <c r="E407" s="3335" t="s">
        <v>3398</v>
      </c>
      <c r="F407" s="3335"/>
      <c r="G407" s="3335"/>
      <c r="H407" s="3335"/>
    </row>
    <row r="408" spans="1:11" ht="3" customHeight="1">
      <c r="D408" s="814"/>
      <c r="E408" s="1784"/>
      <c r="F408" s="1784"/>
      <c r="G408" s="1784"/>
      <c r="H408" s="1784"/>
    </row>
    <row r="409" spans="1:11" ht="12.75" customHeight="1">
      <c r="C409" s="779" t="s">
        <v>3136</v>
      </c>
      <c r="D409" s="814" t="s">
        <v>1937</v>
      </c>
      <c r="E409" s="815"/>
      <c r="F409" s="811" t="s">
        <v>3137</v>
      </c>
      <c r="G409" s="811"/>
      <c r="H409" s="811"/>
    </row>
    <row r="410" spans="1:11" ht="12.75" customHeight="1">
      <c r="C410" s="816" t="s">
        <v>1325</v>
      </c>
      <c r="D410" s="814" t="s">
        <v>1939</v>
      </c>
      <c r="E410" s="3269" t="s">
        <v>3236</v>
      </c>
      <c r="F410" s="3269"/>
      <c r="G410" s="3269"/>
      <c r="H410" s="3269"/>
    </row>
    <row r="411" spans="1:11" ht="12.75" customHeight="1">
      <c r="C411" s="1787" t="s">
        <v>4822</v>
      </c>
      <c r="E411" s="3269" t="s">
        <v>3397</v>
      </c>
      <c r="F411" s="3269"/>
      <c r="G411" s="3269"/>
      <c r="H411" s="3269"/>
    </row>
    <row r="412" spans="1:11" ht="12.75" customHeight="1">
      <c r="C412" s="1788"/>
      <c r="D412" s="1786" t="s">
        <v>3235</v>
      </c>
      <c r="E412" s="3335" t="s">
        <v>3398</v>
      </c>
      <c r="F412" s="3335"/>
      <c r="G412" s="3335"/>
      <c r="H412" s="3335"/>
    </row>
    <row r="413" spans="1:11" ht="6" customHeight="1">
      <c r="D413" s="814"/>
      <c r="E413" s="1784"/>
      <c r="F413" s="1784"/>
      <c r="G413" s="1784"/>
      <c r="H413" s="1784"/>
    </row>
    <row r="414" spans="1:11">
      <c r="A414" s="785" t="s">
        <v>3231</v>
      </c>
      <c r="B414" s="812" t="str">
        <f>IF('Part VI-Revenues &amp; Expenses'!$O$58=0,"",'Part VI-Revenues &amp; Expenses'!$O$58)</f>
        <v/>
      </c>
      <c r="C414" s="785" t="s">
        <v>4820</v>
      </c>
      <c r="D414" s="813" t="s">
        <v>4821</v>
      </c>
    </row>
    <row r="415" spans="1:11" ht="1.95" customHeight="1"/>
    <row r="416" spans="1:11" ht="12.75" customHeight="1">
      <c r="C416" s="779" t="s">
        <v>3136</v>
      </c>
      <c r="D416" s="814" t="s">
        <v>1937</v>
      </c>
      <c r="E416" s="815"/>
      <c r="F416" s="3269" t="s">
        <v>3137</v>
      </c>
      <c r="G416" s="3269"/>
      <c r="H416" s="3269"/>
      <c r="K416" s="730" t="s">
        <v>238</v>
      </c>
    </row>
    <row r="417" spans="1:8" ht="12.75" customHeight="1">
      <c r="C417" s="816" t="s">
        <v>1325</v>
      </c>
      <c r="D417" s="814" t="s">
        <v>1939</v>
      </c>
      <c r="E417" s="3269" t="s">
        <v>3237</v>
      </c>
      <c r="F417" s="3269"/>
      <c r="G417" s="3269"/>
      <c r="H417" s="3269"/>
    </row>
    <row r="418" spans="1:8" ht="12.75" customHeight="1">
      <c r="E418" s="3269" t="s">
        <v>3397</v>
      </c>
      <c r="F418" s="3269"/>
      <c r="G418" s="3269"/>
      <c r="H418" s="3269"/>
    </row>
    <row r="419" spans="1:8" ht="12.75" customHeight="1">
      <c r="D419" s="817" t="s">
        <v>3235</v>
      </c>
      <c r="E419" s="3269" t="s">
        <v>3398</v>
      </c>
      <c r="F419" s="3269"/>
      <c r="G419" s="3269"/>
      <c r="H419" s="3269"/>
    </row>
    <row r="420" spans="1:8" ht="9" customHeight="1" thickBot="1"/>
    <row r="421" spans="1:8" ht="16.2" customHeight="1" thickBot="1">
      <c r="A421" s="3333">
        <v>70</v>
      </c>
      <c r="B421" s="3334"/>
      <c r="C421" s="1789" t="s">
        <v>1017</v>
      </c>
    </row>
    <row r="422" spans="1:8" ht="9" customHeight="1">
      <c r="A422" s="752"/>
    </row>
    <row r="423" spans="1:8" ht="28.2" customHeight="1">
      <c r="A423" s="3337" t="s">
        <v>4828</v>
      </c>
      <c r="B423" s="3337"/>
      <c r="C423" s="3337"/>
      <c r="D423" s="3337"/>
      <c r="E423" s="3337"/>
      <c r="F423" s="3337"/>
      <c r="G423" s="3337"/>
      <c r="H423" s="3337"/>
    </row>
    <row r="424" spans="1:8" ht="9" customHeight="1">
      <c r="A424" s="752"/>
    </row>
    <row r="425" spans="1:8">
      <c r="A425" s="785" t="s">
        <v>3231</v>
      </c>
      <c r="B425" s="812" t="str">
        <f>IF('Part VI-Revenues &amp; Expenses'!$K$57=0,"",'Part VI-Revenues &amp; Expenses'!$K$57)</f>
        <v/>
      </c>
      <c r="C425" s="785" t="s">
        <v>4817</v>
      </c>
      <c r="D425" s="813" t="s">
        <v>4818</v>
      </c>
    </row>
    <row r="426" spans="1:8" ht="1.95" customHeight="1"/>
    <row r="427" spans="1:8" ht="12.75" customHeight="1">
      <c r="C427" s="779" t="s">
        <v>3136</v>
      </c>
      <c r="D427" s="814" t="s">
        <v>1937</v>
      </c>
      <c r="E427" s="815"/>
      <c r="F427" s="3269" t="s">
        <v>3137</v>
      </c>
      <c r="G427" s="3269"/>
      <c r="H427" s="3269"/>
    </row>
    <row r="428" spans="1:8" ht="12.75" customHeight="1">
      <c r="C428" s="816" t="s">
        <v>1325</v>
      </c>
      <c r="D428" s="814" t="s">
        <v>1939</v>
      </c>
      <c r="E428" s="3269" t="s">
        <v>3236</v>
      </c>
      <c r="F428" s="3269"/>
      <c r="G428" s="3269"/>
      <c r="H428" s="3269"/>
    </row>
    <row r="429" spans="1:8" ht="12.75" customHeight="1">
      <c r="C429" s="1787" t="s">
        <v>4822</v>
      </c>
      <c r="E429" s="3269" t="s">
        <v>3397</v>
      </c>
      <c r="F429" s="3269"/>
      <c r="G429" s="3269"/>
      <c r="H429" s="3269"/>
    </row>
    <row r="430" spans="1:8" ht="12.75" customHeight="1">
      <c r="C430" s="1788"/>
      <c r="D430" s="1786" t="s">
        <v>3235</v>
      </c>
      <c r="E430" s="3335" t="s">
        <v>3398</v>
      </c>
      <c r="F430" s="3335"/>
      <c r="G430" s="3335"/>
      <c r="H430" s="3335"/>
    </row>
    <row r="431" spans="1:8" ht="3" customHeight="1">
      <c r="D431" s="814"/>
      <c r="E431" s="1784"/>
      <c r="F431" s="1784"/>
      <c r="G431" s="1784"/>
      <c r="H431" s="1784"/>
    </row>
    <row r="432" spans="1:8" ht="12.75" customHeight="1">
      <c r="C432" s="779" t="s">
        <v>3136</v>
      </c>
      <c r="D432" s="814" t="s">
        <v>1937</v>
      </c>
      <c r="E432" s="815"/>
      <c r="F432" s="811" t="s">
        <v>3137</v>
      </c>
      <c r="G432" s="811"/>
      <c r="H432" s="811"/>
    </row>
    <row r="433" spans="1:8" ht="12.75" customHeight="1">
      <c r="C433" s="816" t="s">
        <v>1325</v>
      </c>
      <c r="D433" s="814" t="s">
        <v>1939</v>
      </c>
      <c r="E433" s="3269" t="s">
        <v>3236</v>
      </c>
      <c r="F433" s="3269"/>
      <c r="G433" s="3269"/>
      <c r="H433" s="3269"/>
    </row>
    <row r="434" spans="1:8" ht="12.75" customHeight="1">
      <c r="C434" s="1787" t="s">
        <v>4822</v>
      </c>
      <c r="E434" s="3269" t="s">
        <v>3397</v>
      </c>
      <c r="F434" s="3269"/>
      <c r="G434" s="3269"/>
      <c r="H434" s="3269"/>
    </row>
    <row r="435" spans="1:8" ht="12.75" customHeight="1">
      <c r="C435" s="1788"/>
      <c r="D435" s="1786" t="s">
        <v>3235</v>
      </c>
      <c r="E435" s="3335" t="s">
        <v>3398</v>
      </c>
      <c r="F435" s="3335"/>
      <c r="G435" s="3335"/>
      <c r="H435" s="3335"/>
    </row>
    <row r="436" spans="1:8" ht="3" customHeight="1">
      <c r="D436" s="814"/>
      <c r="E436" s="1784"/>
      <c r="F436" s="1784"/>
      <c r="G436" s="1784"/>
      <c r="H436" s="1784"/>
    </row>
    <row r="437" spans="1:8" ht="12.75" customHeight="1">
      <c r="C437" s="779" t="s">
        <v>3136</v>
      </c>
      <c r="D437" s="814" t="s">
        <v>1937</v>
      </c>
      <c r="E437" s="815"/>
      <c r="F437" s="811" t="s">
        <v>3137</v>
      </c>
      <c r="G437" s="811"/>
      <c r="H437" s="811"/>
    </row>
    <row r="438" spans="1:8" ht="12.75" customHeight="1">
      <c r="C438" s="816" t="s">
        <v>1325</v>
      </c>
      <c r="D438" s="814" t="s">
        <v>1939</v>
      </c>
      <c r="E438" s="3269" t="s">
        <v>3236</v>
      </c>
      <c r="F438" s="3269"/>
      <c r="G438" s="3269"/>
      <c r="H438" s="3269"/>
    </row>
    <row r="439" spans="1:8" ht="12.75" customHeight="1">
      <c r="C439" s="1787" t="s">
        <v>4822</v>
      </c>
      <c r="E439" s="3269" t="s">
        <v>3397</v>
      </c>
      <c r="F439" s="3269"/>
      <c r="G439" s="3269"/>
      <c r="H439" s="3269"/>
    </row>
    <row r="440" spans="1:8" ht="12.75" customHeight="1">
      <c r="C440" s="1788"/>
      <c r="D440" s="1786" t="s">
        <v>3235</v>
      </c>
      <c r="E440" s="3335" t="s">
        <v>3398</v>
      </c>
      <c r="F440" s="3335"/>
      <c r="G440" s="3335"/>
      <c r="H440" s="3335"/>
    </row>
    <row r="441" spans="1:8" ht="6" customHeight="1">
      <c r="D441" s="814"/>
      <c r="E441" s="1784"/>
      <c r="F441" s="1784"/>
      <c r="G441" s="1784"/>
      <c r="H441" s="1784"/>
    </row>
    <row r="442" spans="1:8">
      <c r="A442" s="785" t="s">
        <v>3231</v>
      </c>
      <c r="B442" s="812" t="str">
        <f>IF('Part VI-Revenues &amp; Expenses'!$L$57=0,"",'Part VI-Revenues &amp; Expenses'!$L$57)</f>
        <v/>
      </c>
      <c r="C442" s="785" t="s">
        <v>3232</v>
      </c>
      <c r="D442" s="813" t="s">
        <v>3399</v>
      </c>
    </row>
    <row r="443" spans="1:8" ht="1.95" customHeight="1"/>
    <row r="444" spans="1:8" ht="12.75" customHeight="1">
      <c r="C444" s="779" t="s">
        <v>3136</v>
      </c>
      <c r="D444" s="814" t="s">
        <v>1937</v>
      </c>
      <c r="E444" s="815"/>
      <c r="F444" s="811" t="s">
        <v>3137</v>
      </c>
      <c r="G444" s="811"/>
      <c r="H444" s="811"/>
    </row>
    <row r="445" spans="1:8" ht="12.75" customHeight="1">
      <c r="C445" s="816" t="s">
        <v>1325</v>
      </c>
      <c r="D445" s="814" t="s">
        <v>1939</v>
      </c>
      <c r="E445" s="3269" t="s">
        <v>3236</v>
      </c>
      <c r="F445" s="3269"/>
      <c r="G445" s="3269"/>
      <c r="H445" s="3269"/>
    </row>
    <row r="446" spans="1:8" ht="12.75" customHeight="1">
      <c r="C446" s="1787" t="s">
        <v>4822</v>
      </c>
      <c r="E446" s="3269" t="s">
        <v>3397</v>
      </c>
      <c r="F446" s="3269"/>
      <c r="G446" s="3269"/>
      <c r="H446" s="3269"/>
    </row>
    <row r="447" spans="1:8" ht="12.75" customHeight="1">
      <c r="C447" s="1788"/>
      <c r="D447" s="1785" t="s">
        <v>3235</v>
      </c>
      <c r="E447" s="3336" t="s">
        <v>3398</v>
      </c>
      <c r="F447" s="3336"/>
      <c r="G447" s="3336"/>
      <c r="H447" s="3336"/>
    </row>
    <row r="448" spans="1:8" ht="3" customHeight="1">
      <c r="D448" s="814"/>
      <c r="E448" s="1784"/>
      <c r="F448" s="1784"/>
      <c r="G448" s="1784"/>
      <c r="H448" s="1784"/>
    </row>
    <row r="449" spans="1:8" ht="12.75" customHeight="1">
      <c r="C449" s="779" t="s">
        <v>3136</v>
      </c>
      <c r="D449" s="814" t="s">
        <v>1937</v>
      </c>
      <c r="E449" s="815"/>
      <c r="F449" s="811" t="s">
        <v>3137</v>
      </c>
      <c r="G449" s="811"/>
      <c r="H449" s="811"/>
    </row>
    <row r="450" spans="1:8" ht="12.75" customHeight="1">
      <c r="C450" s="816" t="s">
        <v>1325</v>
      </c>
      <c r="D450" s="814" t="s">
        <v>1939</v>
      </c>
      <c r="E450" s="3269" t="s">
        <v>3236</v>
      </c>
      <c r="F450" s="3269"/>
      <c r="G450" s="3269"/>
      <c r="H450" s="3269"/>
    </row>
    <row r="451" spans="1:8" ht="12.75" customHeight="1">
      <c r="C451" s="1787" t="s">
        <v>4822</v>
      </c>
      <c r="E451" s="3269" t="s">
        <v>3397</v>
      </c>
      <c r="F451" s="3269"/>
      <c r="G451" s="3269"/>
      <c r="H451" s="3269"/>
    </row>
    <row r="452" spans="1:8" ht="12.75" customHeight="1">
      <c r="C452" s="1788"/>
      <c r="D452" s="1786" t="s">
        <v>3235</v>
      </c>
      <c r="E452" s="3335" t="s">
        <v>3398</v>
      </c>
      <c r="F452" s="3335"/>
      <c r="G452" s="3335"/>
      <c r="H452" s="3335"/>
    </row>
    <row r="453" spans="1:8" ht="3" customHeight="1">
      <c r="D453" s="814"/>
      <c r="E453" s="1784"/>
      <c r="F453" s="1784"/>
      <c r="G453" s="1784"/>
      <c r="H453" s="1784"/>
    </row>
    <row r="454" spans="1:8" ht="12.75" customHeight="1">
      <c r="C454" s="779" t="s">
        <v>3136</v>
      </c>
      <c r="D454" s="814" t="s">
        <v>1937</v>
      </c>
      <c r="E454" s="815"/>
      <c r="F454" s="811" t="s">
        <v>3137</v>
      </c>
      <c r="G454" s="811"/>
      <c r="H454" s="811"/>
    </row>
    <row r="455" spans="1:8" ht="12.75" customHeight="1">
      <c r="C455" s="816" t="s">
        <v>1325</v>
      </c>
      <c r="D455" s="814" t="s">
        <v>1939</v>
      </c>
      <c r="E455" s="3269" t="s">
        <v>3236</v>
      </c>
      <c r="F455" s="3269"/>
      <c r="G455" s="3269"/>
      <c r="H455" s="3269"/>
    </row>
    <row r="456" spans="1:8" ht="12.75" customHeight="1">
      <c r="C456" s="1787" t="s">
        <v>4822</v>
      </c>
      <c r="E456" s="3269" t="s">
        <v>3397</v>
      </c>
      <c r="F456" s="3269"/>
      <c r="G456" s="3269"/>
      <c r="H456" s="3269"/>
    </row>
    <row r="457" spans="1:8" ht="12.75" customHeight="1">
      <c r="C457" s="1788"/>
      <c r="D457" s="1786" t="s">
        <v>3235</v>
      </c>
      <c r="E457" s="3335" t="s">
        <v>3398</v>
      </c>
      <c r="F457" s="3335"/>
      <c r="G457" s="3335"/>
      <c r="H457" s="3335"/>
    </row>
    <row r="458" spans="1:8" ht="6" customHeight="1">
      <c r="D458" s="814"/>
      <c r="E458" s="1784"/>
      <c r="F458" s="1784"/>
      <c r="G458" s="1784"/>
      <c r="H458" s="1784"/>
    </row>
    <row r="459" spans="1:8">
      <c r="A459" s="785" t="s">
        <v>3231</v>
      </c>
      <c r="B459" s="812" t="str">
        <f>IF('Part VI-Revenues &amp; Expenses'!$M$57=0,"",'Part VI-Revenues &amp; Expenses'!$M$57)</f>
        <v/>
      </c>
      <c r="C459" s="785" t="s">
        <v>3233</v>
      </c>
      <c r="D459" s="813" t="s">
        <v>3400</v>
      </c>
    </row>
    <row r="460" spans="1:8" ht="1.95" customHeight="1"/>
    <row r="461" spans="1:8" ht="12.75" customHeight="1">
      <c r="C461" s="779" t="s">
        <v>3136</v>
      </c>
      <c r="D461" s="814" t="s">
        <v>1937</v>
      </c>
      <c r="E461" s="815"/>
      <c r="F461" s="811" t="s">
        <v>3137</v>
      </c>
      <c r="G461" s="811"/>
      <c r="H461" s="811"/>
    </row>
    <row r="462" spans="1:8" ht="12.75" customHeight="1">
      <c r="C462" s="816" t="s">
        <v>1325</v>
      </c>
      <c r="D462" s="814" t="s">
        <v>1939</v>
      </c>
      <c r="E462" s="3269" t="s">
        <v>3236</v>
      </c>
      <c r="F462" s="3269"/>
      <c r="G462" s="3269"/>
      <c r="H462" s="3269"/>
    </row>
    <row r="463" spans="1:8" ht="12.75" customHeight="1">
      <c r="C463" s="1787" t="s">
        <v>4822</v>
      </c>
      <c r="E463" s="3269" t="s">
        <v>3397</v>
      </c>
      <c r="F463" s="3269"/>
      <c r="G463" s="3269"/>
      <c r="H463" s="3269"/>
    </row>
    <row r="464" spans="1:8" ht="12.75" customHeight="1">
      <c r="C464" s="1788"/>
      <c r="D464" s="1785" t="s">
        <v>3235</v>
      </c>
      <c r="E464" s="3336" t="s">
        <v>3398</v>
      </c>
      <c r="F464" s="3336"/>
      <c r="G464" s="3336"/>
      <c r="H464" s="3336"/>
    </row>
    <row r="465" spans="1:8" ht="3" customHeight="1">
      <c r="D465" s="814"/>
      <c r="E465" s="1784"/>
      <c r="F465" s="1784"/>
      <c r="G465" s="1784"/>
      <c r="H465" s="1784"/>
    </row>
    <row r="466" spans="1:8" ht="12.75" customHeight="1">
      <c r="C466" s="779" t="s">
        <v>3136</v>
      </c>
      <c r="D466" s="814" t="s">
        <v>1937</v>
      </c>
      <c r="E466" s="815"/>
      <c r="F466" s="811" t="s">
        <v>3137</v>
      </c>
      <c r="G466" s="811"/>
      <c r="H466" s="811"/>
    </row>
    <row r="467" spans="1:8" ht="12.75" customHeight="1">
      <c r="C467" s="816" t="s">
        <v>1325</v>
      </c>
      <c r="D467" s="814" t="s">
        <v>1939</v>
      </c>
      <c r="E467" s="3269" t="s">
        <v>3236</v>
      </c>
      <c r="F467" s="3269"/>
      <c r="G467" s="3269"/>
      <c r="H467" s="3269"/>
    </row>
    <row r="468" spans="1:8" ht="12.75" customHeight="1">
      <c r="C468" s="1787" t="s">
        <v>4822</v>
      </c>
      <c r="E468" s="3269" t="s">
        <v>3397</v>
      </c>
      <c r="F468" s="3269"/>
      <c r="G468" s="3269"/>
      <c r="H468" s="3269"/>
    </row>
    <row r="469" spans="1:8" ht="12.75" customHeight="1">
      <c r="C469" s="1788"/>
      <c r="D469" s="1786" t="s">
        <v>3235</v>
      </c>
      <c r="E469" s="3335" t="s">
        <v>3398</v>
      </c>
      <c r="F469" s="3335"/>
      <c r="G469" s="3335"/>
      <c r="H469" s="3335"/>
    </row>
    <row r="470" spans="1:8" ht="3" customHeight="1">
      <c r="D470" s="814"/>
      <c r="E470" s="1784"/>
      <c r="F470" s="1784"/>
      <c r="G470" s="1784"/>
      <c r="H470" s="1784"/>
    </row>
    <row r="471" spans="1:8" ht="12.75" customHeight="1">
      <c r="C471" s="779" t="s">
        <v>3136</v>
      </c>
      <c r="D471" s="814" t="s">
        <v>1937</v>
      </c>
      <c r="E471" s="815"/>
      <c r="F471" s="811" t="s">
        <v>3137</v>
      </c>
      <c r="G471" s="811"/>
      <c r="H471" s="811"/>
    </row>
    <row r="472" spans="1:8" ht="12.75" customHeight="1">
      <c r="C472" s="816" t="s">
        <v>1325</v>
      </c>
      <c r="D472" s="814" t="s">
        <v>1939</v>
      </c>
      <c r="E472" s="3269" t="s">
        <v>3236</v>
      </c>
      <c r="F472" s="3269"/>
      <c r="G472" s="3269"/>
      <c r="H472" s="3269"/>
    </row>
    <row r="473" spans="1:8" ht="12.75" customHeight="1">
      <c r="C473" s="1787" t="s">
        <v>4822</v>
      </c>
      <c r="E473" s="3269" t="s">
        <v>3397</v>
      </c>
      <c r="F473" s="3269"/>
      <c r="G473" s="3269"/>
      <c r="H473" s="3269"/>
    </row>
    <row r="474" spans="1:8" ht="12.75" customHeight="1">
      <c r="C474" s="1788"/>
      <c r="D474" s="1786" t="s">
        <v>3235</v>
      </c>
      <c r="E474" s="3335" t="s">
        <v>3398</v>
      </c>
      <c r="F474" s="3335"/>
      <c r="G474" s="3335"/>
      <c r="H474" s="3335"/>
    </row>
    <row r="475" spans="1:8" ht="6" customHeight="1">
      <c r="D475" s="814"/>
      <c r="E475" s="1784"/>
      <c r="F475" s="1784"/>
      <c r="G475" s="1784"/>
      <c r="H475" s="1784"/>
    </row>
    <row r="476" spans="1:8">
      <c r="A476" s="785" t="s">
        <v>3231</v>
      </c>
      <c r="B476" s="812" t="str">
        <f>IF('Part VI-Revenues &amp; Expenses'!$N$57=0,"",'Part VI-Revenues &amp; Expenses'!$N$57)</f>
        <v/>
      </c>
      <c r="C476" s="785" t="s">
        <v>3234</v>
      </c>
      <c r="D476" s="813" t="s">
        <v>3401</v>
      </c>
    </row>
    <row r="477" spans="1:8" ht="1.95" customHeight="1"/>
    <row r="478" spans="1:8" ht="12.75" customHeight="1">
      <c r="C478" s="779" t="s">
        <v>3136</v>
      </c>
      <c r="D478" s="814" t="s">
        <v>1937</v>
      </c>
      <c r="E478" s="815"/>
      <c r="F478" s="811" t="s">
        <v>3137</v>
      </c>
      <c r="G478" s="811"/>
      <c r="H478" s="811"/>
    </row>
    <row r="479" spans="1:8" ht="12.75" customHeight="1">
      <c r="C479" s="816" t="s">
        <v>1325</v>
      </c>
      <c r="D479" s="814" t="s">
        <v>1939</v>
      </c>
      <c r="E479" s="3269" t="s">
        <v>3236</v>
      </c>
      <c r="F479" s="3269"/>
      <c r="G479" s="3269"/>
      <c r="H479" s="3269"/>
    </row>
    <row r="480" spans="1:8" ht="12.75" customHeight="1">
      <c r="C480" s="1787" t="s">
        <v>4822</v>
      </c>
      <c r="E480" s="3269" t="s">
        <v>3397</v>
      </c>
      <c r="F480" s="3269"/>
      <c r="G480" s="3269"/>
      <c r="H480" s="3269"/>
    </row>
    <row r="481" spans="1:11" ht="12.75" customHeight="1">
      <c r="C481" s="1788"/>
      <c r="D481" s="1785" t="s">
        <v>3235</v>
      </c>
      <c r="E481" s="3336" t="s">
        <v>3398</v>
      </c>
      <c r="F481" s="3336"/>
      <c r="G481" s="3336"/>
      <c r="H481" s="3336"/>
    </row>
    <row r="482" spans="1:11" ht="3" customHeight="1">
      <c r="D482" s="814"/>
      <c r="E482" s="1784"/>
      <c r="F482" s="1784"/>
      <c r="G482" s="1784"/>
      <c r="H482" s="1784"/>
    </row>
    <row r="483" spans="1:11" ht="12.75" customHeight="1">
      <c r="C483" s="779" t="s">
        <v>3136</v>
      </c>
      <c r="D483" s="814" t="s">
        <v>1937</v>
      </c>
      <c r="E483" s="815"/>
      <c r="F483" s="811" t="s">
        <v>3137</v>
      </c>
      <c r="G483" s="811"/>
      <c r="H483" s="811"/>
    </row>
    <row r="484" spans="1:11" ht="12.75" customHeight="1">
      <c r="C484" s="816" t="s">
        <v>1325</v>
      </c>
      <c r="D484" s="814" t="s">
        <v>1939</v>
      </c>
      <c r="E484" s="3269" t="s">
        <v>3236</v>
      </c>
      <c r="F484" s="3269"/>
      <c r="G484" s="3269"/>
      <c r="H484" s="3269"/>
    </row>
    <row r="485" spans="1:11" ht="12.75" customHeight="1">
      <c r="C485" s="1787" t="s">
        <v>4822</v>
      </c>
      <c r="E485" s="3269" t="s">
        <v>3397</v>
      </c>
      <c r="F485" s="3269"/>
      <c r="G485" s="3269"/>
      <c r="H485" s="3269"/>
    </row>
    <row r="486" spans="1:11" ht="12.75" customHeight="1">
      <c r="C486" s="1788"/>
      <c r="D486" s="1786" t="s">
        <v>3235</v>
      </c>
      <c r="E486" s="3335" t="s">
        <v>3398</v>
      </c>
      <c r="F486" s="3335"/>
      <c r="G486" s="3335"/>
      <c r="H486" s="3335"/>
    </row>
    <row r="487" spans="1:11" ht="3" customHeight="1">
      <c r="D487" s="814"/>
      <c r="E487" s="1784"/>
      <c r="F487" s="1784"/>
      <c r="G487" s="1784"/>
      <c r="H487" s="1784"/>
    </row>
    <row r="488" spans="1:11" ht="12.75" customHeight="1">
      <c r="C488" s="779" t="s">
        <v>3136</v>
      </c>
      <c r="D488" s="814" t="s">
        <v>1937</v>
      </c>
      <c r="E488" s="815"/>
      <c r="F488" s="811" t="s">
        <v>3137</v>
      </c>
      <c r="G488" s="811"/>
      <c r="H488" s="811"/>
    </row>
    <row r="489" spans="1:11" ht="12.75" customHeight="1">
      <c r="C489" s="816" t="s">
        <v>1325</v>
      </c>
      <c r="D489" s="814" t="s">
        <v>1939</v>
      </c>
      <c r="E489" s="3269" t="s">
        <v>3236</v>
      </c>
      <c r="F489" s="3269"/>
      <c r="G489" s="3269"/>
      <c r="H489" s="3269"/>
    </row>
    <row r="490" spans="1:11" ht="12.75" customHeight="1">
      <c r="C490" s="1787" t="s">
        <v>4822</v>
      </c>
      <c r="E490" s="3269" t="s">
        <v>3397</v>
      </c>
      <c r="F490" s="3269"/>
      <c r="G490" s="3269"/>
      <c r="H490" s="3269"/>
    </row>
    <row r="491" spans="1:11" ht="12.75" customHeight="1">
      <c r="C491" s="1788"/>
      <c r="D491" s="1786" t="s">
        <v>3235</v>
      </c>
      <c r="E491" s="3335" t="s">
        <v>3398</v>
      </c>
      <c r="F491" s="3335"/>
      <c r="G491" s="3335"/>
      <c r="H491" s="3335"/>
    </row>
    <row r="492" spans="1:11" ht="6" customHeight="1">
      <c r="D492" s="814"/>
      <c r="E492" s="1784"/>
      <c r="F492" s="1784"/>
      <c r="G492" s="1784"/>
      <c r="H492" s="1784"/>
    </row>
    <row r="493" spans="1:11">
      <c r="A493" s="785" t="s">
        <v>3231</v>
      </c>
      <c r="B493" s="812" t="str">
        <f>IF('Part VI-Revenues &amp; Expenses'!$O$57=0,"",'Part VI-Revenues &amp; Expenses'!$O$57)</f>
        <v/>
      </c>
      <c r="C493" s="785" t="s">
        <v>4820</v>
      </c>
      <c r="D493" s="813" t="s">
        <v>4821</v>
      </c>
    </row>
    <row r="494" spans="1:11" ht="1.95" customHeight="1"/>
    <row r="495" spans="1:11" ht="12.75" customHeight="1">
      <c r="C495" s="779" t="s">
        <v>3136</v>
      </c>
      <c r="D495" s="814" t="s">
        <v>1937</v>
      </c>
      <c r="E495" s="815"/>
      <c r="F495" s="3269" t="s">
        <v>3137</v>
      </c>
      <c r="G495" s="3269"/>
      <c r="H495" s="3269"/>
      <c r="K495" s="730" t="s">
        <v>238</v>
      </c>
    </row>
    <row r="496" spans="1:11" ht="12.75" customHeight="1">
      <c r="C496" s="816" t="s">
        <v>1325</v>
      </c>
      <c r="D496" s="814" t="s">
        <v>1939</v>
      </c>
      <c r="E496" s="3269" t="s">
        <v>3237</v>
      </c>
      <c r="F496" s="3269"/>
      <c r="G496" s="3269"/>
      <c r="H496" s="3269"/>
    </row>
    <row r="497" spans="1:8" ht="12.75" customHeight="1">
      <c r="E497" s="3269" t="s">
        <v>3397</v>
      </c>
      <c r="F497" s="3269"/>
      <c r="G497" s="3269"/>
      <c r="H497" s="3269"/>
    </row>
    <row r="498" spans="1:8" ht="12.75" customHeight="1">
      <c r="D498" s="817" t="s">
        <v>3235</v>
      </c>
      <c r="E498" s="3269" t="s">
        <v>3398</v>
      </c>
      <c r="F498" s="3269"/>
      <c r="G498" s="3269"/>
      <c r="H498" s="3269"/>
    </row>
    <row r="499" spans="1:8" ht="9" customHeight="1" thickBot="1"/>
    <row r="500" spans="1:8" ht="16.2" customHeight="1" thickBot="1">
      <c r="A500" s="3333">
        <v>80</v>
      </c>
      <c r="B500" s="3334"/>
      <c r="C500" s="1789" t="s">
        <v>1017</v>
      </c>
    </row>
    <row r="501" spans="1:8" ht="9" customHeight="1">
      <c r="A501" s="752"/>
    </row>
    <row r="502" spans="1:8" ht="28.2" customHeight="1">
      <c r="A502" s="3337" t="s">
        <v>4829</v>
      </c>
      <c r="B502" s="3337"/>
      <c r="C502" s="3337"/>
      <c r="D502" s="3337"/>
      <c r="E502" s="3337"/>
      <c r="F502" s="3337"/>
      <c r="G502" s="3337"/>
      <c r="H502" s="3337"/>
    </row>
    <row r="503" spans="1:8" ht="9" customHeight="1">
      <c r="A503" s="752"/>
    </row>
    <row r="504" spans="1:8">
      <c r="A504" s="785" t="s">
        <v>3231</v>
      </c>
      <c r="B504" s="812" t="str">
        <f>IF('Part VI-Revenues &amp; Expenses'!$K$56=0,"",'Part VI-Revenues &amp; Expenses'!$K$56)</f>
        <v/>
      </c>
      <c r="C504" s="785" t="s">
        <v>4817</v>
      </c>
      <c r="D504" s="813" t="s">
        <v>4818</v>
      </c>
    </row>
    <row r="505" spans="1:8" ht="1.95" customHeight="1"/>
    <row r="506" spans="1:8" ht="12.75" customHeight="1">
      <c r="C506" s="779" t="s">
        <v>3136</v>
      </c>
      <c r="D506" s="814" t="s">
        <v>1937</v>
      </c>
      <c r="E506" s="815"/>
      <c r="F506" s="3269" t="s">
        <v>3137</v>
      </c>
      <c r="G506" s="3269"/>
      <c r="H506" s="3269"/>
    </row>
    <row r="507" spans="1:8" ht="12.75" customHeight="1">
      <c r="C507" s="816" t="s">
        <v>1325</v>
      </c>
      <c r="D507" s="814" t="s">
        <v>1939</v>
      </c>
      <c r="E507" s="3269" t="s">
        <v>3236</v>
      </c>
      <c r="F507" s="3269"/>
      <c r="G507" s="3269"/>
      <c r="H507" s="3269"/>
    </row>
    <row r="508" spans="1:8" ht="12.75" customHeight="1">
      <c r="C508" s="1787" t="s">
        <v>4822</v>
      </c>
      <c r="E508" s="3269" t="s">
        <v>3397</v>
      </c>
      <c r="F508" s="3269"/>
      <c r="G508" s="3269"/>
      <c r="H508" s="3269"/>
    </row>
    <row r="509" spans="1:8" ht="12.75" customHeight="1">
      <c r="C509" s="1788"/>
      <c r="D509" s="1786" t="s">
        <v>3235</v>
      </c>
      <c r="E509" s="3335" t="s">
        <v>3398</v>
      </c>
      <c r="F509" s="3335"/>
      <c r="G509" s="3335"/>
      <c r="H509" s="3335"/>
    </row>
    <row r="510" spans="1:8" ht="3" customHeight="1">
      <c r="D510" s="814"/>
      <c r="E510" s="1784"/>
      <c r="F510" s="1784"/>
      <c r="G510" s="1784"/>
      <c r="H510" s="1784"/>
    </row>
    <row r="511" spans="1:8" ht="12.75" customHeight="1">
      <c r="C511" s="779" t="s">
        <v>3136</v>
      </c>
      <c r="D511" s="814" t="s">
        <v>1937</v>
      </c>
      <c r="E511" s="815"/>
      <c r="F511" s="811" t="s">
        <v>3137</v>
      </c>
      <c r="G511" s="811"/>
      <c r="H511" s="811"/>
    </row>
    <row r="512" spans="1:8" ht="12.75" customHeight="1">
      <c r="C512" s="816" t="s">
        <v>1325</v>
      </c>
      <c r="D512" s="814" t="s">
        <v>1939</v>
      </c>
      <c r="E512" s="3269" t="s">
        <v>3236</v>
      </c>
      <c r="F512" s="3269"/>
      <c r="G512" s="3269"/>
      <c r="H512" s="3269"/>
    </row>
    <row r="513" spans="1:8" ht="12.75" customHeight="1">
      <c r="C513" s="1787" t="s">
        <v>4822</v>
      </c>
      <c r="E513" s="3269" t="s">
        <v>3397</v>
      </c>
      <c r="F513" s="3269"/>
      <c r="G513" s="3269"/>
      <c r="H513" s="3269"/>
    </row>
    <row r="514" spans="1:8" ht="12.75" customHeight="1">
      <c r="C514" s="1788"/>
      <c r="D514" s="1786" t="s">
        <v>3235</v>
      </c>
      <c r="E514" s="3335" t="s">
        <v>3398</v>
      </c>
      <c r="F514" s="3335"/>
      <c r="G514" s="3335"/>
      <c r="H514" s="3335"/>
    </row>
    <row r="515" spans="1:8" ht="3" customHeight="1">
      <c r="D515" s="814"/>
      <c r="E515" s="1784"/>
      <c r="F515" s="1784"/>
      <c r="G515" s="1784"/>
      <c r="H515" s="1784"/>
    </row>
    <row r="516" spans="1:8" ht="12.75" customHeight="1">
      <c r="C516" s="779" t="s">
        <v>3136</v>
      </c>
      <c r="D516" s="814" t="s">
        <v>1937</v>
      </c>
      <c r="E516" s="815"/>
      <c r="F516" s="811" t="s">
        <v>3137</v>
      </c>
      <c r="G516" s="811"/>
      <c r="H516" s="811"/>
    </row>
    <row r="517" spans="1:8" ht="12.75" customHeight="1">
      <c r="C517" s="816" t="s">
        <v>1325</v>
      </c>
      <c r="D517" s="814" t="s">
        <v>1939</v>
      </c>
      <c r="E517" s="3269" t="s">
        <v>3236</v>
      </c>
      <c r="F517" s="3269"/>
      <c r="G517" s="3269"/>
      <c r="H517" s="3269"/>
    </row>
    <row r="518" spans="1:8" ht="12.75" customHeight="1">
      <c r="C518" s="1787" t="s">
        <v>4822</v>
      </c>
      <c r="E518" s="3269" t="s">
        <v>3397</v>
      </c>
      <c r="F518" s="3269"/>
      <c r="G518" s="3269"/>
      <c r="H518" s="3269"/>
    </row>
    <row r="519" spans="1:8" ht="12.75" customHeight="1">
      <c r="C519" s="1788"/>
      <c r="D519" s="1786" t="s">
        <v>3235</v>
      </c>
      <c r="E519" s="3335" t="s">
        <v>3398</v>
      </c>
      <c r="F519" s="3335"/>
      <c r="G519" s="3335"/>
      <c r="H519" s="3335"/>
    </row>
    <row r="520" spans="1:8" ht="6" customHeight="1">
      <c r="D520" s="814"/>
      <c r="E520" s="1784"/>
      <c r="F520" s="1784"/>
      <c r="G520" s="1784"/>
      <c r="H520" s="1784"/>
    </row>
    <row r="521" spans="1:8">
      <c r="A521" s="785" t="s">
        <v>3231</v>
      </c>
      <c r="B521" s="812" t="str">
        <f>IF('Part VI-Revenues &amp; Expenses'!$L$56=0,"",'Part VI-Revenues &amp; Expenses'!$L$56)</f>
        <v/>
      </c>
      <c r="C521" s="785" t="s">
        <v>3232</v>
      </c>
      <c r="D521" s="813" t="s">
        <v>3399</v>
      </c>
    </row>
    <row r="522" spans="1:8" ht="1.95" customHeight="1"/>
    <row r="523" spans="1:8" ht="12.75" customHeight="1">
      <c r="C523" s="779" t="s">
        <v>3136</v>
      </c>
      <c r="D523" s="814" t="s">
        <v>1937</v>
      </c>
      <c r="E523" s="815"/>
      <c r="F523" s="811" t="s">
        <v>3137</v>
      </c>
      <c r="G523" s="811"/>
      <c r="H523" s="811"/>
    </row>
    <row r="524" spans="1:8" ht="12.75" customHeight="1">
      <c r="C524" s="816" t="s">
        <v>1325</v>
      </c>
      <c r="D524" s="814" t="s">
        <v>1939</v>
      </c>
      <c r="E524" s="3269" t="s">
        <v>3236</v>
      </c>
      <c r="F524" s="3269"/>
      <c r="G524" s="3269"/>
      <c r="H524" s="3269"/>
    </row>
    <row r="525" spans="1:8" ht="12.75" customHeight="1">
      <c r="C525" s="1787" t="s">
        <v>4822</v>
      </c>
      <c r="E525" s="3269" t="s">
        <v>3397</v>
      </c>
      <c r="F525" s="3269"/>
      <c r="G525" s="3269"/>
      <c r="H525" s="3269"/>
    </row>
    <row r="526" spans="1:8" ht="12.75" customHeight="1">
      <c r="C526" s="1788"/>
      <c r="D526" s="1785" t="s">
        <v>3235</v>
      </c>
      <c r="E526" s="3336" t="s">
        <v>3398</v>
      </c>
      <c r="F526" s="3336"/>
      <c r="G526" s="3336"/>
      <c r="H526" s="3336"/>
    </row>
    <row r="527" spans="1:8" ht="3" customHeight="1">
      <c r="D527" s="814"/>
      <c r="E527" s="1784"/>
      <c r="F527" s="1784"/>
      <c r="G527" s="1784"/>
      <c r="H527" s="1784"/>
    </row>
    <row r="528" spans="1:8" ht="12.75" customHeight="1">
      <c r="C528" s="779" t="s">
        <v>3136</v>
      </c>
      <c r="D528" s="814" t="s">
        <v>1937</v>
      </c>
      <c r="E528" s="815"/>
      <c r="F528" s="811" t="s">
        <v>3137</v>
      </c>
      <c r="G528" s="811"/>
      <c r="H528" s="811"/>
    </row>
    <row r="529" spans="1:8" ht="12.75" customHeight="1">
      <c r="C529" s="816" t="s">
        <v>1325</v>
      </c>
      <c r="D529" s="814" t="s">
        <v>1939</v>
      </c>
      <c r="E529" s="3269" t="s">
        <v>3236</v>
      </c>
      <c r="F529" s="3269"/>
      <c r="G529" s="3269"/>
      <c r="H529" s="3269"/>
    </row>
    <row r="530" spans="1:8" ht="12.75" customHeight="1">
      <c r="C530" s="1787" t="s">
        <v>4822</v>
      </c>
      <c r="E530" s="3269" t="s">
        <v>3397</v>
      </c>
      <c r="F530" s="3269"/>
      <c r="G530" s="3269"/>
      <c r="H530" s="3269"/>
    </row>
    <row r="531" spans="1:8" ht="12.75" customHeight="1">
      <c r="C531" s="1788"/>
      <c r="D531" s="1786" t="s">
        <v>3235</v>
      </c>
      <c r="E531" s="3335" t="s">
        <v>3398</v>
      </c>
      <c r="F531" s="3335"/>
      <c r="G531" s="3335"/>
      <c r="H531" s="3335"/>
    </row>
    <row r="532" spans="1:8" ht="3" customHeight="1">
      <c r="D532" s="814"/>
      <c r="E532" s="1784"/>
      <c r="F532" s="1784"/>
      <c r="G532" s="1784"/>
      <c r="H532" s="1784"/>
    </row>
    <row r="533" spans="1:8" ht="12.75" customHeight="1">
      <c r="C533" s="779" t="s">
        <v>3136</v>
      </c>
      <c r="D533" s="814" t="s">
        <v>1937</v>
      </c>
      <c r="E533" s="815"/>
      <c r="F533" s="811" t="s">
        <v>3137</v>
      </c>
      <c r="G533" s="811"/>
      <c r="H533" s="811"/>
    </row>
    <row r="534" spans="1:8" ht="12.75" customHeight="1">
      <c r="C534" s="816" t="s">
        <v>1325</v>
      </c>
      <c r="D534" s="814" t="s">
        <v>1939</v>
      </c>
      <c r="E534" s="3269" t="s">
        <v>3236</v>
      </c>
      <c r="F534" s="3269"/>
      <c r="G534" s="3269"/>
      <c r="H534" s="3269"/>
    </row>
    <row r="535" spans="1:8" ht="12.75" customHeight="1">
      <c r="C535" s="1787" t="s">
        <v>4822</v>
      </c>
      <c r="E535" s="3269" t="s">
        <v>3397</v>
      </c>
      <c r="F535" s="3269"/>
      <c r="G535" s="3269"/>
      <c r="H535" s="3269"/>
    </row>
    <row r="536" spans="1:8" ht="12.75" customHeight="1">
      <c r="C536" s="1788"/>
      <c r="D536" s="1786" t="s">
        <v>3235</v>
      </c>
      <c r="E536" s="3335" t="s">
        <v>3398</v>
      </c>
      <c r="F536" s="3335"/>
      <c r="G536" s="3335"/>
      <c r="H536" s="3335"/>
    </row>
    <row r="537" spans="1:8" ht="6" customHeight="1">
      <c r="D537" s="814"/>
      <c r="E537" s="1784"/>
      <c r="F537" s="1784"/>
      <c r="G537" s="1784"/>
      <c r="H537" s="1784"/>
    </row>
    <row r="538" spans="1:8">
      <c r="A538" s="785" t="s">
        <v>3231</v>
      </c>
      <c r="B538" s="812" t="str">
        <f>IF('Part VI-Revenues &amp; Expenses'!$M$56=0,"",'Part VI-Revenues &amp; Expenses'!$M$56)</f>
        <v/>
      </c>
      <c r="C538" s="785" t="s">
        <v>3233</v>
      </c>
      <c r="D538" s="813" t="s">
        <v>3400</v>
      </c>
    </row>
    <row r="539" spans="1:8" ht="1.95" customHeight="1"/>
    <row r="540" spans="1:8" ht="12.75" customHeight="1">
      <c r="C540" s="779" t="s">
        <v>3136</v>
      </c>
      <c r="D540" s="814" t="s">
        <v>1937</v>
      </c>
      <c r="E540" s="815"/>
      <c r="F540" s="811" t="s">
        <v>3137</v>
      </c>
      <c r="G540" s="811"/>
      <c r="H540" s="811"/>
    </row>
    <row r="541" spans="1:8" ht="12.75" customHeight="1">
      <c r="C541" s="816" t="s">
        <v>1325</v>
      </c>
      <c r="D541" s="814" t="s">
        <v>1939</v>
      </c>
      <c r="E541" s="3269" t="s">
        <v>3236</v>
      </c>
      <c r="F541" s="3269"/>
      <c r="G541" s="3269"/>
      <c r="H541" s="3269"/>
    </row>
    <row r="542" spans="1:8" ht="12.75" customHeight="1">
      <c r="C542" s="1787" t="s">
        <v>4822</v>
      </c>
      <c r="E542" s="3269" t="s">
        <v>3397</v>
      </c>
      <c r="F542" s="3269"/>
      <c r="G542" s="3269"/>
      <c r="H542" s="3269"/>
    </row>
    <row r="543" spans="1:8" ht="12.75" customHeight="1">
      <c r="C543" s="1788"/>
      <c r="D543" s="1785" t="s">
        <v>3235</v>
      </c>
      <c r="E543" s="3336" t="s">
        <v>3398</v>
      </c>
      <c r="F543" s="3336"/>
      <c r="G543" s="3336"/>
      <c r="H543" s="3336"/>
    </row>
    <row r="544" spans="1:8" ht="3" customHeight="1">
      <c r="D544" s="814"/>
      <c r="E544" s="1784"/>
      <c r="F544" s="1784"/>
      <c r="G544" s="1784"/>
      <c r="H544" s="1784"/>
    </row>
    <row r="545" spans="1:8" ht="12.75" customHeight="1">
      <c r="C545" s="779" t="s">
        <v>3136</v>
      </c>
      <c r="D545" s="814" t="s">
        <v>1937</v>
      </c>
      <c r="E545" s="815"/>
      <c r="F545" s="811" t="s">
        <v>3137</v>
      </c>
      <c r="G545" s="811"/>
      <c r="H545" s="811"/>
    </row>
    <row r="546" spans="1:8" ht="12.75" customHeight="1">
      <c r="C546" s="816" t="s">
        <v>1325</v>
      </c>
      <c r="D546" s="814" t="s">
        <v>1939</v>
      </c>
      <c r="E546" s="3269" t="s">
        <v>3236</v>
      </c>
      <c r="F546" s="3269"/>
      <c r="G546" s="3269"/>
      <c r="H546" s="3269"/>
    </row>
    <row r="547" spans="1:8" ht="12.75" customHeight="1">
      <c r="C547" s="1787" t="s">
        <v>4822</v>
      </c>
      <c r="E547" s="3269" t="s">
        <v>3397</v>
      </c>
      <c r="F547" s="3269"/>
      <c r="G547" s="3269"/>
      <c r="H547" s="3269"/>
    </row>
    <row r="548" spans="1:8" ht="12.75" customHeight="1">
      <c r="C548" s="1788"/>
      <c r="D548" s="1786" t="s">
        <v>3235</v>
      </c>
      <c r="E548" s="3335" t="s">
        <v>3398</v>
      </c>
      <c r="F548" s="3335"/>
      <c r="G548" s="3335"/>
      <c r="H548" s="3335"/>
    </row>
    <row r="549" spans="1:8" ht="3" customHeight="1">
      <c r="D549" s="814"/>
      <c r="E549" s="1784"/>
      <c r="F549" s="1784"/>
      <c r="G549" s="1784"/>
      <c r="H549" s="1784"/>
    </row>
    <row r="550" spans="1:8" ht="12.75" customHeight="1">
      <c r="C550" s="779" t="s">
        <v>3136</v>
      </c>
      <c r="D550" s="814" t="s">
        <v>1937</v>
      </c>
      <c r="E550" s="815"/>
      <c r="F550" s="811" t="s">
        <v>3137</v>
      </c>
      <c r="G550" s="811"/>
      <c r="H550" s="811"/>
    </row>
    <row r="551" spans="1:8" ht="12.75" customHeight="1">
      <c r="C551" s="816" t="s">
        <v>1325</v>
      </c>
      <c r="D551" s="814" t="s">
        <v>1939</v>
      </c>
      <c r="E551" s="3269" t="s">
        <v>3236</v>
      </c>
      <c r="F551" s="3269"/>
      <c r="G551" s="3269"/>
      <c r="H551" s="3269"/>
    </row>
    <row r="552" spans="1:8" ht="12.75" customHeight="1">
      <c r="C552" s="1787" t="s">
        <v>4822</v>
      </c>
      <c r="E552" s="3269" t="s">
        <v>3397</v>
      </c>
      <c r="F552" s="3269"/>
      <c r="G552" s="3269"/>
      <c r="H552" s="3269"/>
    </row>
    <row r="553" spans="1:8" ht="12.75" customHeight="1">
      <c r="C553" s="1788"/>
      <c r="D553" s="1786" t="s">
        <v>3235</v>
      </c>
      <c r="E553" s="3335" t="s">
        <v>3398</v>
      </c>
      <c r="F553" s="3335"/>
      <c r="G553" s="3335"/>
      <c r="H553" s="3335"/>
    </row>
    <row r="554" spans="1:8" ht="6" customHeight="1">
      <c r="D554" s="814"/>
      <c r="E554" s="1784"/>
      <c r="F554" s="1784"/>
      <c r="G554" s="1784"/>
      <c r="H554" s="1784"/>
    </row>
    <row r="555" spans="1:8">
      <c r="A555" s="785" t="s">
        <v>3231</v>
      </c>
      <c r="B555" s="812" t="str">
        <f>IF('Part VI-Revenues &amp; Expenses'!$N$56=0,"",'Part VI-Revenues &amp; Expenses'!$N$56)</f>
        <v/>
      </c>
      <c r="C555" s="785" t="s">
        <v>3234</v>
      </c>
      <c r="D555" s="813" t="s">
        <v>3401</v>
      </c>
    </row>
    <row r="556" spans="1:8" ht="1.95" customHeight="1"/>
    <row r="557" spans="1:8" ht="12.75" customHeight="1">
      <c r="C557" s="779" t="s">
        <v>3136</v>
      </c>
      <c r="D557" s="814" t="s">
        <v>1937</v>
      </c>
      <c r="E557" s="815"/>
      <c r="F557" s="811" t="s">
        <v>3137</v>
      </c>
      <c r="G557" s="811"/>
      <c r="H557" s="811"/>
    </row>
    <row r="558" spans="1:8" ht="12.75" customHeight="1">
      <c r="C558" s="816" t="s">
        <v>1325</v>
      </c>
      <c r="D558" s="814" t="s">
        <v>1939</v>
      </c>
      <c r="E558" s="3269" t="s">
        <v>3236</v>
      </c>
      <c r="F558" s="3269"/>
      <c r="G558" s="3269"/>
      <c r="H558" s="3269"/>
    </row>
    <row r="559" spans="1:8" ht="12.75" customHeight="1">
      <c r="C559" s="1787" t="s">
        <v>4822</v>
      </c>
      <c r="E559" s="3269" t="s">
        <v>3397</v>
      </c>
      <c r="F559" s="3269"/>
      <c r="G559" s="3269"/>
      <c r="H559" s="3269"/>
    </row>
    <row r="560" spans="1:8" ht="12.75" customHeight="1">
      <c r="C560" s="1788"/>
      <c r="D560" s="1785" t="s">
        <v>3235</v>
      </c>
      <c r="E560" s="3336" t="s">
        <v>3398</v>
      </c>
      <c r="F560" s="3336"/>
      <c r="G560" s="3336"/>
      <c r="H560" s="3336"/>
    </row>
    <row r="561" spans="1:11" ht="3" customHeight="1">
      <c r="D561" s="814"/>
      <c r="E561" s="1784"/>
      <c r="F561" s="1784"/>
      <c r="G561" s="1784"/>
      <c r="H561" s="1784"/>
    </row>
    <row r="562" spans="1:11" ht="12.75" customHeight="1">
      <c r="C562" s="779" t="s">
        <v>3136</v>
      </c>
      <c r="D562" s="814" t="s">
        <v>1937</v>
      </c>
      <c r="E562" s="815"/>
      <c r="F562" s="811" t="s">
        <v>3137</v>
      </c>
      <c r="G562" s="811"/>
      <c r="H562" s="811"/>
    </row>
    <row r="563" spans="1:11" ht="12.75" customHeight="1">
      <c r="C563" s="816" t="s">
        <v>1325</v>
      </c>
      <c r="D563" s="814" t="s">
        <v>1939</v>
      </c>
      <c r="E563" s="3269" t="s">
        <v>3236</v>
      </c>
      <c r="F563" s="3269"/>
      <c r="G563" s="3269"/>
      <c r="H563" s="3269"/>
    </row>
    <row r="564" spans="1:11" ht="12.75" customHeight="1">
      <c r="C564" s="1787" t="s">
        <v>4822</v>
      </c>
      <c r="E564" s="3269" t="s">
        <v>3397</v>
      </c>
      <c r="F564" s="3269"/>
      <c r="G564" s="3269"/>
      <c r="H564" s="3269"/>
    </row>
    <row r="565" spans="1:11" ht="12.75" customHeight="1">
      <c r="C565" s="1788"/>
      <c r="D565" s="1786" t="s">
        <v>3235</v>
      </c>
      <c r="E565" s="3335" t="s">
        <v>3398</v>
      </c>
      <c r="F565" s="3335"/>
      <c r="G565" s="3335"/>
      <c r="H565" s="3335"/>
    </row>
    <row r="566" spans="1:11" ht="3" customHeight="1">
      <c r="D566" s="814"/>
      <c r="E566" s="1784"/>
      <c r="F566" s="1784"/>
      <c r="G566" s="1784"/>
      <c r="H566" s="1784"/>
    </row>
    <row r="567" spans="1:11" ht="12.75" customHeight="1">
      <c r="C567" s="779" t="s">
        <v>3136</v>
      </c>
      <c r="D567" s="814" t="s">
        <v>1937</v>
      </c>
      <c r="E567" s="815"/>
      <c r="F567" s="811" t="s">
        <v>3137</v>
      </c>
      <c r="G567" s="811"/>
      <c r="H567" s="811"/>
    </row>
    <row r="568" spans="1:11" ht="12.75" customHeight="1">
      <c r="C568" s="816" t="s">
        <v>1325</v>
      </c>
      <c r="D568" s="814" t="s">
        <v>1939</v>
      </c>
      <c r="E568" s="3269" t="s">
        <v>3236</v>
      </c>
      <c r="F568" s="3269"/>
      <c r="G568" s="3269"/>
      <c r="H568" s="3269"/>
    </row>
    <row r="569" spans="1:11" ht="12.75" customHeight="1">
      <c r="C569" s="1787" t="s">
        <v>4822</v>
      </c>
      <c r="E569" s="3269" t="s">
        <v>3397</v>
      </c>
      <c r="F569" s="3269"/>
      <c r="G569" s="3269"/>
      <c r="H569" s="3269"/>
    </row>
    <row r="570" spans="1:11" ht="12.75" customHeight="1">
      <c r="C570" s="1788"/>
      <c r="D570" s="1786" t="s">
        <v>3235</v>
      </c>
      <c r="E570" s="3335" t="s">
        <v>3398</v>
      </c>
      <c r="F570" s="3335"/>
      <c r="G570" s="3335"/>
      <c r="H570" s="3335"/>
    </row>
    <row r="571" spans="1:11" ht="6" customHeight="1">
      <c r="D571" s="814"/>
      <c r="E571" s="1784"/>
      <c r="F571" s="1784"/>
      <c r="G571" s="1784"/>
      <c r="H571" s="1784"/>
    </row>
    <row r="572" spans="1:11">
      <c r="A572" s="785" t="s">
        <v>3231</v>
      </c>
      <c r="B572" s="812" t="str">
        <f>IF('Part VI-Revenues &amp; Expenses'!$O$56=0,"",'Part VI-Revenues &amp; Expenses'!$O$56)</f>
        <v/>
      </c>
      <c r="C572" s="785" t="s">
        <v>4820</v>
      </c>
      <c r="D572" s="813" t="s">
        <v>4821</v>
      </c>
    </row>
    <row r="573" spans="1:11" ht="1.95" customHeight="1"/>
    <row r="574" spans="1:11" ht="12.75" customHeight="1">
      <c r="C574" s="779" t="s">
        <v>3136</v>
      </c>
      <c r="D574" s="814" t="s">
        <v>1937</v>
      </c>
      <c r="E574" s="815"/>
      <c r="F574" s="3269" t="s">
        <v>3137</v>
      </c>
      <c r="G574" s="3269"/>
      <c r="H574" s="3269"/>
      <c r="K574" s="730" t="s">
        <v>238</v>
      </c>
    </row>
    <row r="575" spans="1:11" ht="12.75" customHeight="1">
      <c r="C575" s="816" t="s">
        <v>1325</v>
      </c>
      <c r="D575" s="814" t="s">
        <v>1939</v>
      </c>
      <c r="E575" s="3269" t="s">
        <v>3237</v>
      </c>
      <c r="F575" s="3269"/>
      <c r="G575" s="3269"/>
      <c r="H575" s="3269"/>
    </row>
    <row r="576" spans="1:11" ht="12.75" customHeight="1">
      <c r="E576" s="3269" t="s">
        <v>3397</v>
      </c>
      <c r="F576" s="3269"/>
      <c r="G576" s="3269"/>
      <c r="H576" s="3269"/>
    </row>
    <row r="577" spans="4:8" ht="12.75" customHeight="1">
      <c r="D577" s="817" t="s">
        <v>3235</v>
      </c>
      <c r="E577" s="3269" t="s">
        <v>3398</v>
      </c>
      <c r="F577" s="3269"/>
      <c r="G577" s="3269"/>
      <c r="H577" s="3269"/>
    </row>
    <row r="578" spans="4:8" ht="9" customHeight="1"/>
    <row r="579" spans="4:8" ht="7.5" customHeight="1">
      <c r="E579" s="3269"/>
      <c r="F579" s="3269"/>
      <c r="G579" s="3269"/>
      <c r="H579" s="3269"/>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Twin Oaks Commons</v>
      </c>
    </row>
    <row r="2" spans="1:14">
      <c r="A2" s="667" t="s">
        <v>3131</v>
      </c>
      <c r="H2" s="730" t="str">
        <f>'Sensitivity Analysis'!E8</f>
        <v>2020-050</v>
      </c>
    </row>
    <row r="3" spans="1:14" ht="3" customHeight="1"/>
    <row r="4" spans="1:14" ht="69.599999999999994" customHeight="1">
      <c r="A4" s="3338" t="s">
        <v>3229</v>
      </c>
      <c r="B4" s="3338"/>
      <c r="C4" s="3338"/>
      <c r="D4" s="3338"/>
      <c r="E4" s="3338"/>
      <c r="F4" s="3338"/>
      <c r="G4" s="3338"/>
      <c r="H4" s="3338"/>
      <c r="I4" s="3338"/>
      <c r="J4" s="3338"/>
      <c r="K4" s="3338"/>
      <c r="L4" s="3372">
        <f>SUM('Part VII-Pro Forma'!B14:B16)/12</f>
        <v>17875.418399999999</v>
      </c>
      <c r="M4" s="3372"/>
      <c r="N4" s="2037" t="s">
        <v>4103</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3338" t="s">
        <v>3133</v>
      </c>
      <c r="D7" s="3338"/>
      <c r="E7" s="3338"/>
      <c r="F7" s="3338"/>
      <c r="G7" s="3338"/>
      <c r="H7" s="3338"/>
      <c r="I7" s="3338"/>
      <c r="J7" s="3338"/>
      <c r="K7" s="3338"/>
      <c r="L7" s="3338"/>
      <c r="M7" s="3338"/>
    </row>
    <row r="8" spans="1:14" ht="3" customHeight="1"/>
    <row r="9" spans="1:14">
      <c r="A9" s="730" t="s">
        <v>3134</v>
      </c>
    </row>
    <row r="10" spans="1:14" ht="1.5" customHeight="1"/>
    <row r="11" spans="1:14" ht="26.25" customHeight="1">
      <c r="A11" s="811" t="s">
        <v>1934</v>
      </c>
      <c r="B11" s="3338" t="s">
        <v>3226</v>
      </c>
      <c r="C11" s="3338"/>
      <c r="D11" s="3338"/>
      <c r="E11" s="3338"/>
      <c r="F11" s="3338"/>
      <c r="G11" s="3338"/>
      <c r="H11" s="3338"/>
      <c r="I11" s="3338"/>
      <c r="J11" s="3338"/>
      <c r="K11" s="3338"/>
      <c r="L11" s="3339">
        <f>'Part III-Sources of Funds'!I49+'Part III-Sources of Funds'!I50</f>
        <v>5287170</v>
      </c>
      <c r="M11" s="3339"/>
    </row>
    <row r="12" spans="1:14" ht="1.5" customHeight="1">
      <c r="G12" s="779"/>
      <c r="H12" s="779"/>
    </row>
    <row r="13" spans="1:14" ht="25.95" customHeight="1">
      <c r="A13" s="811" t="s">
        <v>1936</v>
      </c>
      <c r="B13" s="3338" t="s">
        <v>3227</v>
      </c>
      <c r="C13" s="3338"/>
      <c r="D13" s="3338"/>
      <c r="E13" s="3338"/>
      <c r="F13" s="3338"/>
      <c r="G13" s="3338"/>
      <c r="H13" s="3338"/>
      <c r="I13" s="3338"/>
      <c r="J13" s="3338"/>
      <c r="K13" s="3338"/>
      <c r="L13" s="3340" t="s">
        <v>3060</v>
      </c>
      <c r="M13" s="3340"/>
    </row>
    <row r="14" spans="1:14">
      <c r="A14" s="811"/>
      <c r="B14" s="3258"/>
      <c r="C14" s="3258"/>
      <c r="D14" s="3258"/>
      <c r="E14" s="3258"/>
      <c r="F14" s="3258"/>
      <c r="G14" s="3258"/>
      <c r="H14" s="3258"/>
    </row>
    <row r="15" spans="1:14" ht="3" customHeight="1"/>
    <row r="16" spans="1:14">
      <c r="A16" s="811" t="s">
        <v>730</v>
      </c>
      <c r="B16" s="730" t="s">
        <v>3230</v>
      </c>
      <c r="F16" s="803"/>
      <c r="L16" s="3255" t="s">
        <v>2886</v>
      </c>
      <c r="M16" s="3255"/>
    </row>
    <row r="17" spans="1:19" ht="1.5" customHeight="1">
      <c r="L17" s="785"/>
    </row>
    <row r="18" spans="1:19" ht="12" customHeight="1">
      <c r="A18" s="811" t="s">
        <v>2063</v>
      </c>
      <c r="B18" s="779" t="s">
        <v>3228</v>
      </c>
      <c r="C18" s="811"/>
      <c r="D18" s="811"/>
      <c r="E18" s="811"/>
      <c r="L18" s="3258" t="s">
        <v>2726</v>
      </c>
      <c r="M18" s="3258"/>
    </row>
    <row r="19" spans="1:19" ht="12" hidden="1" customHeight="1">
      <c r="B19" s="3258"/>
      <c r="C19" s="3258"/>
      <c r="D19" s="3258"/>
      <c r="E19" s="3258"/>
      <c r="F19" s="3258"/>
      <c r="G19" s="3258"/>
      <c r="H19" s="3258"/>
    </row>
    <row r="20" spans="1:19" ht="13.5" customHeight="1"/>
    <row r="21" spans="1:19" ht="12" customHeight="1">
      <c r="A21" s="667" t="s">
        <v>3135</v>
      </c>
    </row>
    <row r="22" spans="1:19" ht="3" customHeight="1"/>
    <row r="23" spans="1:19" ht="42.6" customHeight="1" thickBot="1">
      <c r="A23" s="3341" t="s">
        <v>4819</v>
      </c>
      <c r="B23" s="3341"/>
      <c r="C23" s="3341"/>
      <c r="D23" s="3341"/>
      <c r="E23" s="3341"/>
      <c r="F23" s="3341"/>
      <c r="G23" s="3341"/>
      <c r="H23" s="3341"/>
      <c r="I23" s="3341"/>
      <c r="J23" s="3341"/>
      <c r="K23" s="3341"/>
      <c r="L23" s="3341"/>
      <c r="M23" s="3341"/>
    </row>
    <row r="24" spans="1:19" ht="18" customHeight="1" thickBot="1">
      <c r="A24" s="2036"/>
      <c r="B24" s="3371" t="s">
        <v>6840</v>
      </c>
      <c r="F24" s="3362" t="s">
        <v>6842</v>
      </c>
      <c r="G24" s="3363"/>
      <c r="H24" s="3363"/>
      <c r="I24" s="3363"/>
      <c r="J24" s="3363"/>
      <c r="K24" s="3363"/>
      <c r="L24" s="3363"/>
      <c r="M24" s="3364"/>
      <c r="S24" s="730"/>
    </row>
    <row r="25" spans="1:19" ht="15" customHeight="1">
      <c r="A25" s="2036"/>
      <c r="B25" s="3371"/>
      <c r="D25" s="3371" t="s">
        <v>6838</v>
      </c>
      <c r="E25" s="3371" t="s">
        <v>6841</v>
      </c>
      <c r="F25" s="3347" t="s">
        <v>6845</v>
      </c>
      <c r="G25" s="3348"/>
      <c r="H25" s="3353" t="s">
        <v>1325</v>
      </c>
      <c r="I25" s="3365" t="s">
        <v>6839</v>
      </c>
      <c r="J25" s="3366"/>
      <c r="K25" s="3366"/>
      <c r="L25" s="3366"/>
      <c r="M25" s="3367"/>
      <c r="S25" s="730"/>
    </row>
    <row r="26" spans="1:19" ht="15" customHeight="1">
      <c r="A26" s="3342" t="s">
        <v>1017</v>
      </c>
      <c r="B26" s="3371"/>
      <c r="C26" s="807"/>
      <c r="D26" s="3371"/>
      <c r="E26" s="3371"/>
      <c r="F26" s="3349"/>
      <c r="G26" s="3350"/>
      <c r="H26" s="3354"/>
      <c r="I26" s="3356" t="s">
        <v>6843</v>
      </c>
      <c r="J26" s="3357"/>
      <c r="K26" s="3368" t="s">
        <v>1325</v>
      </c>
      <c r="L26" s="3357" t="s">
        <v>6844</v>
      </c>
      <c r="M26" s="3360"/>
      <c r="S26" s="730"/>
    </row>
    <row r="27" spans="1:19" ht="15" customHeight="1">
      <c r="A27" s="3342"/>
      <c r="B27" s="3371"/>
      <c r="C27" s="3342" t="s">
        <v>6837</v>
      </c>
      <c r="D27" s="3371"/>
      <c r="E27" s="3371"/>
      <c r="F27" s="3349"/>
      <c r="G27" s="3350"/>
      <c r="H27" s="3354"/>
      <c r="I27" s="3356"/>
      <c r="J27" s="3357"/>
      <c r="K27" s="3369"/>
      <c r="L27" s="3357"/>
      <c r="M27" s="3360"/>
      <c r="S27" s="730"/>
    </row>
    <row r="28" spans="1:19" ht="15" customHeight="1" thickBot="1">
      <c r="A28" s="3342"/>
      <c r="B28" s="3342"/>
      <c r="C28" s="3342"/>
      <c r="D28" s="3342"/>
      <c r="E28" s="3342"/>
      <c r="F28" s="3351"/>
      <c r="G28" s="3352"/>
      <c r="H28" s="3355"/>
      <c r="I28" s="3358"/>
      <c r="J28" s="3359"/>
      <c r="K28" s="3370"/>
      <c r="L28" s="3359"/>
      <c r="M28" s="3361"/>
      <c r="S28" s="730"/>
    </row>
    <row r="29" spans="1:19" ht="13.2" customHeight="1">
      <c r="A29" s="2036"/>
      <c r="I29" s="737"/>
      <c r="K29" s="730"/>
      <c r="S29" s="730"/>
    </row>
    <row r="30" spans="1:19" ht="13.2" customHeight="1">
      <c r="A30" s="2041">
        <v>20</v>
      </c>
      <c r="B30" s="2030" t="str">
        <f>IF('Part VI-Revenues &amp; Expenses'!$K$62=0,"",'Part VI-Revenues &amp; Expenses'!$K$62)</f>
        <v/>
      </c>
      <c r="C30" s="748" t="s">
        <v>550</v>
      </c>
      <c r="D30" s="538"/>
      <c r="E30" s="538"/>
      <c r="F30" s="3343"/>
      <c r="G30" s="3344"/>
      <c r="H30" s="538"/>
      <c r="I30" s="737"/>
      <c r="J30" s="538"/>
      <c r="K30" s="538"/>
      <c r="L30" s="538"/>
      <c r="M30" s="538"/>
      <c r="S30" s="730"/>
    </row>
    <row r="31" spans="1:19" ht="13.2" customHeight="1">
      <c r="A31" s="2039"/>
      <c r="B31" s="538"/>
      <c r="C31" s="538" t="s">
        <v>550</v>
      </c>
      <c r="D31" s="2032"/>
      <c r="E31" s="2033"/>
      <c r="F31" s="3345"/>
      <c r="G31" s="3345"/>
      <c r="H31" s="3345"/>
      <c r="I31" s="3345"/>
      <c r="J31" s="3345"/>
      <c r="K31" s="3345"/>
      <c r="L31" s="3345"/>
      <c r="M31" s="3346"/>
      <c r="S31" s="730"/>
    </row>
    <row r="32" spans="1:19" ht="13.2" customHeight="1">
      <c r="A32" s="2039"/>
      <c r="B32" s="538"/>
      <c r="C32" s="538" t="s">
        <v>550</v>
      </c>
      <c r="D32" s="2032"/>
      <c r="E32" s="2033"/>
      <c r="F32" s="3345"/>
      <c r="G32" s="3345"/>
      <c r="H32" s="3345"/>
      <c r="I32" s="3345"/>
      <c r="J32" s="3345"/>
      <c r="K32" s="3345"/>
      <c r="L32" s="3345"/>
      <c r="M32" s="3346"/>
      <c r="S32" s="730"/>
    </row>
    <row r="33" spans="1:19" ht="13.2" customHeight="1">
      <c r="A33" s="2039"/>
      <c r="B33" s="538"/>
      <c r="C33" s="538" t="s">
        <v>550</v>
      </c>
      <c r="D33" s="2032"/>
      <c r="E33" s="2033"/>
      <c r="F33" s="3345"/>
      <c r="G33" s="3345"/>
      <c r="H33" s="3345"/>
      <c r="I33" s="3345"/>
      <c r="J33" s="3345"/>
      <c r="K33" s="3345"/>
      <c r="L33" s="3345"/>
      <c r="M33" s="3346"/>
      <c r="S33" s="730"/>
    </row>
    <row r="34" spans="1:19" ht="13.2" customHeight="1">
      <c r="A34" s="2035">
        <f>A30</f>
        <v>20</v>
      </c>
      <c r="B34" s="812" t="str">
        <f>IF('Part VI-Revenues &amp; Expenses'!$L$62=0,"",'Part VI-Revenues &amp; Expenses'!$L$62)</f>
        <v/>
      </c>
      <c r="C34" s="2031">
        <v>1</v>
      </c>
      <c r="D34" s="538"/>
      <c r="E34" s="538"/>
      <c r="F34" s="3343"/>
      <c r="G34" s="3344"/>
      <c r="H34" s="2031"/>
      <c r="I34" s="2031"/>
      <c r="J34" s="2031"/>
      <c r="K34" s="2031"/>
      <c r="L34" s="2031"/>
      <c r="M34" s="2031"/>
      <c r="S34" s="730"/>
    </row>
    <row r="35" spans="1:19" ht="13.2" customHeight="1">
      <c r="A35" s="2035"/>
      <c r="B35" s="538"/>
      <c r="C35" s="2034">
        <v>1</v>
      </c>
      <c r="D35" s="2032"/>
      <c r="E35" s="2033"/>
      <c r="F35" s="3345"/>
      <c r="G35" s="3345"/>
      <c r="H35" s="3345"/>
      <c r="I35" s="3345"/>
      <c r="J35" s="3345"/>
      <c r="K35" s="3345"/>
      <c r="L35" s="3345"/>
      <c r="M35" s="3346"/>
      <c r="S35" s="730"/>
    </row>
    <row r="36" spans="1:19" ht="13.2" customHeight="1">
      <c r="A36" s="2035"/>
      <c r="B36" s="538"/>
      <c r="C36" s="2034">
        <v>1</v>
      </c>
      <c r="D36" s="2032"/>
      <c r="E36" s="2033"/>
      <c r="F36" s="3345"/>
      <c r="G36" s="3345"/>
      <c r="H36" s="3345"/>
      <c r="I36" s="3345"/>
      <c r="J36" s="3345"/>
      <c r="K36" s="3345"/>
      <c r="L36" s="3345"/>
      <c r="M36" s="3346"/>
      <c r="S36" s="730"/>
    </row>
    <row r="37" spans="1:19" ht="13.2" customHeight="1">
      <c r="A37" s="2035"/>
      <c r="B37" s="538"/>
      <c r="C37" s="2034">
        <v>1</v>
      </c>
      <c r="D37" s="2032"/>
      <c r="E37" s="2033"/>
      <c r="F37" s="3345"/>
      <c r="G37" s="3345"/>
      <c r="H37" s="3345"/>
      <c r="I37" s="3345"/>
      <c r="J37" s="3345"/>
      <c r="K37" s="3345"/>
      <c r="L37" s="3345"/>
      <c r="M37" s="3346"/>
      <c r="S37" s="730"/>
    </row>
    <row r="38" spans="1:19" ht="13.2" customHeight="1">
      <c r="A38" s="2035">
        <f>A30</f>
        <v>20</v>
      </c>
      <c r="B38" s="812" t="str">
        <f>IF('Part VI-Revenues &amp; Expenses'!$M$62=0,"",'Part VI-Revenues &amp; Expenses'!$M$62)</f>
        <v/>
      </c>
      <c r="C38" s="2031">
        <v>2</v>
      </c>
      <c r="D38" s="538"/>
      <c r="E38" s="538"/>
      <c r="F38" s="3343"/>
      <c r="G38" s="3344"/>
      <c r="H38" s="2031"/>
      <c r="I38" s="2031"/>
      <c r="J38" s="2031"/>
      <c r="K38" s="2031"/>
      <c r="L38" s="2031"/>
      <c r="M38" s="2031"/>
      <c r="S38" s="730"/>
    </row>
    <row r="39" spans="1:19" ht="13.2" customHeight="1">
      <c r="A39" s="2035"/>
      <c r="B39" s="538"/>
      <c r="C39" s="2034">
        <v>2</v>
      </c>
      <c r="D39" s="2032"/>
      <c r="E39" s="2033"/>
      <c r="F39" s="3345"/>
      <c r="G39" s="3345"/>
      <c r="H39" s="3345"/>
      <c r="I39" s="3345"/>
      <c r="J39" s="3345"/>
      <c r="K39" s="3345"/>
      <c r="L39" s="3345"/>
      <c r="M39" s="3346"/>
      <c r="S39" s="730"/>
    </row>
    <row r="40" spans="1:19" ht="13.2" customHeight="1">
      <c r="A40" s="2035"/>
      <c r="B40" s="538"/>
      <c r="C40" s="2034">
        <v>2</v>
      </c>
      <c r="D40" s="2032"/>
      <c r="E40" s="2033"/>
      <c r="F40" s="3345"/>
      <c r="G40" s="3345"/>
      <c r="H40" s="3345"/>
      <c r="I40" s="3345"/>
      <c r="J40" s="3345"/>
      <c r="K40" s="3345"/>
      <c r="L40" s="3345"/>
      <c r="M40" s="3346"/>
      <c r="S40" s="730"/>
    </row>
    <row r="41" spans="1:19" ht="13.2" customHeight="1">
      <c r="A41" s="2035"/>
      <c r="B41" s="538"/>
      <c r="C41" s="2034">
        <v>2</v>
      </c>
      <c r="D41" s="2032"/>
      <c r="E41" s="2033"/>
      <c r="F41" s="3345"/>
      <c r="G41" s="3345"/>
      <c r="H41" s="3345"/>
      <c r="I41" s="3345"/>
      <c r="J41" s="3345"/>
      <c r="K41" s="3345"/>
      <c r="L41" s="3345"/>
      <c r="M41" s="3346"/>
      <c r="S41" s="730"/>
    </row>
    <row r="42" spans="1:19" ht="13.2" customHeight="1">
      <c r="A42" s="2035"/>
      <c r="B42" s="538"/>
      <c r="C42" s="2034">
        <v>2</v>
      </c>
      <c r="D42" s="2032"/>
      <c r="E42" s="2033"/>
      <c r="F42" s="3345"/>
      <c r="G42" s="3345"/>
      <c r="H42" s="3345"/>
      <c r="I42" s="3345"/>
      <c r="J42" s="3345"/>
      <c r="K42" s="3345"/>
      <c r="L42" s="3345"/>
      <c r="M42" s="3346"/>
      <c r="S42" s="730"/>
    </row>
    <row r="43" spans="1:19" ht="13.2" customHeight="1">
      <c r="A43" s="2035">
        <f>A30</f>
        <v>20</v>
      </c>
      <c r="B43" s="812" t="str">
        <f>IF('Part VI-Revenues &amp; Expenses'!$N$62=0,"",'Part VI-Revenues &amp; Expenses'!$N$62)</f>
        <v/>
      </c>
      <c r="C43" s="2031">
        <v>3</v>
      </c>
      <c r="D43" s="538"/>
      <c r="E43" s="538"/>
      <c r="F43" s="3343"/>
      <c r="G43" s="3344"/>
      <c r="H43" s="2031"/>
      <c r="I43" s="2031"/>
      <c r="J43" s="2031"/>
      <c r="K43" s="2031"/>
      <c r="L43" s="2031"/>
      <c r="M43" s="2031"/>
      <c r="S43" s="730"/>
    </row>
    <row r="44" spans="1:19" ht="13.2" customHeight="1">
      <c r="A44" s="2035"/>
      <c r="B44" s="538"/>
      <c r="C44" s="2034">
        <v>3</v>
      </c>
      <c r="D44" s="2032"/>
      <c r="E44" s="2033"/>
      <c r="F44" s="3345"/>
      <c r="G44" s="3345"/>
      <c r="H44" s="3345"/>
      <c r="I44" s="3345"/>
      <c r="J44" s="3345"/>
      <c r="K44" s="3345"/>
      <c r="L44" s="3345"/>
      <c r="M44" s="3346"/>
      <c r="S44" s="730"/>
    </row>
    <row r="45" spans="1:19" ht="13.2" customHeight="1">
      <c r="A45" s="2035"/>
      <c r="B45" s="538"/>
      <c r="C45" s="2034">
        <v>3</v>
      </c>
      <c r="D45" s="2032"/>
      <c r="E45" s="2033"/>
      <c r="F45" s="3345"/>
      <c r="G45" s="3345"/>
      <c r="H45" s="3345"/>
      <c r="I45" s="3345"/>
      <c r="J45" s="3345"/>
      <c r="K45" s="3345"/>
      <c r="L45" s="3345"/>
      <c r="M45" s="3346"/>
      <c r="S45" s="730"/>
    </row>
    <row r="46" spans="1:19" ht="13.2" customHeight="1">
      <c r="A46" s="2035"/>
      <c r="B46" s="538"/>
      <c r="C46" s="2034">
        <v>3</v>
      </c>
      <c r="D46" s="2032"/>
      <c r="E46" s="2033"/>
      <c r="F46" s="3345"/>
      <c r="G46" s="3345"/>
      <c r="H46" s="3345"/>
      <c r="I46" s="3345"/>
      <c r="J46" s="3345"/>
      <c r="K46" s="3345"/>
      <c r="L46" s="3345"/>
      <c r="M46" s="3346"/>
      <c r="S46" s="730"/>
    </row>
    <row r="47" spans="1:19" ht="13.2" customHeight="1">
      <c r="A47" s="2035"/>
      <c r="B47" s="538"/>
      <c r="C47" s="2034">
        <v>3</v>
      </c>
      <c r="D47" s="2032"/>
      <c r="E47" s="2033"/>
      <c r="F47" s="3345"/>
      <c r="G47" s="3345"/>
      <c r="H47" s="3345"/>
      <c r="I47" s="3345"/>
      <c r="J47" s="3345"/>
      <c r="K47" s="3345"/>
      <c r="L47" s="3345"/>
      <c r="M47" s="3346"/>
      <c r="S47" s="730"/>
    </row>
    <row r="48" spans="1:19" ht="13.2" customHeight="1">
      <c r="A48" s="2035">
        <f>A30</f>
        <v>20</v>
      </c>
      <c r="B48" s="812" t="str">
        <f>IF('Part VI-Revenues &amp; Expenses'!$O$62=0,"",'Part VI-Revenues &amp; Expenses'!$O$62)</f>
        <v/>
      </c>
      <c r="C48" s="2031">
        <v>4</v>
      </c>
      <c r="D48" s="538"/>
      <c r="E48" s="538"/>
      <c r="F48" s="3343"/>
      <c r="G48" s="3344"/>
      <c r="H48" s="2031"/>
      <c r="I48" s="2031"/>
      <c r="J48" s="2031"/>
      <c r="K48" s="2031"/>
      <c r="L48" s="2031"/>
      <c r="M48" s="2031"/>
      <c r="S48" s="730"/>
    </row>
    <row r="49" spans="1:19" ht="13.2" customHeight="1">
      <c r="A49" s="2039"/>
      <c r="B49" s="538"/>
      <c r="C49" s="2034">
        <v>4</v>
      </c>
      <c r="D49" s="2032"/>
      <c r="E49" s="2033"/>
      <c r="F49" s="3345"/>
      <c r="G49" s="3345"/>
      <c r="H49" s="3345"/>
      <c r="I49" s="3345"/>
      <c r="J49" s="3345"/>
      <c r="K49" s="3345"/>
      <c r="L49" s="3345"/>
      <c r="M49" s="3346"/>
      <c r="S49" s="730"/>
    </row>
    <row r="50" spans="1:19" ht="13.2" customHeight="1">
      <c r="A50" s="2036"/>
      <c r="C50" s="2034">
        <v>4</v>
      </c>
      <c r="D50" s="2032"/>
      <c r="E50" s="2033"/>
      <c r="F50" s="3345"/>
      <c r="G50" s="3345"/>
      <c r="H50" s="3345"/>
      <c r="I50" s="3345"/>
      <c r="J50" s="3345"/>
      <c r="K50" s="3345"/>
      <c r="L50" s="3345"/>
      <c r="M50" s="3346"/>
      <c r="S50" s="730"/>
    </row>
    <row r="51" spans="1:19" ht="13.2" customHeight="1">
      <c r="A51" s="2036"/>
      <c r="C51" s="2034">
        <v>4</v>
      </c>
      <c r="D51" s="2032"/>
      <c r="E51" s="2033"/>
      <c r="F51" s="3345"/>
      <c r="G51" s="3345"/>
      <c r="H51" s="3345"/>
      <c r="I51" s="3345"/>
      <c r="J51" s="3345"/>
      <c r="K51" s="3345"/>
      <c r="L51" s="3345"/>
      <c r="M51" s="3346"/>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550</v>
      </c>
      <c r="D54" s="538"/>
      <c r="E54" s="538"/>
      <c r="F54" s="3343"/>
      <c r="G54" s="3344"/>
      <c r="H54" s="538"/>
      <c r="I54" s="737"/>
      <c r="J54" s="538"/>
      <c r="K54" s="538"/>
      <c r="L54" s="538"/>
      <c r="M54" s="538"/>
      <c r="S54" s="730"/>
    </row>
    <row r="55" spans="1:19" ht="13.2" customHeight="1">
      <c r="A55" s="2039"/>
      <c r="B55" s="538"/>
      <c r="C55" s="538" t="s">
        <v>550</v>
      </c>
      <c r="D55" s="2032"/>
      <c r="E55" s="2033"/>
      <c r="F55" s="3345"/>
      <c r="G55" s="3345"/>
      <c r="H55" s="3345"/>
      <c r="I55" s="3345"/>
      <c r="J55" s="3345"/>
      <c r="K55" s="3345"/>
      <c r="L55" s="3345"/>
      <c r="M55" s="3346"/>
      <c r="S55" s="730"/>
    </row>
    <row r="56" spans="1:19" ht="13.2" customHeight="1">
      <c r="A56" s="2039"/>
      <c r="B56" s="538"/>
      <c r="C56" s="538" t="s">
        <v>550</v>
      </c>
      <c r="D56" s="2032"/>
      <c r="E56" s="2033"/>
      <c r="F56" s="3345"/>
      <c r="G56" s="3345"/>
      <c r="H56" s="3345"/>
      <c r="I56" s="3345"/>
      <c r="J56" s="3345"/>
      <c r="K56" s="3345"/>
      <c r="L56" s="3345"/>
      <c r="M56" s="3346"/>
      <c r="S56" s="730"/>
    </row>
    <row r="57" spans="1:19" ht="13.2" customHeight="1">
      <c r="A57" s="2039"/>
      <c r="B57" s="538"/>
      <c r="C57" s="538" t="s">
        <v>550</v>
      </c>
      <c r="D57" s="2032"/>
      <c r="E57" s="2033"/>
      <c r="F57" s="3345"/>
      <c r="G57" s="3345"/>
      <c r="H57" s="3345"/>
      <c r="I57" s="3345"/>
      <c r="J57" s="3345"/>
      <c r="K57" s="3345"/>
      <c r="L57" s="3345"/>
      <c r="M57" s="3346"/>
      <c r="S57" s="730"/>
    </row>
    <row r="58" spans="1:19" ht="13.2" customHeight="1">
      <c r="A58" s="2035">
        <f>A54</f>
        <v>30</v>
      </c>
      <c r="B58" s="812" t="str">
        <f>IF('Part VI-Revenues &amp; Expenses'!$L$61=0,"",'Part VI-Revenues &amp; Expenses'!$L$61)</f>
        <v/>
      </c>
      <c r="C58" s="2031">
        <v>1</v>
      </c>
      <c r="D58" s="538"/>
      <c r="E58" s="538"/>
      <c r="F58" s="3343"/>
      <c r="G58" s="3344"/>
      <c r="H58" s="2031"/>
      <c r="I58" s="2031"/>
      <c r="J58" s="2031"/>
      <c r="K58" s="2031"/>
      <c r="L58" s="2031"/>
      <c r="M58" s="2031"/>
      <c r="S58" s="730"/>
    </row>
    <row r="59" spans="1:19" ht="13.2" customHeight="1">
      <c r="A59" s="2035"/>
      <c r="B59" s="538"/>
      <c r="C59" s="2034">
        <v>1</v>
      </c>
      <c r="D59" s="2032"/>
      <c r="E59" s="2033"/>
      <c r="F59" s="3345"/>
      <c r="G59" s="3345"/>
      <c r="H59" s="3345"/>
      <c r="I59" s="3345"/>
      <c r="J59" s="3345"/>
      <c r="K59" s="3345"/>
      <c r="L59" s="3345"/>
      <c r="M59" s="3346"/>
      <c r="S59" s="730"/>
    </row>
    <row r="60" spans="1:19" ht="13.2" customHeight="1">
      <c r="A60" s="2035"/>
      <c r="B60" s="538"/>
      <c r="C60" s="2034">
        <v>1</v>
      </c>
      <c r="D60" s="2032"/>
      <c r="E60" s="2033"/>
      <c r="F60" s="3345"/>
      <c r="G60" s="3345"/>
      <c r="H60" s="3345"/>
      <c r="I60" s="3345"/>
      <c r="J60" s="3345"/>
      <c r="K60" s="3345"/>
      <c r="L60" s="3345"/>
      <c r="M60" s="3346"/>
      <c r="S60" s="730"/>
    </row>
    <row r="61" spans="1:19" ht="13.2" customHeight="1">
      <c r="A61" s="2035"/>
      <c r="B61" s="538"/>
      <c r="C61" s="2034">
        <v>1</v>
      </c>
      <c r="D61" s="2032"/>
      <c r="E61" s="2033"/>
      <c r="F61" s="3345"/>
      <c r="G61" s="3345"/>
      <c r="H61" s="3345"/>
      <c r="I61" s="3345"/>
      <c r="J61" s="3345"/>
      <c r="K61" s="3345"/>
      <c r="L61" s="3345"/>
      <c r="M61" s="3346"/>
      <c r="S61" s="730"/>
    </row>
    <row r="62" spans="1:19" ht="13.2" customHeight="1">
      <c r="A62" s="2035">
        <f>A54</f>
        <v>30</v>
      </c>
      <c r="B62" s="812" t="str">
        <f>IF('Part VI-Revenues &amp; Expenses'!$M$61=0,"",'Part VI-Revenues &amp; Expenses'!$M$61)</f>
        <v/>
      </c>
      <c r="C62" s="2031">
        <v>2</v>
      </c>
      <c r="D62" s="538"/>
      <c r="E62" s="538"/>
      <c r="F62" s="3343"/>
      <c r="G62" s="3344"/>
      <c r="H62" s="2031"/>
      <c r="I62" s="2031"/>
      <c r="J62" s="2031"/>
      <c r="K62" s="2031"/>
      <c r="L62" s="2031"/>
      <c r="M62" s="2031"/>
      <c r="S62" s="730"/>
    </row>
    <row r="63" spans="1:19" ht="13.2" customHeight="1">
      <c r="A63" s="2035"/>
      <c r="B63" s="538"/>
      <c r="C63" s="2034">
        <v>2</v>
      </c>
      <c r="D63" s="2032"/>
      <c r="E63" s="2033"/>
      <c r="F63" s="3345"/>
      <c r="G63" s="3345"/>
      <c r="H63" s="3345"/>
      <c r="I63" s="3345"/>
      <c r="J63" s="3345"/>
      <c r="K63" s="3345"/>
      <c r="L63" s="3345"/>
      <c r="M63" s="3346"/>
      <c r="S63" s="730"/>
    </row>
    <row r="64" spans="1:19" ht="13.2" customHeight="1">
      <c r="A64" s="2035"/>
      <c r="B64" s="538"/>
      <c r="C64" s="2034">
        <v>2</v>
      </c>
      <c r="D64" s="2032"/>
      <c r="E64" s="2033"/>
      <c r="F64" s="3345"/>
      <c r="G64" s="3345"/>
      <c r="H64" s="3345"/>
      <c r="I64" s="3345"/>
      <c r="J64" s="3345"/>
      <c r="K64" s="3345"/>
      <c r="L64" s="3345"/>
      <c r="M64" s="3346"/>
      <c r="S64" s="730"/>
    </row>
    <row r="65" spans="1:19" ht="13.2" customHeight="1">
      <c r="A65" s="2035"/>
      <c r="B65" s="538"/>
      <c r="C65" s="2034">
        <v>2</v>
      </c>
      <c r="D65" s="2032"/>
      <c r="E65" s="2033"/>
      <c r="F65" s="3345"/>
      <c r="G65" s="3345"/>
      <c r="H65" s="3345"/>
      <c r="I65" s="3345"/>
      <c r="J65" s="3345"/>
      <c r="K65" s="3345"/>
      <c r="L65" s="3345"/>
      <c r="M65" s="3346"/>
      <c r="S65" s="730"/>
    </row>
    <row r="66" spans="1:19" ht="13.2" customHeight="1">
      <c r="A66" s="2035"/>
      <c r="B66" s="538"/>
      <c r="C66" s="2034">
        <v>2</v>
      </c>
      <c r="D66" s="2032"/>
      <c r="E66" s="2033"/>
      <c r="F66" s="3345"/>
      <c r="G66" s="3345"/>
      <c r="H66" s="3345"/>
      <c r="I66" s="3345"/>
      <c r="J66" s="3345"/>
      <c r="K66" s="3345"/>
      <c r="L66" s="3345"/>
      <c r="M66" s="3346"/>
      <c r="S66" s="730"/>
    </row>
    <row r="67" spans="1:19" ht="13.2" customHeight="1">
      <c r="A67" s="2035">
        <f>A54</f>
        <v>30</v>
      </c>
      <c r="B67" s="812" t="str">
        <f>IF('Part VI-Revenues &amp; Expenses'!$N$61=0,"",'Part VI-Revenues &amp; Expenses'!$N$61)</f>
        <v/>
      </c>
      <c r="C67" s="2031">
        <v>3</v>
      </c>
      <c r="D67" s="538"/>
      <c r="E67" s="538"/>
      <c r="F67" s="3343"/>
      <c r="G67" s="3344"/>
      <c r="H67" s="2031"/>
      <c r="I67" s="2031"/>
      <c r="J67" s="2031"/>
      <c r="K67" s="2031"/>
      <c r="L67" s="2031"/>
      <c r="M67" s="2031"/>
      <c r="S67" s="730"/>
    </row>
    <row r="68" spans="1:19" ht="13.2" customHeight="1">
      <c r="A68" s="2035"/>
      <c r="B68" s="538"/>
      <c r="C68" s="2034">
        <v>3</v>
      </c>
      <c r="D68" s="2032"/>
      <c r="E68" s="2033"/>
      <c r="F68" s="3345"/>
      <c r="G68" s="3345"/>
      <c r="H68" s="3345"/>
      <c r="I68" s="3345"/>
      <c r="J68" s="3345"/>
      <c r="K68" s="3345"/>
      <c r="L68" s="3345"/>
      <c r="M68" s="3346"/>
      <c r="S68" s="730"/>
    </row>
    <row r="69" spans="1:19" ht="13.2" customHeight="1">
      <c r="A69" s="2035"/>
      <c r="B69" s="538"/>
      <c r="C69" s="2034">
        <v>3</v>
      </c>
      <c r="D69" s="2032"/>
      <c r="E69" s="2033"/>
      <c r="F69" s="3345"/>
      <c r="G69" s="3345"/>
      <c r="H69" s="3345"/>
      <c r="I69" s="3345"/>
      <c r="J69" s="3345"/>
      <c r="K69" s="3345"/>
      <c r="L69" s="3345"/>
      <c r="M69" s="3346"/>
      <c r="S69" s="730"/>
    </row>
    <row r="70" spans="1:19" ht="13.2" customHeight="1">
      <c r="A70" s="2035"/>
      <c r="B70" s="538"/>
      <c r="C70" s="2034">
        <v>3</v>
      </c>
      <c r="D70" s="2032"/>
      <c r="E70" s="2033"/>
      <c r="F70" s="3345"/>
      <c r="G70" s="3345"/>
      <c r="H70" s="3345"/>
      <c r="I70" s="3345"/>
      <c r="J70" s="3345"/>
      <c r="K70" s="3345"/>
      <c r="L70" s="3345"/>
      <c r="M70" s="3346"/>
      <c r="S70" s="730"/>
    </row>
    <row r="71" spans="1:19" ht="13.2" customHeight="1">
      <c r="A71" s="2035"/>
      <c r="B71" s="538"/>
      <c r="C71" s="2034">
        <v>3</v>
      </c>
      <c r="D71" s="2032"/>
      <c r="E71" s="2033"/>
      <c r="F71" s="3345"/>
      <c r="G71" s="3345"/>
      <c r="H71" s="3345"/>
      <c r="I71" s="3345"/>
      <c r="J71" s="3345"/>
      <c r="K71" s="3345"/>
      <c r="L71" s="3345"/>
      <c r="M71" s="3346"/>
      <c r="S71" s="730"/>
    </row>
    <row r="72" spans="1:19" ht="13.2" customHeight="1">
      <c r="A72" s="2035">
        <f>A54</f>
        <v>30</v>
      </c>
      <c r="B72" s="812" t="str">
        <f>IF('Part VI-Revenues &amp; Expenses'!$O$61=0,"",'Part VI-Revenues &amp; Expenses'!$O$61)</f>
        <v/>
      </c>
      <c r="C72" s="2031">
        <v>4</v>
      </c>
      <c r="D72" s="538"/>
      <c r="E72" s="538"/>
      <c r="F72" s="3343"/>
      <c r="G72" s="3344"/>
      <c r="H72" s="2031"/>
      <c r="I72" s="2031"/>
      <c r="J72" s="2031"/>
      <c r="K72" s="2031"/>
      <c r="L72" s="2031"/>
      <c r="M72" s="2031"/>
      <c r="S72" s="730"/>
    </row>
    <row r="73" spans="1:19" ht="13.2" customHeight="1">
      <c r="A73" s="2039"/>
      <c r="B73" s="538"/>
      <c r="C73" s="2034">
        <v>4</v>
      </c>
      <c r="D73" s="2032"/>
      <c r="E73" s="2033"/>
      <c r="F73" s="3345"/>
      <c r="G73" s="3345"/>
      <c r="H73" s="3345"/>
      <c r="I73" s="3345"/>
      <c r="J73" s="3345"/>
      <c r="K73" s="3345"/>
      <c r="L73" s="3345"/>
      <c r="M73" s="3346"/>
      <c r="S73" s="730"/>
    </row>
    <row r="74" spans="1:19" ht="13.2" customHeight="1">
      <c r="A74" s="2036"/>
      <c r="C74" s="2034">
        <v>4</v>
      </c>
      <c r="D74" s="2032"/>
      <c r="E74" s="2033"/>
      <c r="F74" s="3345"/>
      <c r="G74" s="3345"/>
      <c r="H74" s="3345"/>
      <c r="I74" s="3345"/>
      <c r="J74" s="3345"/>
      <c r="K74" s="3345"/>
      <c r="L74" s="3345"/>
      <c r="M74" s="3346"/>
      <c r="S74" s="730"/>
    </row>
    <row r="75" spans="1:19" ht="13.2" customHeight="1">
      <c r="A75" s="2036"/>
      <c r="C75" s="2034">
        <v>4</v>
      </c>
      <c r="D75" s="2032"/>
      <c r="E75" s="2033"/>
      <c r="F75" s="3345"/>
      <c r="G75" s="3345"/>
      <c r="H75" s="3345"/>
      <c r="I75" s="3345"/>
      <c r="J75" s="3345"/>
      <c r="K75" s="3345"/>
      <c r="L75" s="3345"/>
      <c r="M75" s="3346"/>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550</v>
      </c>
      <c r="D78" s="538"/>
      <c r="E78" s="538"/>
      <c r="F78" s="3343"/>
      <c r="G78" s="3344"/>
      <c r="H78" s="538"/>
      <c r="I78" s="737"/>
      <c r="J78" s="538"/>
      <c r="K78" s="538"/>
      <c r="L78" s="538"/>
      <c r="M78" s="538"/>
      <c r="S78" s="730"/>
    </row>
    <row r="79" spans="1:19" ht="13.2" customHeight="1">
      <c r="A79" s="2039"/>
      <c r="B79" s="538"/>
      <c r="C79" s="538" t="s">
        <v>550</v>
      </c>
      <c r="D79" s="2032"/>
      <c r="E79" s="2033"/>
      <c r="F79" s="3345"/>
      <c r="G79" s="3345"/>
      <c r="H79" s="3345"/>
      <c r="I79" s="3345"/>
      <c r="J79" s="3345"/>
      <c r="K79" s="3345"/>
      <c r="L79" s="3345"/>
      <c r="M79" s="3346"/>
      <c r="S79" s="730"/>
    </row>
    <row r="80" spans="1:19" ht="13.2" customHeight="1">
      <c r="A80" s="2039"/>
      <c r="B80" s="538"/>
      <c r="C80" s="538" t="s">
        <v>550</v>
      </c>
      <c r="D80" s="2032"/>
      <c r="E80" s="2033"/>
      <c r="F80" s="3345"/>
      <c r="G80" s="3345"/>
      <c r="H80" s="3345"/>
      <c r="I80" s="3345"/>
      <c r="J80" s="3345"/>
      <c r="K80" s="3345"/>
      <c r="L80" s="3345"/>
      <c r="M80" s="3346"/>
      <c r="S80" s="730"/>
    </row>
    <row r="81" spans="1:19" ht="13.2" customHeight="1">
      <c r="A81" s="2039"/>
      <c r="B81" s="538"/>
      <c r="C81" s="538" t="s">
        <v>550</v>
      </c>
      <c r="D81" s="2032"/>
      <c r="E81" s="2033"/>
      <c r="F81" s="3345"/>
      <c r="G81" s="3345"/>
      <c r="H81" s="3345"/>
      <c r="I81" s="3345"/>
      <c r="J81" s="3345"/>
      <c r="K81" s="3345"/>
      <c r="L81" s="3345"/>
      <c r="M81" s="3346"/>
      <c r="S81" s="730"/>
    </row>
    <row r="82" spans="1:19" ht="13.2" customHeight="1">
      <c r="A82" s="2035">
        <f>A78</f>
        <v>40</v>
      </c>
      <c r="B82" s="812" t="str">
        <f>IF('Part VI-Revenues &amp; Expenses'!$L$60=0,"",'Part VI-Revenues &amp; Expenses'!$L$60)</f>
        <v/>
      </c>
      <c r="C82" s="2031">
        <v>1</v>
      </c>
      <c r="D82" s="538"/>
      <c r="E82" s="538"/>
      <c r="F82" s="3343"/>
      <c r="G82" s="3344"/>
      <c r="H82" s="2031"/>
      <c r="I82" s="2031"/>
      <c r="J82" s="2031"/>
      <c r="K82" s="2031"/>
      <c r="L82" s="2031"/>
      <c r="M82" s="2031"/>
      <c r="S82" s="730"/>
    </row>
    <row r="83" spans="1:19" ht="13.2" customHeight="1">
      <c r="A83" s="2035"/>
      <c r="B83" s="538"/>
      <c r="C83" s="2034">
        <v>1</v>
      </c>
      <c r="D83" s="2032"/>
      <c r="E83" s="2033"/>
      <c r="F83" s="3345"/>
      <c r="G83" s="3345"/>
      <c r="H83" s="3345"/>
      <c r="I83" s="3345"/>
      <c r="J83" s="3345"/>
      <c r="K83" s="3345"/>
      <c r="L83" s="3345"/>
      <c r="M83" s="3346"/>
      <c r="S83" s="730"/>
    </row>
    <row r="84" spans="1:19" ht="13.2" customHeight="1">
      <c r="A84" s="2035"/>
      <c r="B84" s="538"/>
      <c r="C84" s="2034">
        <v>1</v>
      </c>
      <c r="D84" s="2032"/>
      <c r="E84" s="2033"/>
      <c r="F84" s="3345"/>
      <c r="G84" s="3345"/>
      <c r="H84" s="3345"/>
      <c r="I84" s="3345"/>
      <c r="J84" s="3345"/>
      <c r="K84" s="3345"/>
      <c r="L84" s="3345"/>
      <c r="M84" s="3346"/>
      <c r="S84" s="730"/>
    </row>
    <row r="85" spans="1:19" ht="13.2" customHeight="1">
      <c r="A85" s="2035"/>
      <c r="B85" s="538"/>
      <c r="C85" s="2034">
        <v>1</v>
      </c>
      <c r="D85" s="2032"/>
      <c r="E85" s="2033"/>
      <c r="F85" s="3345"/>
      <c r="G85" s="3345"/>
      <c r="H85" s="3345"/>
      <c r="I85" s="3345"/>
      <c r="J85" s="3345"/>
      <c r="K85" s="3345"/>
      <c r="L85" s="3345"/>
      <c r="M85" s="3346"/>
      <c r="S85" s="730"/>
    </row>
    <row r="86" spans="1:19" ht="13.2" customHeight="1">
      <c r="A86" s="2035">
        <f>A78</f>
        <v>40</v>
      </c>
      <c r="B86" s="812" t="str">
        <f>IF('Part VI-Revenues &amp; Expenses'!$M$60=0,"",'Part VI-Revenues &amp; Expenses'!$M$60)</f>
        <v/>
      </c>
      <c r="C86" s="2031">
        <v>2</v>
      </c>
      <c r="D86" s="538"/>
      <c r="E86" s="538"/>
      <c r="F86" s="3343"/>
      <c r="G86" s="3344"/>
      <c r="H86" s="2031"/>
      <c r="I86" s="2031"/>
      <c r="J86" s="2031"/>
      <c r="K86" s="2031"/>
      <c r="L86" s="2031"/>
      <c r="M86" s="2031"/>
      <c r="S86" s="730"/>
    </row>
    <row r="87" spans="1:19" ht="13.2" customHeight="1">
      <c r="A87" s="2035"/>
      <c r="B87" s="538"/>
      <c r="C87" s="2034">
        <v>2</v>
      </c>
      <c r="D87" s="2032"/>
      <c r="E87" s="2033"/>
      <c r="F87" s="3345"/>
      <c r="G87" s="3345"/>
      <c r="H87" s="3345"/>
      <c r="I87" s="3345"/>
      <c r="J87" s="3345"/>
      <c r="K87" s="3345"/>
      <c r="L87" s="3345"/>
      <c r="M87" s="3346"/>
      <c r="S87" s="730"/>
    </row>
    <row r="88" spans="1:19" ht="13.2" customHeight="1">
      <c r="A88" s="2035"/>
      <c r="B88" s="538"/>
      <c r="C88" s="2034">
        <v>2</v>
      </c>
      <c r="D88" s="2032"/>
      <c r="E88" s="2033"/>
      <c r="F88" s="3345"/>
      <c r="G88" s="3345"/>
      <c r="H88" s="3345"/>
      <c r="I88" s="3345"/>
      <c r="J88" s="3345"/>
      <c r="K88" s="3345"/>
      <c r="L88" s="3345"/>
      <c r="M88" s="3346"/>
      <c r="S88" s="730"/>
    </row>
    <row r="89" spans="1:19" ht="13.2" customHeight="1">
      <c r="A89" s="2035"/>
      <c r="B89" s="538"/>
      <c r="C89" s="2034">
        <v>2</v>
      </c>
      <c r="D89" s="2032"/>
      <c r="E89" s="2033"/>
      <c r="F89" s="3345"/>
      <c r="G89" s="3345"/>
      <c r="H89" s="3345"/>
      <c r="I89" s="3345"/>
      <c r="J89" s="3345"/>
      <c r="K89" s="3345"/>
      <c r="L89" s="3345"/>
      <c r="M89" s="3346"/>
      <c r="S89" s="730"/>
    </row>
    <row r="90" spans="1:19" ht="13.2" customHeight="1">
      <c r="A90" s="2035"/>
      <c r="B90" s="538"/>
      <c r="C90" s="2034">
        <v>2</v>
      </c>
      <c r="D90" s="2032"/>
      <c r="E90" s="2033"/>
      <c r="F90" s="3345"/>
      <c r="G90" s="3345"/>
      <c r="H90" s="3345"/>
      <c r="I90" s="3345"/>
      <c r="J90" s="3345"/>
      <c r="K90" s="3345"/>
      <c r="L90" s="3345"/>
      <c r="M90" s="3346"/>
      <c r="S90" s="730"/>
    </row>
    <row r="91" spans="1:19" ht="13.2" customHeight="1">
      <c r="A91" s="2035">
        <f>A78</f>
        <v>40</v>
      </c>
      <c r="B91" s="812" t="str">
        <f>IF('Part VI-Revenues &amp; Expenses'!$N$60=0,"",'Part VI-Revenues &amp; Expenses'!$N$60)</f>
        <v/>
      </c>
      <c r="C91" s="2031">
        <v>3</v>
      </c>
      <c r="D91" s="538"/>
      <c r="E91" s="538"/>
      <c r="F91" s="3343"/>
      <c r="G91" s="3344"/>
      <c r="H91" s="2031"/>
      <c r="I91" s="2031"/>
      <c r="J91" s="2031"/>
      <c r="K91" s="2031"/>
      <c r="L91" s="2031"/>
      <c r="M91" s="2031"/>
      <c r="S91" s="730"/>
    </row>
    <row r="92" spans="1:19" ht="13.2" customHeight="1">
      <c r="A92" s="2035"/>
      <c r="B92" s="538"/>
      <c r="C92" s="2034">
        <v>3</v>
      </c>
      <c r="D92" s="2032"/>
      <c r="E92" s="2033"/>
      <c r="F92" s="3345"/>
      <c r="G92" s="3345"/>
      <c r="H92" s="3345"/>
      <c r="I92" s="3345"/>
      <c r="J92" s="3345"/>
      <c r="K92" s="3345"/>
      <c r="L92" s="3345"/>
      <c r="M92" s="3346"/>
      <c r="S92" s="730"/>
    </row>
    <row r="93" spans="1:19" ht="13.2" customHeight="1">
      <c r="A93" s="2035"/>
      <c r="B93" s="538"/>
      <c r="C93" s="2034">
        <v>3</v>
      </c>
      <c r="D93" s="2032"/>
      <c r="E93" s="2033"/>
      <c r="F93" s="3345"/>
      <c r="G93" s="3345"/>
      <c r="H93" s="3345"/>
      <c r="I93" s="3345"/>
      <c r="J93" s="3345"/>
      <c r="K93" s="3345"/>
      <c r="L93" s="3345"/>
      <c r="M93" s="3346"/>
      <c r="S93" s="730"/>
    </row>
    <row r="94" spans="1:19" ht="13.2" customHeight="1">
      <c r="A94" s="2035"/>
      <c r="B94" s="538"/>
      <c r="C94" s="2034">
        <v>3</v>
      </c>
      <c r="D94" s="2032"/>
      <c r="E94" s="2033"/>
      <c r="F94" s="3345"/>
      <c r="G94" s="3345"/>
      <c r="H94" s="3345"/>
      <c r="I94" s="3345"/>
      <c r="J94" s="3345"/>
      <c r="K94" s="3345"/>
      <c r="L94" s="3345"/>
      <c r="M94" s="3346"/>
      <c r="S94" s="730"/>
    </row>
    <row r="95" spans="1:19" ht="13.2" customHeight="1">
      <c r="A95" s="2035"/>
      <c r="B95" s="538"/>
      <c r="C95" s="2034">
        <v>3</v>
      </c>
      <c r="D95" s="2032"/>
      <c r="E95" s="2033"/>
      <c r="F95" s="3345"/>
      <c r="G95" s="3345"/>
      <c r="H95" s="3345"/>
      <c r="I95" s="3345"/>
      <c r="J95" s="3345"/>
      <c r="K95" s="3345"/>
      <c r="L95" s="3345"/>
      <c r="M95" s="3346"/>
      <c r="S95" s="730"/>
    </row>
    <row r="96" spans="1:19" ht="13.2" customHeight="1">
      <c r="A96" s="2035">
        <f>A78</f>
        <v>40</v>
      </c>
      <c r="B96" s="812" t="str">
        <f>IF('Part VI-Revenues &amp; Expenses'!$O$60=0,"",'Part VI-Revenues &amp; Expenses'!$O$60)</f>
        <v/>
      </c>
      <c r="C96" s="2031">
        <v>4</v>
      </c>
      <c r="D96" s="538"/>
      <c r="E96" s="538"/>
      <c r="F96" s="3343"/>
      <c r="G96" s="3344"/>
      <c r="H96" s="2031"/>
      <c r="I96" s="2031"/>
      <c r="J96" s="2031"/>
      <c r="K96" s="2031"/>
      <c r="L96" s="2031"/>
      <c r="M96" s="2031"/>
      <c r="S96" s="730"/>
    </row>
    <row r="97" spans="1:19" ht="13.2" customHeight="1">
      <c r="A97" s="2039"/>
      <c r="B97" s="538"/>
      <c r="C97" s="2034">
        <v>4</v>
      </c>
      <c r="D97" s="2032"/>
      <c r="E97" s="2033"/>
      <c r="F97" s="3345"/>
      <c r="G97" s="3345"/>
      <c r="H97" s="3345"/>
      <c r="I97" s="3345"/>
      <c r="J97" s="3345"/>
      <c r="K97" s="3345"/>
      <c r="L97" s="3345"/>
      <c r="M97" s="3346"/>
      <c r="S97" s="730"/>
    </row>
    <row r="98" spans="1:19" ht="13.2" customHeight="1">
      <c r="A98" s="2036"/>
      <c r="C98" s="2034">
        <v>4</v>
      </c>
      <c r="D98" s="2032"/>
      <c r="E98" s="2033"/>
      <c r="F98" s="3345"/>
      <c r="G98" s="3345"/>
      <c r="H98" s="3345"/>
      <c r="I98" s="3345"/>
      <c r="J98" s="3345"/>
      <c r="K98" s="3345"/>
      <c r="L98" s="3345"/>
      <c r="M98" s="3346"/>
      <c r="S98" s="730"/>
    </row>
    <row r="99" spans="1:19" ht="13.2" customHeight="1">
      <c r="A99" s="2036"/>
      <c r="C99" s="2034">
        <v>4</v>
      </c>
      <c r="D99" s="2032"/>
      <c r="E99" s="2033"/>
      <c r="F99" s="3345"/>
      <c r="G99" s="3345"/>
      <c r="H99" s="3345"/>
      <c r="I99" s="3345"/>
      <c r="J99" s="3345"/>
      <c r="K99" s="3345"/>
      <c r="L99" s="3345"/>
      <c r="M99" s="3346"/>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550</v>
      </c>
      <c r="D102" s="538"/>
      <c r="E102" s="538"/>
      <c r="F102" s="3343"/>
      <c r="G102" s="3344"/>
      <c r="H102" s="538"/>
      <c r="I102" s="737"/>
      <c r="J102" s="538"/>
      <c r="K102" s="538"/>
      <c r="L102" s="538"/>
      <c r="M102" s="538"/>
      <c r="S102" s="730"/>
    </row>
    <row r="103" spans="1:19" ht="13.2" customHeight="1">
      <c r="A103" s="2039"/>
      <c r="B103" s="538"/>
      <c r="C103" s="538" t="s">
        <v>550</v>
      </c>
      <c r="D103" s="2032"/>
      <c r="E103" s="2033"/>
      <c r="F103" s="3345"/>
      <c r="G103" s="3345"/>
      <c r="H103" s="3345"/>
      <c r="I103" s="3345"/>
      <c r="J103" s="3345"/>
      <c r="K103" s="3345"/>
      <c r="L103" s="3345"/>
      <c r="M103" s="3346"/>
      <c r="S103" s="730"/>
    </row>
    <row r="104" spans="1:19" ht="13.2" customHeight="1">
      <c r="A104" s="2039"/>
      <c r="B104" s="538"/>
      <c r="C104" s="538" t="s">
        <v>550</v>
      </c>
      <c r="D104" s="2032"/>
      <c r="E104" s="2033"/>
      <c r="F104" s="3345"/>
      <c r="G104" s="3345"/>
      <c r="H104" s="3345"/>
      <c r="I104" s="3345"/>
      <c r="J104" s="3345"/>
      <c r="K104" s="3345"/>
      <c r="L104" s="3345"/>
      <c r="M104" s="3346"/>
      <c r="S104" s="730"/>
    </row>
    <row r="105" spans="1:19" ht="13.2" customHeight="1">
      <c r="A105" s="2039"/>
      <c r="B105" s="538"/>
      <c r="C105" s="538" t="s">
        <v>550</v>
      </c>
      <c r="D105" s="2032"/>
      <c r="E105" s="2033"/>
      <c r="F105" s="3345"/>
      <c r="G105" s="3345"/>
      <c r="H105" s="3345"/>
      <c r="I105" s="3345"/>
      <c r="J105" s="3345"/>
      <c r="K105" s="3345"/>
      <c r="L105" s="3345"/>
      <c r="M105" s="3346"/>
      <c r="S105" s="730"/>
    </row>
    <row r="106" spans="1:19" ht="13.2" customHeight="1">
      <c r="A106" s="2035">
        <f>A102</f>
        <v>50</v>
      </c>
      <c r="B106" s="812">
        <f>IF('Part VI-Revenues &amp; Expenses'!$L$59=0,"",'Part VI-Revenues &amp; Expenses'!$L$59)</f>
        <v>12</v>
      </c>
      <c r="C106" s="2031">
        <v>1</v>
      </c>
      <c r="D106" s="538"/>
      <c r="E106" s="538"/>
      <c r="F106" s="3343"/>
      <c r="G106" s="3344"/>
      <c r="H106" s="2031"/>
      <c r="I106" s="2031"/>
      <c r="J106" s="2031"/>
      <c r="K106" s="2031"/>
      <c r="L106" s="2031"/>
      <c r="M106" s="2031"/>
      <c r="S106" s="730"/>
    </row>
    <row r="107" spans="1:19" ht="13.2" customHeight="1">
      <c r="A107" s="2035"/>
      <c r="B107" s="538"/>
      <c r="C107" s="2034">
        <v>1</v>
      </c>
      <c r="D107" s="2032"/>
      <c r="E107" s="2033"/>
      <c r="F107" s="3345"/>
      <c r="G107" s="3345"/>
      <c r="H107" s="3345"/>
      <c r="I107" s="3345"/>
      <c r="J107" s="3345"/>
      <c r="K107" s="3345"/>
      <c r="L107" s="3345"/>
      <c r="M107" s="3346"/>
      <c r="S107" s="730"/>
    </row>
    <row r="108" spans="1:19" ht="13.2" customHeight="1">
      <c r="A108" s="2035"/>
      <c r="B108" s="538"/>
      <c r="C108" s="2034">
        <v>1</v>
      </c>
      <c r="D108" s="2032"/>
      <c r="E108" s="2033"/>
      <c r="F108" s="3345"/>
      <c r="G108" s="3345"/>
      <c r="H108" s="3345"/>
      <c r="I108" s="3345"/>
      <c r="J108" s="3345"/>
      <c r="K108" s="3345"/>
      <c r="L108" s="3345"/>
      <c r="M108" s="3346"/>
      <c r="S108" s="730"/>
    </row>
    <row r="109" spans="1:19" ht="13.2" customHeight="1">
      <c r="A109" s="2035"/>
      <c r="B109" s="538"/>
      <c r="C109" s="2034">
        <v>1</v>
      </c>
      <c r="D109" s="2032"/>
      <c r="E109" s="2033"/>
      <c r="F109" s="3345"/>
      <c r="G109" s="3345"/>
      <c r="H109" s="3345"/>
      <c r="I109" s="3345"/>
      <c r="J109" s="3345"/>
      <c r="K109" s="3345"/>
      <c r="L109" s="3345"/>
      <c r="M109" s="3346"/>
      <c r="S109" s="730"/>
    </row>
    <row r="110" spans="1:19" ht="13.2" customHeight="1">
      <c r="A110" s="2035">
        <f>A102</f>
        <v>50</v>
      </c>
      <c r="B110" s="812">
        <f>IF('Part VI-Revenues &amp; Expenses'!$M$59=0,"",'Part VI-Revenues &amp; Expenses'!$M$59)</f>
        <v>20</v>
      </c>
      <c r="C110" s="2031">
        <v>2</v>
      </c>
      <c r="D110" s="538"/>
      <c r="E110" s="538"/>
      <c r="F110" s="3343"/>
      <c r="G110" s="3344"/>
      <c r="H110" s="2031"/>
      <c r="I110" s="2031"/>
      <c r="J110" s="2031"/>
      <c r="K110" s="2031"/>
      <c r="L110" s="2031"/>
      <c r="M110" s="2031"/>
      <c r="S110" s="730"/>
    </row>
    <row r="111" spans="1:19" ht="13.2" customHeight="1">
      <c r="A111" s="2035"/>
      <c r="B111" s="538"/>
      <c r="C111" s="2034">
        <v>2</v>
      </c>
      <c r="D111" s="2032"/>
      <c r="E111" s="2033"/>
      <c r="F111" s="3345"/>
      <c r="G111" s="3345"/>
      <c r="H111" s="3345"/>
      <c r="I111" s="3345"/>
      <c r="J111" s="3345"/>
      <c r="K111" s="3345"/>
      <c r="L111" s="3345"/>
      <c r="M111" s="3346"/>
      <c r="S111" s="730"/>
    </row>
    <row r="112" spans="1:19" ht="13.2" customHeight="1">
      <c r="A112" s="2035"/>
      <c r="B112" s="538"/>
      <c r="C112" s="2034">
        <v>2</v>
      </c>
      <c r="D112" s="2032"/>
      <c r="E112" s="2033"/>
      <c r="F112" s="3345"/>
      <c r="G112" s="3345"/>
      <c r="H112" s="3345"/>
      <c r="I112" s="3345"/>
      <c r="J112" s="3345"/>
      <c r="K112" s="3345"/>
      <c r="L112" s="3345"/>
      <c r="M112" s="3346"/>
      <c r="S112" s="730"/>
    </row>
    <row r="113" spans="1:19" ht="13.2" customHeight="1">
      <c r="A113" s="2035"/>
      <c r="B113" s="538"/>
      <c r="C113" s="2034">
        <v>2</v>
      </c>
      <c r="D113" s="2032"/>
      <c r="E113" s="2033"/>
      <c r="F113" s="3345"/>
      <c r="G113" s="3345"/>
      <c r="H113" s="3345"/>
      <c r="I113" s="3345"/>
      <c r="J113" s="3345"/>
      <c r="K113" s="3345"/>
      <c r="L113" s="3345"/>
      <c r="M113" s="3346"/>
      <c r="S113" s="730"/>
    </row>
    <row r="114" spans="1:19" ht="13.2" customHeight="1">
      <c r="A114" s="2035"/>
      <c r="B114" s="538"/>
      <c r="C114" s="2034">
        <v>2</v>
      </c>
      <c r="D114" s="2032"/>
      <c r="E114" s="2033"/>
      <c r="F114" s="3345"/>
      <c r="G114" s="3345"/>
      <c r="H114" s="3345"/>
      <c r="I114" s="3345"/>
      <c r="J114" s="3345"/>
      <c r="K114" s="3345"/>
      <c r="L114" s="3345"/>
      <c r="M114" s="3346"/>
      <c r="S114" s="730"/>
    </row>
    <row r="115" spans="1:19" ht="13.2" customHeight="1">
      <c r="A115" s="2035">
        <f>A102</f>
        <v>50</v>
      </c>
      <c r="B115" s="812">
        <f>IF('Part VI-Revenues &amp; Expenses'!$N$59=0,"",'Part VI-Revenues &amp; Expenses'!$N$59)</f>
        <v>8</v>
      </c>
      <c r="C115" s="2031">
        <v>3</v>
      </c>
      <c r="D115" s="538"/>
      <c r="E115" s="538"/>
      <c r="F115" s="3343"/>
      <c r="G115" s="3344"/>
      <c r="H115" s="2031"/>
      <c r="I115" s="2031"/>
      <c r="J115" s="2031"/>
      <c r="K115" s="2031"/>
      <c r="L115" s="2031"/>
      <c r="M115" s="2031"/>
      <c r="S115" s="730"/>
    </row>
    <row r="116" spans="1:19" ht="13.2" customHeight="1">
      <c r="A116" s="2035"/>
      <c r="B116" s="538"/>
      <c r="C116" s="2034">
        <v>3</v>
      </c>
      <c r="D116" s="2032"/>
      <c r="E116" s="2033"/>
      <c r="F116" s="3345"/>
      <c r="G116" s="3345"/>
      <c r="H116" s="3345"/>
      <c r="I116" s="3345"/>
      <c r="J116" s="3345"/>
      <c r="K116" s="3345"/>
      <c r="L116" s="3345"/>
      <c r="M116" s="3346"/>
      <c r="S116" s="730"/>
    </row>
    <row r="117" spans="1:19" ht="13.2" customHeight="1">
      <c r="A117" s="2035"/>
      <c r="B117" s="538"/>
      <c r="C117" s="2034">
        <v>3</v>
      </c>
      <c r="D117" s="2032"/>
      <c r="E117" s="2033"/>
      <c r="F117" s="3345"/>
      <c r="G117" s="3345"/>
      <c r="H117" s="3345"/>
      <c r="I117" s="3345"/>
      <c r="J117" s="3345"/>
      <c r="K117" s="3345"/>
      <c r="L117" s="3345"/>
      <c r="M117" s="3346"/>
      <c r="S117" s="730"/>
    </row>
    <row r="118" spans="1:19" ht="13.2" customHeight="1">
      <c r="A118" s="2035"/>
      <c r="B118" s="538"/>
      <c r="C118" s="2034">
        <v>3</v>
      </c>
      <c r="D118" s="2032"/>
      <c r="E118" s="2033"/>
      <c r="F118" s="3345"/>
      <c r="G118" s="3345"/>
      <c r="H118" s="3345"/>
      <c r="I118" s="3345"/>
      <c r="J118" s="3345"/>
      <c r="K118" s="3345"/>
      <c r="L118" s="3345"/>
      <c r="M118" s="3346"/>
      <c r="S118" s="730"/>
    </row>
    <row r="119" spans="1:19" ht="13.2" customHeight="1">
      <c r="A119" s="2035"/>
      <c r="B119" s="538"/>
      <c r="C119" s="2034">
        <v>3</v>
      </c>
      <c r="D119" s="2032"/>
      <c r="E119" s="2033"/>
      <c r="F119" s="3345"/>
      <c r="G119" s="3345"/>
      <c r="H119" s="3345"/>
      <c r="I119" s="3345"/>
      <c r="J119" s="3345"/>
      <c r="K119" s="3345"/>
      <c r="L119" s="3345"/>
      <c r="M119" s="3346"/>
      <c r="S119" s="730"/>
    </row>
    <row r="120" spans="1:19" ht="13.2" customHeight="1">
      <c r="A120" s="2035">
        <f>A102</f>
        <v>50</v>
      </c>
      <c r="B120" s="812" t="str">
        <f>IF('Part VI-Revenues &amp; Expenses'!$O$59=0,"",'Part VI-Revenues &amp; Expenses'!$O$59)</f>
        <v/>
      </c>
      <c r="C120" s="2031">
        <v>4</v>
      </c>
      <c r="D120" s="538"/>
      <c r="E120" s="538"/>
      <c r="F120" s="3343"/>
      <c r="G120" s="3344"/>
      <c r="H120" s="2031"/>
      <c r="I120" s="2031"/>
      <c r="J120" s="2031"/>
      <c r="K120" s="2031"/>
      <c r="L120" s="2031"/>
      <c r="M120" s="2031"/>
      <c r="S120" s="730"/>
    </row>
    <row r="121" spans="1:19" ht="13.2" customHeight="1">
      <c r="A121" s="2039"/>
      <c r="B121" s="538"/>
      <c r="C121" s="2034">
        <v>4</v>
      </c>
      <c r="D121" s="2032"/>
      <c r="E121" s="2033"/>
      <c r="F121" s="3345"/>
      <c r="G121" s="3345"/>
      <c r="H121" s="3345"/>
      <c r="I121" s="3345"/>
      <c r="J121" s="3345"/>
      <c r="K121" s="3345"/>
      <c r="L121" s="3345"/>
      <c r="M121" s="3346"/>
      <c r="S121" s="730"/>
    </row>
    <row r="122" spans="1:19" ht="13.2" customHeight="1">
      <c r="A122" s="2036"/>
      <c r="C122" s="2034">
        <v>4</v>
      </c>
      <c r="D122" s="2032"/>
      <c r="E122" s="2033"/>
      <c r="F122" s="3345"/>
      <c r="G122" s="3345"/>
      <c r="H122" s="3345"/>
      <c r="I122" s="3345"/>
      <c r="J122" s="3345"/>
      <c r="K122" s="3345"/>
      <c r="L122" s="3345"/>
      <c r="M122" s="3346"/>
      <c r="S122" s="730"/>
    </row>
    <row r="123" spans="1:19" ht="13.2" customHeight="1">
      <c r="A123" s="2036"/>
      <c r="C123" s="2034">
        <v>4</v>
      </c>
      <c r="D123" s="2032"/>
      <c r="E123" s="2033"/>
      <c r="F123" s="3345"/>
      <c r="G123" s="3345"/>
      <c r="H123" s="3345"/>
      <c r="I123" s="3345"/>
      <c r="J123" s="3345"/>
      <c r="K123" s="3345"/>
      <c r="L123" s="3345"/>
      <c r="M123" s="3346"/>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550</v>
      </c>
      <c r="D126" s="538"/>
      <c r="E126" s="538"/>
      <c r="F126" s="3343"/>
      <c r="G126" s="3344"/>
      <c r="H126" s="538"/>
      <c r="I126" s="737"/>
      <c r="J126" s="538"/>
      <c r="K126" s="538"/>
      <c r="L126" s="538"/>
      <c r="M126" s="538"/>
      <c r="S126" s="730"/>
    </row>
    <row r="127" spans="1:19" ht="13.2" customHeight="1">
      <c r="A127" s="2039"/>
      <c r="B127" s="538"/>
      <c r="C127" s="538" t="s">
        <v>550</v>
      </c>
      <c r="D127" s="2032"/>
      <c r="E127" s="2033"/>
      <c r="F127" s="3345"/>
      <c r="G127" s="3345"/>
      <c r="H127" s="3345"/>
      <c r="I127" s="3345"/>
      <c r="J127" s="3345"/>
      <c r="K127" s="3345"/>
      <c r="L127" s="3345"/>
      <c r="M127" s="3346"/>
      <c r="S127" s="730"/>
    </row>
    <row r="128" spans="1:19" ht="13.2" customHeight="1">
      <c r="A128" s="2039"/>
      <c r="B128" s="538"/>
      <c r="C128" s="538" t="s">
        <v>550</v>
      </c>
      <c r="D128" s="2032"/>
      <c r="E128" s="2033"/>
      <c r="F128" s="3345"/>
      <c r="G128" s="3345"/>
      <c r="H128" s="3345"/>
      <c r="I128" s="3345"/>
      <c r="J128" s="3345"/>
      <c r="K128" s="3345"/>
      <c r="L128" s="3345"/>
      <c r="M128" s="3346"/>
      <c r="S128" s="730"/>
    </row>
    <row r="129" spans="1:19" ht="13.2" customHeight="1">
      <c r="A129" s="2039"/>
      <c r="B129" s="538"/>
      <c r="C129" s="538" t="s">
        <v>550</v>
      </c>
      <c r="D129" s="2032"/>
      <c r="E129" s="2033"/>
      <c r="F129" s="3345"/>
      <c r="G129" s="3345"/>
      <c r="H129" s="3345"/>
      <c r="I129" s="3345"/>
      <c r="J129" s="3345"/>
      <c r="K129" s="3345"/>
      <c r="L129" s="3345"/>
      <c r="M129" s="3346"/>
      <c r="S129" s="730"/>
    </row>
    <row r="130" spans="1:19" ht="13.2" customHeight="1">
      <c r="A130" s="2035">
        <f>A126</f>
        <v>60</v>
      </c>
      <c r="B130" s="812" t="str">
        <f>IF('Part VI-Revenues &amp; Expenses'!$L$58=0,"",'Part VI-Revenues &amp; Expenses'!$L$58)</f>
        <v/>
      </c>
      <c r="C130" s="2031">
        <v>1</v>
      </c>
      <c r="D130" s="538"/>
      <c r="E130" s="538"/>
      <c r="F130" s="3343"/>
      <c r="G130" s="3344"/>
      <c r="H130" s="2031"/>
      <c r="I130" s="2031"/>
      <c r="J130" s="2031"/>
      <c r="K130" s="2031"/>
      <c r="L130" s="2031"/>
      <c r="M130" s="2031"/>
      <c r="S130" s="730"/>
    </row>
    <row r="131" spans="1:19" ht="13.2" customHeight="1">
      <c r="A131" s="2035"/>
      <c r="B131" s="538"/>
      <c r="C131" s="2034">
        <v>1</v>
      </c>
      <c r="D131" s="2032"/>
      <c r="E131" s="2033"/>
      <c r="F131" s="3345"/>
      <c r="G131" s="3345"/>
      <c r="H131" s="3345"/>
      <c r="I131" s="3345"/>
      <c r="J131" s="3345"/>
      <c r="K131" s="3345"/>
      <c r="L131" s="3345"/>
      <c r="M131" s="3346"/>
      <c r="S131" s="730"/>
    </row>
    <row r="132" spans="1:19" ht="13.2" customHeight="1">
      <c r="A132" s="2035"/>
      <c r="B132" s="538"/>
      <c r="C132" s="2034">
        <v>1</v>
      </c>
      <c r="D132" s="2032"/>
      <c r="E132" s="2033"/>
      <c r="F132" s="3345"/>
      <c r="G132" s="3345"/>
      <c r="H132" s="3345"/>
      <c r="I132" s="3345"/>
      <c r="J132" s="3345"/>
      <c r="K132" s="3345"/>
      <c r="L132" s="3345"/>
      <c r="M132" s="3346"/>
      <c r="S132" s="730"/>
    </row>
    <row r="133" spans="1:19" ht="13.2" customHeight="1">
      <c r="A133" s="2035"/>
      <c r="B133" s="538"/>
      <c r="C133" s="2034">
        <v>1</v>
      </c>
      <c r="D133" s="2032"/>
      <c r="E133" s="2033"/>
      <c r="F133" s="3345"/>
      <c r="G133" s="3345"/>
      <c r="H133" s="3345"/>
      <c r="I133" s="3345"/>
      <c r="J133" s="3345"/>
      <c r="K133" s="3345"/>
      <c r="L133" s="3345"/>
      <c r="M133" s="3346"/>
      <c r="S133" s="730"/>
    </row>
    <row r="134" spans="1:19" ht="13.2" customHeight="1">
      <c r="A134" s="2035">
        <f>A126</f>
        <v>60</v>
      </c>
      <c r="B134" s="812" t="str">
        <f>IF('Part VI-Revenues &amp; Expenses'!$M$58=0,"",'Part VI-Revenues &amp; Expenses'!$M$58)</f>
        <v/>
      </c>
      <c r="C134" s="2031">
        <v>2</v>
      </c>
      <c r="D134" s="538"/>
      <c r="E134" s="538"/>
      <c r="F134" s="3343"/>
      <c r="G134" s="3344"/>
      <c r="H134" s="2031"/>
      <c r="I134" s="2031"/>
      <c r="J134" s="2031"/>
      <c r="K134" s="2031"/>
      <c r="L134" s="2031"/>
      <c r="M134" s="2031"/>
      <c r="S134" s="730"/>
    </row>
    <row r="135" spans="1:19" ht="13.2" customHeight="1">
      <c r="A135" s="2035"/>
      <c r="B135" s="538"/>
      <c r="C135" s="2034">
        <v>2</v>
      </c>
      <c r="D135" s="2032"/>
      <c r="E135" s="2033"/>
      <c r="F135" s="3345"/>
      <c r="G135" s="3345"/>
      <c r="H135" s="3345"/>
      <c r="I135" s="3345"/>
      <c r="J135" s="3345"/>
      <c r="K135" s="3345"/>
      <c r="L135" s="3345"/>
      <c r="M135" s="3346"/>
      <c r="S135" s="730"/>
    </row>
    <row r="136" spans="1:19" ht="13.2" customHeight="1">
      <c r="A136" s="2035"/>
      <c r="B136" s="538"/>
      <c r="C136" s="2034">
        <v>2</v>
      </c>
      <c r="D136" s="2032"/>
      <c r="E136" s="2033"/>
      <c r="F136" s="3345"/>
      <c r="G136" s="3345"/>
      <c r="H136" s="3345"/>
      <c r="I136" s="3345"/>
      <c r="J136" s="3345"/>
      <c r="K136" s="3345"/>
      <c r="L136" s="3345"/>
      <c r="M136" s="3346"/>
      <c r="S136" s="730"/>
    </row>
    <row r="137" spans="1:19" ht="13.2" customHeight="1">
      <c r="A137" s="2035"/>
      <c r="B137" s="538"/>
      <c r="C137" s="2034">
        <v>2</v>
      </c>
      <c r="D137" s="2032"/>
      <c r="E137" s="2033"/>
      <c r="F137" s="3345"/>
      <c r="G137" s="3345"/>
      <c r="H137" s="3345"/>
      <c r="I137" s="3345"/>
      <c r="J137" s="3345"/>
      <c r="K137" s="3345"/>
      <c r="L137" s="3345"/>
      <c r="M137" s="3346"/>
      <c r="S137" s="730"/>
    </row>
    <row r="138" spans="1:19" ht="13.2" customHeight="1">
      <c r="A138" s="2035"/>
      <c r="B138" s="538"/>
      <c r="C138" s="2034">
        <v>2</v>
      </c>
      <c r="D138" s="2032"/>
      <c r="E138" s="2033"/>
      <c r="F138" s="3345"/>
      <c r="G138" s="3345"/>
      <c r="H138" s="3345"/>
      <c r="I138" s="3345"/>
      <c r="J138" s="3345"/>
      <c r="K138" s="3345"/>
      <c r="L138" s="3345"/>
      <c r="M138" s="3346"/>
      <c r="S138" s="730"/>
    </row>
    <row r="139" spans="1:19" ht="13.2" customHeight="1">
      <c r="A139" s="2035">
        <f>A126</f>
        <v>60</v>
      </c>
      <c r="B139" s="812" t="str">
        <f>IF('Part VI-Revenues &amp; Expenses'!$N$58=0,"",'Part VI-Revenues &amp; Expenses'!$N$58)</f>
        <v/>
      </c>
      <c r="C139" s="2031">
        <v>3</v>
      </c>
      <c r="D139" s="538"/>
      <c r="E139" s="538"/>
      <c r="F139" s="3343"/>
      <c r="G139" s="3344"/>
      <c r="H139" s="2031"/>
      <c r="I139" s="2031"/>
      <c r="J139" s="2031"/>
      <c r="K139" s="2031"/>
      <c r="L139" s="2031"/>
      <c r="M139" s="2031"/>
      <c r="S139" s="730"/>
    </row>
    <row r="140" spans="1:19" ht="13.2" customHeight="1">
      <c r="A140" s="2035"/>
      <c r="B140" s="538"/>
      <c r="C140" s="2034">
        <v>3</v>
      </c>
      <c r="D140" s="2032"/>
      <c r="E140" s="2033"/>
      <c r="F140" s="3345"/>
      <c r="G140" s="3345"/>
      <c r="H140" s="3345"/>
      <c r="I140" s="3345"/>
      <c r="J140" s="3345"/>
      <c r="K140" s="3345"/>
      <c r="L140" s="3345"/>
      <c r="M140" s="3346"/>
      <c r="S140" s="730"/>
    </row>
    <row r="141" spans="1:19" ht="13.2" customHeight="1">
      <c r="A141" s="2035"/>
      <c r="B141" s="538"/>
      <c r="C141" s="2034">
        <v>3</v>
      </c>
      <c r="D141" s="2032"/>
      <c r="E141" s="2033"/>
      <c r="F141" s="3345"/>
      <c r="G141" s="3345"/>
      <c r="H141" s="3345"/>
      <c r="I141" s="3345"/>
      <c r="J141" s="3345"/>
      <c r="K141" s="3345"/>
      <c r="L141" s="3345"/>
      <c r="M141" s="3346"/>
      <c r="S141" s="730"/>
    </row>
    <row r="142" spans="1:19" ht="13.2" customHeight="1">
      <c r="A142" s="2035"/>
      <c r="B142" s="538"/>
      <c r="C142" s="2034">
        <v>3</v>
      </c>
      <c r="D142" s="2032"/>
      <c r="E142" s="2033"/>
      <c r="F142" s="3345"/>
      <c r="G142" s="3345"/>
      <c r="H142" s="3345"/>
      <c r="I142" s="3345"/>
      <c r="J142" s="3345"/>
      <c r="K142" s="3345"/>
      <c r="L142" s="3345"/>
      <c r="M142" s="3346"/>
      <c r="S142" s="730"/>
    </row>
    <row r="143" spans="1:19" ht="13.2" customHeight="1">
      <c r="A143" s="2035"/>
      <c r="B143" s="538"/>
      <c r="C143" s="2034">
        <v>3</v>
      </c>
      <c r="D143" s="2032"/>
      <c r="E143" s="2033"/>
      <c r="F143" s="3345"/>
      <c r="G143" s="3345"/>
      <c r="H143" s="3345"/>
      <c r="I143" s="3345"/>
      <c r="J143" s="3345"/>
      <c r="K143" s="3345"/>
      <c r="L143" s="3345"/>
      <c r="M143" s="3346"/>
      <c r="S143" s="730"/>
    </row>
    <row r="144" spans="1:19" ht="13.2" customHeight="1">
      <c r="A144" s="2035">
        <f>A126</f>
        <v>60</v>
      </c>
      <c r="B144" s="812" t="str">
        <f>IF('Part VI-Revenues &amp; Expenses'!$O$58=0,"",'Part VI-Revenues &amp; Expenses'!$O$58)</f>
        <v/>
      </c>
      <c r="C144" s="2031">
        <v>4</v>
      </c>
      <c r="D144" s="538"/>
      <c r="E144" s="538"/>
      <c r="F144" s="3343"/>
      <c r="G144" s="3344"/>
      <c r="H144" s="2031"/>
      <c r="I144" s="2031"/>
      <c r="J144" s="2031"/>
      <c r="K144" s="2031"/>
      <c r="L144" s="2031"/>
      <c r="M144" s="2031"/>
      <c r="S144" s="730"/>
    </row>
    <row r="145" spans="1:19" ht="13.2" customHeight="1">
      <c r="A145" s="2039"/>
      <c r="B145" s="538"/>
      <c r="C145" s="2034">
        <v>4</v>
      </c>
      <c r="D145" s="2032"/>
      <c r="E145" s="2033"/>
      <c r="F145" s="3345"/>
      <c r="G145" s="3345"/>
      <c r="H145" s="3345"/>
      <c r="I145" s="3345"/>
      <c r="J145" s="3345"/>
      <c r="K145" s="3345"/>
      <c r="L145" s="3345"/>
      <c r="M145" s="3346"/>
      <c r="S145" s="730"/>
    </row>
    <row r="146" spans="1:19" ht="13.2" customHeight="1">
      <c r="A146" s="2036"/>
      <c r="C146" s="2034">
        <v>4</v>
      </c>
      <c r="D146" s="2032"/>
      <c r="E146" s="2033"/>
      <c r="F146" s="3345"/>
      <c r="G146" s="3345"/>
      <c r="H146" s="3345"/>
      <c r="I146" s="3345"/>
      <c r="J146" s="3345"/>
      <c r="K146" s="3345"/>
      <c r="L146" s="3345"/>
      <c r="M146" s="3346"/>
      <c r="S146" s="730"/>
    </row>
    <row r="147" spans="1:19" ht="13.2" customHeight="1">
      <c r="A147" s="2036"/>
      <c r="C147" s="2034">
        <v>4</v>
      </c>
      <c r="D147" s="2032"/>
      <c r="E147" s="2033"/>
      <c r="F147" s="3345"/>
      <c r="G147" s="3345"/>
      <c r="H147" s="3345"/>
      <c r="I147" s="3345"/>
      <c r="J147" s="3345"/>
      <c r="K147" s="3345"/>
      <c r="L147" s="3345"/>
      <c r="M147" s="3346"/>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550</v>
      </c>
      <c r="D150" s="538"/>
      <c r="E150" s="538"/>
      <c r="F150" s="3343"/>
      <c r="G150" s="3344"/>
      <c r="H150" s="538"/>
      <c r="I150" s="737"/>
      <c r="J150" s="538"/>
      <c r="K150" s="538"/>
      <c r="L150" s="538"/>
      <c r="M150" s="538"/>
      <c r="S150" s="730"/>
    </row>
    <row r="151" spans="1:19" ht="13.2" customHeight="1">
      <c r="A151" s="2039"/>
      <c r="B151" s="538"/>
      <c r="C151" s="538" t="s">
        <v>550</v>
      </c>
      <c r="D151" s="2032"/>
      <c r="E151" s="2033"/>
      <c r="F151" s="3345"/>
      <c r="G151" s="3345"/>
      <c r="H151" s="3345"/>
      <c r="I151" s="3345"/>
      <c r="J151" s="3345"/>
      <c r="K151" s="3345"/>
      <c r="L151" s="3345"/>
      <c r="M151" s="3346"/>
      <c r="S151" s="730"/>
    </row>
    <row r="152" spans="1:19" ht="13.2" customHeight="1">
      <c r="A152" s="2039"/>
      <c r="B152" s="538"/>
      <c r="C152" s="538" t="s">
        <v>550</v>
      </c>
      <c r="D152" s="2032"/>
      <c r="E152" s="2033"/>
      <c r="F152" s="3345"/>
      <c r="G152" s="3345"/>
      <c r="H152" s="3345"/>
      <c r="I152" s="3345"/>
      <c r="J152" s="3345"/>
      <c r="K152" s="3345"/>
      <c r="L152" s="3345"/>
      <c r="M152" s="3346"/>
      <c r="S152" s="730"/>
    </row>
    <row r="153" spans="1:19" ht="13.2" customHeight="1">
      <c r="A153" s="2039"/>
      <c r="B153" s="538"/>
      <c r="C153" s="538" t="s">
        <v>550</v>
      </c>
      <c r="D153" s="2032"/>
      <c r="E153" s="2033"/>
      <c r="F153" s="3345"/>
      <c r="G153" s="3345"/>
      <c r="H153" s="3345"/>
      <c r="I153" s="3345"/>
      <c r="J153" s="3345"/>
      <c r="K153" s="3345"/>
      <c r="L153" s="3345"/>
      <c r="M153" s="3346"/>
      <c r="S153" s="730"/>
    </row>
    <row r="154" spans="1:19" ht="13.2" customHeight="1">
      <c r="A154" s="2035">
        <f>A150</f>
        <v>70</v>
      </c>
      <c r="B154" s="812" t="str">
        <f>IF('Part VI-Revenues &amp; Expenses'!$L$57=0,"",'Part VI-Revenues &amp; Expenses'!$L$57)</f>
        <v/>
      </c>
      <c r="C154" s="2031">
        <v>1</v>
      </c>
      <c r="D154" s="538"/>
      <c r="E154" s="538"/>
      <c r="F154" s="3343"/>
      <c r="G154" s="3344"/>
      <c r="H154" s="2031"/>
      <c r="I154" s="2031"/>
      <c r="J154" s="2031"/>
      <c r="K154" s="2031"/>
      <c r="L154" s="2031"/>
      <c r="M154" s="2031"/>
      <c r="S154" s="730"/>
    </row>
    <row r="155" spans="1:19" ht="13.2" customHeight="1">
      <c r="A155" s="2035"/>
      <c r="B155" s="538"/>
      <c r="C155" s="2034">
        <v>1</v>
      </c>
      <c r="D155" s="2032"/>
      <c r="E155" s="2033"/>
      <c r="F155" s="3345"/>
      <c r="G155" s="3345"/>
      <c r="H155" s="3345"/>
      <c r="I155" s="3345"/>
      <c r="J155" s="3345"/>
      <c r="K155" s="3345"/>
      <c r="L155" s="3345"/>
      <c r="M155" s="3346"/>
      <c r="S155" s="730"/>
    </row>
    <row r="156" spans="1:19" ht="13.2" customHeight="1">
      <c r="A156" s="2035"/>
      <c r="B156" s="538"/>
      <c r="C156" s="2034">
        <v>1</v>
      </c>
      <c r="D156" s="2032"/>
      <c r="E156" s="2033"/>
      <c r="F156" s="3345"/>
      <c r="G156" s="3345"/>
      <c r="H156" s="3345"/>
      <c r="I156" s="3345"/>
      <c r="J156" s="3345"/>
      <c r="K156" s="3345"/>
      <c r="L156" s="3345"/>
      <c r="M156" s="3346"/>
      <c r="S156" s="730"/>
    </row>
    <row r="157" spans="1:19" ht="13.2" customHeight="1">
      <c r="A157" s="2035"/>
      <c r="B157" s="538"/>
      <c r="C157" s="2034">
        <v>1</v>
      </c>
      <c r="D157" s="2032"/>
      <c r="E157" s="2033"/>
      <c r="F157" s="3345"/>
      <c r="G157" s="3345"/>
      <c r="H157" s="3345"/>
      <c r="I157" s="3345"/>
      <c r="J157" s="3345"/>
      <c r="K157" s="3345"/>
      <c r="L157" s="3345"/>
      <c r="M157" s="3346"/>
      <c r="S157" s="730"/>
    </row>
    <row r="158" spans="1:19" ht="13.2" customHeight="1">
      <c r="A158" s="2035">
        <f>A150</f>
        <v>70</v>
      </c>
      <c r="B158" s="812" t="str">
        <f>IF('Part VI-Revenues &amp; Expenses'!$M$57=0,"",'Part VI-Revenues &amp; Expenses'!$M$57)</f>
        <v/>
      </c>
      <c r="C158" s="2031">
        <v>2</v>
      </c>
      <c r="D158" s="538"/>
      <c r="E158" s="538"/>
      <c r="F158" s="3343"/>
      <c r="G158" s="3344"/>
      <c r="H158" s="2031"/>
      <c r="I158" s="2031"/>
      <c r="J158" s="2031"/>
      <c r="K158" s="2031"/>
      <c r="L158" s="2031"/>
      <c r="M158" s="2031"/>
      <c r="S158" s="730"/>
    </row>
    <row r="159" spans="1:19" ht="13.2" customHeight="1">
      <c r="A159" s="2035"/>
      <c r="B159" s="538"/>
      <c r="C159" s="2034">
        <v>2</v>
      </c>
      <c r="D159" s="2032"/>
      <c r="E159" s="2033"/>
      <c r="F159" s="3345"/>
      <c r="G159" s="3345"/>
      <c r="H159" s="3345"/>
      <c r="I159" s="3345"/>
      <c r="J159" s="3345"/>
      <c r="K159" s="3345"/>
      <c r="L159" s="3345"/>
      <c r="M159" s="3346"/>
      <c r="S159" s="730"/>
    </row>
    <row r="160" spans="1:19" ht="13.2" customHeight="1">
      <c r="A160" s="2035"/>
      <c r="B160" s="538"/>
      <c r="C160" s="2034">
        <v>2</v>
      </c>
      <c r="D160" s="2032"/>
      <c r="E160" s="2033"/>
      <c r="F160" s="3345"/>
      <c r="G160" s="3345"/>
      <c r="H160" s="3345"/>
      <c r="I160" s="3345"/>
      <c r="J160" s="3345"/>
      <c r="K160" s="3345"/>
      <c r="L160" s="3345"/>
      <c r="M160" s="3346"/>
      <c r="S160" s="730"/>
    </row>
    <row r="161" spans="1:19" ht="13.2" customHeight="1">
      <c r="A161" s="2035"/>
      <c r="B161" s="538"/>
      <c r="C161" s="2034">
        <v>2</v>
      </c>
      <c r="D161" s="2032"/>
      <c r="E161" s="2033"/>
      <c r="F161" s="3345"/>
      <c r="G161" s="3345"/>
      <c r="H161" s="3345"/>
      <c r="I161" s="3345"/>
      <c r="J161" s="3345"/>
      <c r="K161" s="3345"/>
      <c r="L161" s="3345"/>
      <c r="M161" s="3346"/>
      <c r="S161" s="730"/>
    </row>
    <row r="162" spans="1:19" ht="13.2" customHeight="1">
      <c r="A162" s="2035"/>
      <c r="B162" s="538"/>
      <c r="C162" s="2034">
        <v>2</v>
      </c>
      <c r="D162" s="2032"/>
      <c r="E162" s="2033"/>
      <c r="F162" s="3345"/>
      <c r="G162" s="3345"/>
      <c r="H162" s="3345"/>
      <c r="I162" s="3345"/>
      <c r="J162" s="3345"/>
      <c r="K162" s="3345"/>
      <c r="L162" s="3345"/>
      <c r="M162" s="3346"/>
      <c r="S162" s="730"/>
    </row>
    <row r="163" spans="1:19" ht="13.2" customHeight="1">
      <c r="A163" s="2035">
        <f>A150</f>
        <v>70</v>
      </c>
      <c r="B163" s="812" t="str">
        <f>IF('Part VI-Revenues &amp; Expenses'!$N$57=0,"",'Part VI-Revenues &amp; Expenses'!$N$57)</f>
        <v/>
      </c>
      <c r="C163" s="2031">
        <v>3</v>
      </c>
      <c r="D163" s="538"/>
      <c r="E163" s="538"/>
      <c r="F163" s="3343"/>
      <c r="G163" s="3344"/>
      <c r="H163" s="2031"/>
      <c r="I163" s="2031"/>
      <c r="J163" s="2031"/>
      <c r="K163" s="2031"/>
      <c r="L163" s="2031"/>
      <c r="M163" s="2031"/>
      <c r="S163" s="730"/>
    </row>
    <row r="164" spans="1:19" ht="13.2" customHeight="1">
      <c r="A164" s="2035"/>
      <c r="B164" s="538"/>
      <c r="C164" s="2034">
        <v>3</v>
      </c>
      <c r="D164" s="2032"/>
      <c r="E164" s="2033"/>
      <c r="F164" s="3345"/>
      <c r="G164" s="3345"/>
      <c r="H164" s="3345"/>
      <c r="I164" s="3345"/>
      <c r="J164" s="3345"/>
      <c r="K164" s="3345"/>
      <c r="L164" s="3345"/>
      <c r="M164" s="3346"/>
      <c r="S164" s="730"/>
    </row>
    <row r="165" spans="1:19" ht="13.2" customHeight="1">
      <c r="A165" s="2035"/>
      <c r="B165" s="538"/>
      <c r="C165" s="2034">
        <v>3</v>
      </c>
      <c r="D165" s="2032"/>
      <c r="E165" s="2033"/>
      <c r="F165" s="3345"/>
      <c r="G165" s="3345"/>
      <c r="H165" s="3345"/>
      <c r="I165" s="3345"/>
      <c r="J165" s="3345"/>
      <c r="K165" s="3345"/>
      <c r="L165" s="3345"/>
      <c r="M165" s="3346"/>
      <c r="S165" s="730"/>
    </row>
    <row r="166" spans="1:19" ht="13.2" customHeight="1">
      <c r="A166" s="2035"/>
      <c r="B166" s="538"/>
      <c r="C166" s="2034">
        <v>3</v>
      </c>
      <c r="D166" s="2032"/>
      <c r="E166" s="2033"/>
      <c r="F166" s="3345"/>
      <c r="G166" s="3345"/>
      <c r="H166" s="3345"/>
      <c r="I166" s="3345"/>
      <c r="J166" s="3345"/>
      <c r="K166" s="3345"/>
      <c r="L166" s="3345"/>
      <c r="M166" s="3346"/>
      <c r="S166" s="730"/>
    </row>
    <row r="167" spans="1:19" ht="13.2" customHeight="1">
      <c r="A167" s="2035"/>
      <c r="B167" s="538"/>
      <c r="C167" s="2034">
        <v>3</v>
      </c>
      <c r="D167" s="2032"/>
      <c r="E167" s="2033"/>
      <c r="F167" s="3345"/>
      <c r="G167" s="3345"/>
      <c r="H167" s="3345"/>
      <c r="I167" s="3345"/>
      <c r="J167" s="3345"/>
      <c r="K167" s="3345"/>
      <c r="L167" s="3345"/>
      <c r="M167" s="3346"/>
      <c r="S167" s="730"/>
    </row>
    <row r="168" spans="1:19" ht="13.2" customHeight="1">
      <c r="A168" s="2035">
        <f>A150</f>
        <v>70</v>
      </c>
      <c r="B168" s="812" t="str">
        <f>IF('Part VI-Revenues &amp; Expenses'!$O$57=0,"",'Part VI-Revenues &amp; Expenses'!$O$57)</f>
        <v/>
      </c>
      <c r="C168" s="2031">
        <v>4</v>
      </c>
      <c r="D168" s="538"/>
      <c r="E168" s="538"/>
      <c r="F168" s="3343"/>
      <c r="G168" s="3344"/>
      <c r="H168" s="2031"/>
      <c r="I168" s="2031"/>
      <c r="J168" s="2031"/>
      <c r="K168" s="2031"/>
      <c r="L168" s="2031"/>
      <c r="M168" s="2031"/>
      <c r="S168" s="730"/>
    </row>
    <row r="169" spans="1:19" ht="13.2" customHeight="1">
      <c r="A169" s="2039"/>
      <c r="B169" s="538"/>
      <c r="C169" s="2034">
        <v>4</v>
      </c>
      <c r="D169" s="2032"/>
      <c r="E169" s="2033"/>
      <c r="F169" s="3345"/>
      <c r="G169" s="3345"/>
      <c r="H169" s="3345"/>
      <c r="I169" s="3345"/>
      <c r="J169" s="3345"/>
      <c r="K169" s="3345"/>
      <c r="L169" s="3345"/>
      <c r="M169" s="3346"/>
      <c r="S169" s="730"/>
    </row>
    <row r="170" spans="1:19" ht="13.2" customHeight="1">
      <c r="A170" s="2036"/>
      <c r="C170" s="2034">
        <v>4</v>
      </c>
      <c r="D170" s="2032"/>
      <c r="E170" s="2033"/>
      <c r="F170" s="3345"/>
      <c r="G170" s="3345"/>
      <c r="H170" s="3345"/>
      <c r="I170" s="3345"/>
      <c r="J170" s="3345"/>
      <c r="K170" s="3345"/>
      <c r="L170" s="3345"/>
      <c r="M170" s="3346"/>
      <c r="S170" s="730"/>
    </row>
    <row r="171" spans="1:19" ht="13.2" customHeight="1">
      <c r="A171" s="2036"/>
      <c r="C171" s="2034">
        <v>4</v>
      </c>
      <c r="D171" s="2032"/>
      <c r="E171" s="2033"/>
      <c r="F171" s="3345"/>
      <c r="G171" s="3345"/>
      <c r="H171" s="3345"/>
      <c r="I171" s="3345"/>
      <c r="J171" s="3345"/>
      <c r="K171" s="3345"/>
      <c r="L171" s="3345"/>
      <c r="M171" s="3346"/>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550</v>
      </c>
      <c r="D174" s="538"/>
      <c r="E174" s="538"/>
      <c r="F174" s="3343"/>
      <c r="G174" s="3344"/>
      <c r="H174" s="538"/>
      <c r="I174" s="737"/>
      <c r="J174" s="538"/>
      <c r="K174" s="538"/>
      <c r="L174" s="538"/>
      <c r="M174" s="538"/>
      <c r="S174" s="730"/>
    </row>
    <row r="175" spans="1:19" ht="13.2" customHeight="1">
      <c r="A175" s="2039"/>
      <c r="B175" s="538"/>
      <c r="C175" s="538" t="s">
        <v>550</v>
      </c>
      <c r="D175" s="2032"/>
      <c r="E175" s="2033"/>
      <c r="F175" s="3345"/>
      <c r="G175" s="3345"/>
      <c r="H175" s="3345"/>
      <c r="I175" s="3345"/>
      <c r="J175" s="3345"/>
      <c r="K175" s="3345"/>
      <c r="L175" s="3345"/>
      <c r="M175" s="3346"/>
      <c r="S175" s="730"/>
    </row>
    <row r="176" spans="1:19" ht="13.2" customHeight="1">
      <c r="A176" s="2039"/>
      <c r="B176" s="538"/>
      <c r="C176" s="538" t="s">
        <v>550</v>
      </c>
      <c r="D176" s="2032"/>
      <c r="E176" s="2033"/>
      <c r="F176" s="3345"/>
      <c r="G176" s="3345"/>
      <c r="H176" s="3345"/>
      <c r="I176" s="3345"/>
      <c r="J176" s="3345"/>
      <c r="K176" s="3345"/>
      <c r="L176" s="3345"/>
      <c r="M176" s="3346"/>
      <c r="S176" s="730"/>
    </row>
    <row r="177" spans="1:19" ht="13.2" customHeight="1">
      <c r="A177" s="2039"/>
      <c r="B177" s="538"/>
      <c r="C177" s="538" t="s">
        <v>550</v>
      </c>
      <c r="D177" s="2032"/>
      <c r="E177" s="2033"/>
      <c r="F177" s="3345"/>
      <c r="G177" s="3345"/>
      <c r="H177" s="3345"/>
      <c r="I177" s="3345"/>
      <c r="J177" s="3345"/>
      <c r="K177" s="3345"/>
      <c r="L177" s="3345"/>
      <c r="M177" s="3346"/>
      <c r="S177" s="730"/>
    </row>
    <row r="178" spans="1:19" ht="13.2" customHeight="1">
      <c r="A178" s="2035">
        <f>A174</f>
        <v>80</v>
      </c>
      <c r="B178" s="812" t="str">
        <f>IF('Part VI-Revenues &amp; Expenses'!$L$56=0,"",'Part VI-Revenues &amp; Expenses'!$L$56)</f>
        <v/>
      </c>
      <c r="C178" s="2031">
        <v>1</v>
      </c>
      <c r="D178" s="538"/>
      <c r="E178" s="538"/>
      <c r="F178" s="3343"/>
      <c r="G178" s="3344"/>
      <c r="H178" s="2031"/>
      <c r="I178" s="2031"/>
      <c r="J178" s="2031"/>
      <c r="K178" s="2031"/>
      <c r="L178" s="2031"/>
      <c r="M178" s="2031"/>
      <c r="S178" s="730"/>
    </row>
    <row r="179" spans="1:19" ht="13.2" customHeight="1">
      <c r="A179" s="2035"/>
      <c r="B179" s="538"/>
      <c r="C179" s="2034">
        <v>1</v>
      </c>
      <c r="D179" s="2032"/>
      <c r="E179" s="2033"/>
      <c r="F179" s="3345"/>
      <c r="G179" s="3345"/>
      <c r="H179" s="3345"/>
      <c r="I179" s="3345"/>
      <c r="J179" s="3345"/>
      <c r="K179" s="3345"/>
      <c r="L179" s="3345"/>
      <c r="M179" s="3346"/>
      <c r="S179" s="730"/>
    </row>
    <row r="180" spans="1:19" ht="13.2" customHeight="1">
      <c r="A180" s="2035"/>
      <c r="B180" s="538"/>
      <c r="C180" s="2034">
        <v>1</v>
      </c>
      <c r="D180" s="2032"/>
      <c r="E180" s="2033"/>
      <c r="F180" s="3345"/>
      <c r="G180" s="3345"/>
      <c r="H180" s="3345"/>
      <c r="I180" s="3345"/>
      <c r="J180" s="3345"/>
      <c r="K180" s="3345"/>
      <c r="L180" s="3345"/>
      <c r="M180" s="3346"/>
      <c r="S180" s="730"/>
    </row>
    <row r="181" spans="1:19" ht="13.2" customHeight="1">
      <c r="A181" s="2035"/>
      <c r="B181" s="538"/>
      <c r="C181" s="2034">
        <v>1</v>
      </c>
      <c r="D181" s="2032"/>
      <c r="E181" s="2033"/>
      <c r="F181" s="3345"/>
      <c r="G181" s="3345"/>
      <c r="H181" s="3345"/>
      <c r="I181" s="3345"/>
      <c r="J181" s="3345"/>
      <c r="K181" s="3345"/>
      <c r="L181" s="3345"/>
      <c r="M181" s="3346"/>
      <c r="S181" s="730"/>
    </row>
    <row r="182" spans="1:19" ht="13.2" customHeight="1">
      <c r="A182" s="2035">
        <f>A174</f>
        <v>80</v>
      </c>
      <c r="B182" s="812" t="str">
        <f>IF('Part VI-Revenues &amp; Expenses'!$M$56=0,"",'Part VI-Revenues &amp; Expenses'!$M$56)</f>
        <v/>
      </c>
      <c r="C182" s="2031">
        <v>2</v>
      </c>
      <c r="D182" s="538"/>
      <c r="E182" s="538"/>
      <c r="F182" s="3343"/>
      <c r="G182" s="3344"/>
      <c r="H182" s="2031"/>
      <c r="I182" s="2031"/>
      <c r="J182" s="2031"/>
      <c r="K182" s="2031"/>
      <c r="L182" s="2031"/>
      <c r="M182" s="2031"/>
      <c r="S182" s="730"/>
    </row>
    <row r="183" spans="1:19" ht="13.2" customHeight="1">
      <c r="A183" s="2035"/>
      <c r="B183" s="538"/>
      <c r="C183" s="2034">
        <v>2</v>
      </c>
      <c r="D183" s="2032"/>
      <c r="E183" s="2033"/>
      <c r="F183" s="3345"/>
      <c r="G183" s="3345"/>
      <c r="H183" s="3345"/>
      <c r="I183" s="3345"/>
      <c r="J183" s="3345"/>
      <c r="K183" s="3345"/>
      <c r="L183" s="3345"/>
      <c r="M183" s="3346"/>
      <c r="S183" s="730"/>
    </row>
    <row r="184" spans="1:19" ht="13.2" customHeight="1">
      <c r="A184" s="2035"/>
      <c r="B184" s="538"/>
      <c r="C184" s="2034">
        <v>2</v>
      </c>
      <c r="D184" s="2032"/>
      <c r="E184" s="2033"/>
      <c r="F184" s="3345"/>
      <c r="G184" s="3345"/>
      <c r="H184" s="3345"/>
      <c r="I184" s="3345"/>
      <c r="J184" s="3345"/>
      <c r="K184" s="3345"/>
      <c r="L184" s="3345"/>
      <c r="M184" s="3346"/>
      <c r="S184" s="730"/>
    </row>
    <row r="185" spans="1:19" ht="13.2" customHeight="1">
      <c r="A185" s="2035"/>
      <c r="B185" s="538"/>
      <c r="C185" s="2034">
        <v>2</v>
      </c>
      <c r="D185" s="2032"/>
      <c r="E185" s="2033"/>
      <c r="F185" s="3345"/>
      <c r="G185" s="3345"/>
      <c r="H185" s="3345"/>
      <c r="I185" s="3345"/>
      <c r="J185" s="3345"/>
      <c r="K185" s="3345"/>
      <c r="L185" s="3345"/>
      <c r="M185" s="3346"/>
      <c r="S185" s="730"/>
    </row>
    <row r="186" spans="1:19" ht="13.2" customHeight="1">
      <c r="A186" s="2035"/>
      <c r="B186" s="538"/>
      <c r="C186" s="2034">
        <v>2</v>
      </c>
      <c r="D186" s="2032"/>
      <c r="E186" s="2033"/>
      <c r="F186" s="3345"/>
      <c r="G186" s="3345"/>
      <c r="H186" s="3345"/>
      <c r="I186" s="3345"/>
      <c r="J186" s="3345"/>
      <c r="K186" s="3345"/>
      <c r="L186" s="3345"/>
      <c r="M186" s="3346"/>
      <c r="S186" s="730"/>
    </row>
    <row r="187" spans="1:19" ht="13.2" customHeight="1">
      <c r="A187" s="2035">
        <f>A174</f>
        <v>80</v>
      </c>
      <c r="B187" s="812" t="str">
        <f>IF('Part VI-Revenues &amp; Expenses'!$N$56=0,"",'Part VI-Revenues &amp; Expenses'!$N$56)</f>
        <v/>
      </c>
      <c r="C187" s="2031">
        <v>3</v>
      </c>
      <c r="D187" s="538"/>
      <c r="E187" s="538"/>
      <c r="F187" s="3343"/>
      <c r="G187" s="3344"/>
      <c r="H187" s="2031"/>
      <c r="I187" s="2031"/>
      <c r="J187" s="2031"/>
      <c r="K187" s="2031"/>
      <c r="L187" s="2031"/>
      <c r="M187" s="2031"/>
      <c r="S187" s="730"/>
    </row>
    <row r="188" spans="1:19" ht="13.2" customHeight="1">
      <c r="A188" s="2035"/>
      <c r="B188" s="538"/>
      <c r="C188" s="2034">
        <v>3</v>
      </c>
      <c r="D188" s="2032"/>
      <c r="E188" s="2033"/>
      <c r="F188" s="3345"/>
      <c r="G188" s="3345"/>
      <c r="H188" s="3345"/>
      <c r="I188" s="3345"/>
      <c r="J188" s="3345"/>
      <c r="K188" s="3345"/>
      <c r="L188" s="3345"/>
      <c r="M188" s="3346"/>
      <c r="S188" s="730"/>
    </row>
    <row r="189" spans="1:19" ht="13.2" customHeight="1">
      <c r="A189" s="2035"/>
      <c r="B189" s="538"/>
      <c r="C189" s="2034">
        <v>3</v>
      </c>
      <c r="D189" s="2032"/>
      <c r="E189" s="2033"/>
      <c r="F189" s="3345"/>
      <c r="G189" s="3345"/>
      <c r="H189" s="3345"/>
      <c r="I189" s="3345"/>
      <c r="J189" s="3345"/>
      <c r="K189" s="3345"/>
      <c r="L189" s="3345"/>
      <c r="M189" s="3346"/>
      <c r="S189" s="730"/>
    </row>
    <row r="190" spans="1:19" ht="13.2" customHeight="1">
      <c r="A190" s="2035"/>
      <c r="B190" s="538"/>
      <c r="C190" s="2034">
        <v>3</v>
      </c>
      <c r="D190" s="2032"/>
      <c r="E190" s="2033"/>
      <c r="F190" s="3345"/>
      <c r="G190" s="3345"/>
      <c r="H190" s="3345"/>
      <c r="I190" s="3345"/>
      <c r="J190" s="3345"/>
      <c r="K190" s="3345"/>
      <c r="L190" s="3345"/>
      <c r="M190" s="3346"/>
      <c r="S190" s="730"/>
    </row>
    <row r="191" spans="1:19" ht="13.2" customHeight="1">
      <c r="A191" s="2035"/>
      <c r="B191" s="538"/>
      <c r="C191" s="2034">
        <v>3</v>
      </c>
      <c r="D191" s="2032"/>
      <c r="E191" s="2033"/>
      <c r="F191" s="3345"/>
      <c r="G191" s="3345"/>
      <c r="H191" s="3345"/>
      <c r="I191" s="3345"/>
      <c r="J191" s="3345"/>
      <c r="K191" s="3345"/>
      <c r="L191" s="3345"/>
      <c r="M191" s="3346"/>
      <c r="S191" s="730"/>
    </row>
    <row r="192" spans="1:19" ht="13.2" customHeight="1">
      <c r="A192" s="2035">
        <f>A174</f>
        <v>80</v>
      </c>
      <c r="B192" s="812" t="str">
        <f>IF('Part VI-Revenues &amp; Expenses'!$O$56=0,"",'Part VI-Revenues &amp; Expenses'!$O$56)</f>
        <v/>
      </c>
      <c r="C192" s="2031">
        <v>4</v>
      </c>
      <c r="D192" s="538"/>
      <c r="E192" s="538"/>
      <c r="F192" s="3343"/>
      <c r="G192" s="3344"/>
      <c r="H192" s="2031"/>
      <c r="I192" s="2031"/>
      <c r="J192" s="2031"/>
      <c r="K192" s="2031"/>
      <c r="L192" s="2031"/>
      <c r="M192" s="2031"/>
      <c r="S192" s="730"/>
    </row>
    <row r="193" spans="1:19" ht="13.2" customHeight="1">
      <c r="A193" s="2039"/>
      <c r="B193" s="538"/>
      <c r="C193" s="2034">
        <v>4</v>
      </c>
      <c r="D193" s="2032"/>
      <c r="E193" s="2033"/>
      <c r="F193" s="3345"/>
      <c r="G193" s="3345"/>
      <c r="H193" s="3345"/>
      <c r="I193" s="3345"/>
      <c r="J193" s="3345"/>
      <c r="K193" s="3345"/>
      <c r="L193" s="3345"/>
      <c r="M193" s="3346"/>
      <c r="S193" s="730"/>
    </row>
    <row r="194" spans="1:19" ht="13.2" customHeight="1">
      <c r="A194" s="2036"/>
      <c r="C194" s="2034">
        <v>4</v>
      </c>
      <c r="D194" s="2032"/>
      <c r="E194" s="2033"/>
      <c r="F194" s="3345"/>
      <c r="G194" s="3345"/>
      <c r="H194" s="3345"/>
      <c r="I194" s="3345"/>
      <c r="J194" s="3345"/>
      <c r="K194" s="3345"/>
      <c r="L194" s="3345"/>
      <c r="M194" s="3346"/>
      <c r="S194" s="730"/>
    </row>
    <row r="195" spans="1:19" ht="13.2" customHeight="1">
      <c r="A195" s="2036"/>
      <c r="C195" s="2034">
        <v>4</v>
      </c>
      <c r="D195" s="2032"/>
      <c r="E195" s="2033"/>
      <c r="F195" s="3345"/>
      <c r="G195" s="3345"/>
      <c r="H195" s="3345"/>
      <c r="I195" s="3345"/>
      <c r="J195" s="3345"/>
      <c r="K195" s="3345"/>
      <c r="L195" s="3345"/>
      <c r="M195" s="3346"/>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384" t="s">
        <v>3913</v>
      </c>
      <c r="C1" s="3384"/>
      <c r="D1" s="3384"/>
      <c r="E1" s="3384"/>
      <c r="F1" s="3384"/>
      <c r="G1" s="3384"/>
      <c r="H1" s="3384"/>
      <c r="I1" s="3384"/>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385" t="s">
        <v>3138</v>
      </c>
      <c r="C4" s="3385"/>
      <c r="D4" s="3385"/>
      <c r="E4" s="3390" t="s">
        <v>3139</v>
      </c>
      <c r="F4" s="3392"/>
      <c r="G4" s="3390" t="s">
        <v>598</v>
      </c>
      <c r="H4" s="3391"/>
      <c r="I4" s="3392"/>
      <c r="J4" s="1254" t="s">
        <v>2984</v>
      </c>
      <c r="K4" s="1254"/>
      <c r="L4" s="1262"/>
      <c r="M4" s="1262"/>
    </row>
    <row r="5" spans="2:13">
      <c r="B5" s="3386" t="str">
        <f>'Closing term sheet'!C8</f>
        <v>Twin Oaks Commons LLC</v>
      </c>
      <c r="C5" s="3387"/>
      <c r="D5" s="3387"/>
      <c r="E5" s="3396"/>
      <c r="F5" s="3397"/>
      <c r="G5" s="3393" t="str">
        <f>'Closing term sheet'!C28</f>
        <v>Twin Oaks Commons</v>
      </c>
      <c r="H5" s="3394"/>
      <c r="I5" s="3395"/>
      <c r="K5" s="730"/>
    </row>
    <row r="6" spans="2:13" ht="4.5" customHeight="1">
      <c r="D6" s="1263"/>
      <c r="E6" s="1263"/>
      <c r="F6" s="1263"/>
      <c r="G6" s="1263"/>
      <c r="H6" s="1263"/>
      <c r="I6" s="1263"/>
      <c r="K6" s="730"/>
    </row>
    <row r="7" spans="2:13">
      <c r="B7" s="3379" t="s">
        <v>3140</v>
      </c>
      <c r="C7" s="3379"/>
      <c r="D7" s="1264"/>
      <c r="E7" s="1264"/>
      <c r="F7" s="1264"/>
      <c r="G7" s="1264"/>
      <c r="H7" s="3388">
        <f>'Preview term'!E9</f>
        <v>0</v>
      </c>
      <c r="I7" s="3389"/>
    </row>
    <row r="8" spans="2:13" ht="4.5" customHeight="1">
      <c r="B8" s="1264"/>
      <c r="C8" s="1264"/>
      <c r="D8" s="1264"/>
      <c r="E8" s="1264"/>
      <c r="F8" s="1264"/>
      <c r="G8" s="1264"/>
      <c r="H8" s="1264"/>
      <c r="I8" s="1264"/>
      <c r="J8" s="1264"/>
    </row>
    <row r="9" spans="2:13">
      <c r="B9" s="1265" t="s">
        <v>3141</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3142</v>
      </c>
      <c r="C12" s="1270"/>
      <c r="D12" s="1270"/>
      <c r="E12" s="1270"/>
      <c r="F12" s="1270"/>
      <c r="G12" s="1270"/>
      <c r="H12" s="1270"/>
      <c r="I12" s="1271" t="s">
        <v>1726</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3904</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1726</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398" t="s">
        <v>3921</v>
      </c>
      <c r="I35" s="3399"/>
    </row>
    <row r="36" spans="2:9">
      <c r="B36" s="1291" t="s">
        <v>3920</v>
      </c>
      <c r="C36" s="1289"/>
      <c r="D36" s="1289"/>
      <c r="E36" s="1264"/>
      <c r="F36" s="1533"/>
      <c r="G36" s="1292"/>
      <c r="H36" s="3398"/>
      <c r="I36" s="3399"/>
    </row>
    <row r="37" spans="2:9">
      <c r="B37" s="1291" t="s">
        <v>3918</v>
      </c>
      <c r="D37" s="1289"/>
      <c r="E37" s="1264"/>
      <c r="F37" s="1534"/>
      <c r="G37" s="1292"/>
      <c r="H37" s="3398"/>
      <c r="I37" s="3399"/>
    </row>
    <row r="38" spans="2:9">
      <c r="B38" s="1291" t="s">
        <v>3919</v>
      </c>
      <c r="D38" s="1264"/>
      <c r="E38" s="1264"/>
      <c r="F38" s="1534"/>
      <c r="G38" s="1292"/>
      <c r="H38" s="1292"/>
      <c r="I38" s="1293"/>
    </row>
    <row r="39" spans="2:9" ht="12.75" customHeight="1">
      <c r="B39" s="1291" t="s">
        <v>3917</v>
      </c>
      <c r="C39" s="1264"/>
      <c r="D39" s="1264"/>
      <c r="E39" s="1264"/>
      <c r="F39" s="1534"/>
      <c r="G39" s="1292"/>
      <c r="H39" s="1292"/>
      <c r="I39" s="1293"/>
    </row>
    <row r="40" spans="2:9">
      <c r="B40" s="1294" t="s">
        <v>3916</v>
      </c>
      <c r="C40" s="1295"/>
      <c r="D40" s="1296"/>
      <c r="E40" s="1297"/>
      <c r="F40" s="1534"/>
      <c r="G40" s="1297"/>
      <c r="H40" s="1532"/>
      <c r="I40" s="1274"/>
    </row>
    <row r="41" spans="2:9">
      <c r="B41" s="1294" t="s">
        <v>3915</v>
      </c>
      <c r="C41" s="1295"/>
      <c r="D41" s="1296"/>
      <c r="E41" s="1264"/>
      <c r="F41" s="1534"/>
      <c r="G41" s="1264"/>
      <c r="H41" s="1264"/>
      <c r="I41" s="1274"/>
    </row>
    <row r="42" spans="2:9">
      <c r="B42" s="1298" t="s">
        <v>3914</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Acquisition/Rehabilitation</v>
      </c>
      <c r="F47" s="754" t="s">
        <v>3922</v>
      </c>
      <c r="H47" s="1264"/>
      <c r="I47" s="1274"/>
    </row>
    <row r="48" spans="2:9">
      <c r="B48" s="1280" t="s">
        <v>3153</v>
      </c>
      <c r="C48" s="1289"/>
      <c r="D48" s="1289" t="s">
        <v>3154</v>
      </c>
      <c r="E48" s="1264"/>
      <c r="F48" s="3407" t="str">
        <f>'Closing term sheet'!$C$30</f>
        <v>158 Twin Oaks Dr.</v>
      </c>
      <c r="G48" s="3408"/>
      <c r="H48" s="3408"/>
      <c r="I48" s="3409"/>
    </row>
    <row r="49" spans="2:9">
      <c r="B49" s="1280" t="s">
        <v>3155</v>
      </c>
      <c r="D49" s="1289" t="s">
        <v>3156</v>
      </c>
      <c r="E49" s="1264"/>
      <c r="F49" s="3410"/>
      <c r="G49" s="3411"/>
      <c r="H49" s="3411"/>
      <c r="I49" s="3412"/>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3923</v>
      </c>
      <c r="C52" s="3375" t="str">
        <f>'Part I-Project Information'!F38</f>
        <v>Ludowici</v>
      </c>
      <c r="D52" s="3376"/>
      <c r="E52" s="1306" t="s">
        <v>3924</v>
      </c>
      <c r="F52" s="1266" t="s">
        <v>827</v>
      </c>
      <c r="G52" s="1306" t="s">
        <v>3925</v>
      </c>
      <c r="H52" s="1307">
        <f>'Part I-Project Information'!J38</f>
        <v>313160000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40</v>
      </c>
      <c r="E55" s="1310"/>
      <c r="F55" s="787" t="s">
        <v>3158</v>
      </c>
      <c r="G55" s="1264"/>
      <c r="H55" s="1264"/>
      <c r="I55" s="1274"/>
    </row>
    <row r="56" spans="2:9">
      <c r="B56" s="1298" t="s">
        <v>4091</v>
      </c>
      <c r="D56" s="1311">
        <f>'Closing term sheet'!$D$62</f>
        <v>5010000</v>
      </c>
      <c r="E56" s="1312"/>
      <c r="F56" s="787" t="s">
        <v>3159</v>
      </c>
      <c r="G56" s="1264"/>
      <c r="H56" s="1264"/>
      <c r="I56" s="1274"/>
    </row>
    <row r="57" spans="2:9">
      <c r="B57" s="1291" t="s">
        <v>4090</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381" t="s">
        <v>3161</v>
      </c>
      <c r="C61" s="3382"/>
      <c r="D61" s="3382"/>
      <c r="E61" s="3382"/>
      <c r="F61" s="3382"/>
      <c r="G61" s="3382"/>
      <c r="H61" s="3382"/>
      <c r="I61" s="3383"/>
    </row>
    <row r="62" spans="2:9" ht="7.5" customHeight="1">
      <c r="B62" s="3377"/>
      <c r="C62" s="3378"/>
      <c r="D62" s="3378"/>
      <c r="E62" s="1264"/>
      <c r="F62" s="1264"/>
      <c r="G62" s="1314"/>
      <c r="H62" s="1264"/>
      <c r="I62" s="1274"/>
    </row>
    <row r="63" spans="2:9">
      <c r="B63" s="1315" t="s">
        <v>3163</v>
      </c>
      <c r="C63" s="1264"/>
      <c r="D63" s="1309">
        <v>4</v>
      </c>
      <c r="F63" s="1264"/>
      <c r="G63" s="3379" t="s">
        <v>3162</v>
      </c>
      <c r="H63" s="3379"/>
      <c r="I63" s="3380"/>
    </row>
    <row r="64" spans="2:9">
      <c r="B64" s="1272"/>
      <c r="C64" s="1289" t="s">
        <v>3166</v>
      </c>
      <c r="D64" s="1289" t="s">
        <v>3167</v>
      </c>
      <c r="F64" s="1264"/>
      <c r="G64" s="799" t="s">
        <v>3164</v>
      </c>
      <c r="H64" s="1264"/>
      <c r="I64" s="1316">
        <f>'Closing term sheet'!$D$35</f>
        <v>40</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381" t="s">
        <v>3174</v>
      </c>
      <c r="C81" s="3382"/>
      <c r="D81" s="3382"/>
      <c r="E81" s="3382"/>
      <c r="F81" s="3382"/>
      <c r="G81" s="3382"/>
      <c r="H81" s="3382"/>
      <c r="I81" s="3383"/>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403">
        <f>'Closing term sheet'!D62</f>
        <v>5010000</v>
      </c>
      <c r="G84" s="3403"/>
      <c r="H84" s="1264"/>
      <c r="I84" s="1274"/>
    </row>
    <row r="85" spans="2:9">
      <c r="B85" s="1272"/>
      <c r="C85" s="807" t="s">
        <v>3177</v>
      </c>
      <c r="D85" s="1264"/>
      <c r="E85" s="1264"/>
      <c r="F85" s="3374">
        <f>'Part III-Sources of Funds'!I45+'Part III-Sources of Funds'!L45</f>
        <v>29528.845936582547</v>
      </c>
      <c r="G85" s="3374"/>
      <c r="H85" s="1264"/>
      <c r="I85" s="1274"/>
    </row>
    <row r="86" spans="2:9">
      <c r="B86" s="1272"/>
      <c r="C86" s="807" t="s">
        <v>3178</v>
      </c>
      <c r="D86" s="1264"/>
      <c r="E86" s="1264"/>
      <c r="F86" s="3373"/>
      <c r="G86" s="3373"/>
      <c r="H86" s="1264"/>
      <c r="I86" s="1274"/>
    </row>
    <row r="87" spans="2:9">
      <c r="B87" s="1272"/>
      <c r="C87" s="1289" t="s">
        <v>3179</v>
      </c>
      <c r="D87" s="1264"/>
      <c r="E87" s="1264"/>
      <c r="F87" s="3374">
        <v>11000</v>
      </c>
      <c r="G87" s="3374"/>
      <c r="H87" s="1264"/>
      <c r="I87" s="1274"/>
    </row>
    <row r="88" spans="2:9">
      <c r="B88" s="1272"/>
      <c r="C88" s="807" t="s">
        <v>3180</v>
      </c>
      <c r="D88" s="1264"/>
      <c r="E88" s="1264"/>
      <c r="F88" s="3406"/>
      <c r="G88" s="3406"/>
      <c r="H88" s="1264"/>
      <c r="I88" s="1274"/>
    </row>
    <row r="89" spans="2:9">
      <c r="B89" s="1272"/>
      <c r="C89" s="787" t="s">
        <v>3181</v>
      </c>
      <c r="D89" s="1264"/>
      <c r="E89" s="1264"/>
      <c r="F89" s="3401">
        <f>SUM(F84:G88)</f>
        <v>5050528.8459365824</v>
      </c>
      <c r="G89" s="3401"/>
      <c r="H89" s="1264"/>
      <c r="I89" s="1274"/>
    </row>
    <row r="90" spans="2:9">
      <c r="B90" s="1272"/>
      <c r="C90" s="1264"/>
      <c r="D90" s="1264"/>
      <c r="E90" s="1264"/>
      <c r="F90" s="3402"/>
      <c r="G90" s="3402"/>
      <c r="H90" s="1264"/>
      <c r="I90" s="1274"/>
    </row>
    <row r="91" spans="2:9">
      <c r="B91" s="1275" t="s">
        <v>3182</v>
      </c>
      <c r="C91" s="1264"/>
      <c r="D91" s="1264"/>
      <c r="E91" s="1264"/>
      <c r="F91" s="1264"/>
      <c r="G91" s="1264"/>
      <c r="H91" s="1264"/>
      <c r="I91" s="1274"/>
    </row>
    <row r="92" spans="2:9">
      <c r="B92" s="1272"/>
      <c r="C92" s="807" t="s">
        <v>3183</v>
      </c>
      <c r="D92" s="1264"/>
      <c r="E92" s="1264"/>
      <c r="F92" s="3403"/>
      <c r="G92" s="3403"/>
      <c r="H92" s="1264"/>
      <c r="I92" s="1274"/>
    </row>
    <row r="93" spans="2:9">
      <c r="B93" s="1272"/>
      <c r="C93" s="807" t="s">
        <v>3184</v>
      </c>
      <c r="D93" s="1264"/>
      <c r="E93" s="1264"/>
      <c r="F93" s="3404"/>
      <c r="G93" s="3404"/>
      <c r="H93" s="1264"/>
      <c r="I93" s="1274"/>
    </row>
    <row r="94" spans="2:9">
      <c r="B94" s="1272"/>
      <c r="C94" s="807" t="s">
        <v>3185</v>
      </c>
      <c r="D94" s="1264"/>
      <c r="E94" s="1264"/>
      <c r="F94" s="3405" t="s">
        <v>3060</v>
      </c>
      <c r="G94" s="3400"/>
      <c r="H94" s="1264"/>
      <c r="I94" s="1274"/>
    </row>
    <row r="95" spans="2:9">
      <c r="B95" s="1272"/>
      <c r="C95" s="787" t="s">
        <v>3186</v>
      </c>
      <c r="D95" s="1264"/>
      <c r="E95" s="1264"/>
      <c r="F95" s="3401">
        <f>+SUM(F92:G94)</f>
        <v>0</v>
      </c>
      <c r="G95" s="3401"/>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403"/>
      <c r="G98" s="3403"/>
      <c r="H98" s="1264"/>
      <c r="I98" s="1274"/>
    </row>
    <row r="99" spans="2:9">
      <c r="B99" s="1272"/>
      <c r="C99" s="807" t="s">
        <v>3189</v>
      </c>
      <c r="D99" s="1264"/>
      <c r="E99" s="1264"/>
      <c r="F99" s="3404"/>
      <c r="G99" s="3404"/>
      <c r="H99" s="1264"/>
      <c r="I99" s="1274"/>
    </row>
    <row r="100" spans="2:9">
      <c r="B100" s="1272"/>
      <c r="C100" s="807" t="s">
        <v>3190</v>
      </c>
      <c r="D100" s="1264"/>
      <c r="E100" s="1264"/>
      <c r="F100" s="3406"/>
      <c r="G100" s="3406"/>
      <c r="H100" s="1264"/>
      <c r="I100" s="1274"/>
    </row>
    <row r="101" spans="2:9">
      <c r="B101" s="1272"/>
      <c r="C101" s="787" t="s">
        <v>3191</v>
      </c>
      <c r="D101" s="1264"/>
      <c r="E101" s="1264"/>
      <c r="F101" s="3401">
        <f>+SUM(F98:G100)</f>
        <v>0</v>
      </c>
      <c r="G101" s="3401"/>
      <c r="H101" s="1264"/>
      <c r="I101" s="1274"/>
    </row>
    <row r="102" spans="2:9">
      <c r="B102" s="1272"/>
      <c r="C102" s="1264"/>
      <c r="D102" s="1264"/>
      <c r="E102" s="1264"/>
      <c r="F102" s="1264"/>
      <c r="G102" s="1264"/>
      <c r="H102" s="1264"/>
      <c r="I102" s="1274"/>
    </row>
    <row r="103" spans="2:9">
      <c r="B103" s="1315" t="s">
        <v>3192</v>
      </c>
      <c r="C103" s="807"/>
      <c r="D103" s="1264"/>
      <c r="E103" s="1264"/>
      <c r="F103" s="3400">
        <f>'Part III-Sources of Funds'!I46+'Part III-Sources of Funds'!I47</f>
        <v>0</v>
      </c>
      <c r="G103" s="3400"/>
      <c r="H103" s="1264"/>
      <c r="I103" s="1274"/>
    </row>
    <row r="104" spans="2:9">
      <c r="B104" s="1272"/>
      <c r="C104" s="1264"/>
      <c r="D104" s="1264"/>
      <c r="E104" s="1264"/>
      <c r="F104" s="1264"/>
      <c r="G104" s="1264"/>
      <c r="H104" s="1264"/>
      <c r="I104" s="1320" t="s">
        <v>3193</v>
      </c>
    </row>
    <row r="105" spans="2:9">
      <c r="B105" s="1275" t="s">
        <v>3194</v>
      </c>
      <c r="C105" s="1264"/>
      <c r="D105" s="1264"/>
      <c r="E105" s="1264"/>
      <c r="F105" s="3400">
        <f>+F103+F101+F95+F89</f>
        <v>5050528.8459365824</v>
      </c>
      <c r="G105" s="3400"/>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zoomScale="240" zoomScaleNormal="240" workbookViewId="0">
      <selection activeCell="A28" sqref="A1:XFD1048576"/>
    </sheetView>
  </sheetViews>
  <sheetFormatPr defaultColWidth="8.88671875" defaultRowHeight="15.6"/>
  <cols>
    <col min="1" max="1" width="2.109375" style="4205" customWidth="1"/>
    <col min="2" max="13" width="7.88671875" style="4205" customWidth="1"/>
    <col min="14" max="15" width="5.88671875" style="4205" customWidth="1"/>
    <col min="16" max="16384" width="8.88671875" style="4205"/>
  </cols>
  <sheetData>
    <row r="1" spans="1:26" ht="18">
      <c r="N1" s="4206" t="s">
        <v>1466</v>
      </c>
      <c r="O1" s="4206"/>
      <c r="P1" s="4206"/>
      <c r="Q1" s="4206"/>
      <c r="R1" s="4206"/>
      <c r="S1" s="4206"/>
      <c r="T1" s="4206"/>
      <c r="U1" s="4206"/>
      <c r="V1" s="4206"/>
      <c r="W1" s="4206"/>
      <c r="X1" s="4206"/>
      <c r="Y1" s="4206"/>
      <c r="Z1" s="4206"/>
    </row>
    <row r="2" spans="1:26">
      <c r="N2" s="4207" t="s">
        <v>1467</v>
      </c>
      <c r="O2" s="4207"/>
      <c r="P2" s="4207"/>
      <c r="Q2" s="4207"/>
      <c r="R2" s="4207"/>
      <c r="S2" s="4207"/>
      <c r="T2" s="4207"/>
      <c r="U2" s="4207"/>
      <c r="V2" s="4207"/>
      <c r="W2" s="4207"/>
      <c r="X2" s="4207"/>
      <c r="Y2" s="4207"/>
      <c r="Z2" s="4207"/>
    </row>
    <row r="3" spans="1:26">
      <c r="N3" s="4208" t="s">
        <v>1468</v>
      </c>
      <c r="O3" s="4208"/>
      <c r="P3" s="4208"/>
      <c r="Q3" s="4208"/>
      <c r="R3" s="4208"/>
      <c r="S3" s="4208"/>
      <c r="T3" s="4208"/>
      <c r="U3" s="4208"/>
      <c r="V3" s="4208"/>
      <c r="W3" s="4208"/>
      <c r="X3" s="4208"/>
      <c r="Y3" s="4208"/>
      <c r="Z3" s="4208"/>
    </row>
    <row r="4" spans="1:26">
      <c r="B4" s="4209"/>
      <c r="C4" s="4209"/>
      <c r="D4" s="4209"/>
      <c r="E4" s="4209"/>
      <c r="F4" s="4209"/>
      <c r="G4" s="4209"/>
      <c r="H4" s="4209"/>
      <c r="I4" s="4209"/>
      <c r="J4" s="4209"/>
      <c r="K4" s="4209"/>
      <c r="L4" s="4209"/>
      <c r="M4" s="4209"/>
      <c r="N4" s="4210" t="s">
        <v>683</v>
      </c>
    </row>
    <row r="5" spans="1:26" ht="59.25" customHeight="1">
      <c r="A5" s="4211" t="s">
        <v>2660</v>
      </c>
      <c r="B5" s="4211"/>
      <c r="C5" s="4211"/>
      <c r="D5" s="4211"/>
      <c r="E5" s="4211"/>
      <c r="F5" s="4211"/>
      <c r="G5" s="4211"/>
      <c r="H5" s="4211"/>
      <c r="I5" s="4211"/>
      <c r="J5" s="4211"/>
      <c r="K5" s="4211"/>
      <c r="L5" s="4211"/>
      <c r="M5" s="4211"/>
    </row>
    <row r="6" spans="1:26" ht="11.4" customHeight="1">
      <c r="A6" s="4209"/>
      <c r="B6" s="4209"/>
      <c r="C6" s="4209"/>
      <c r="D6" s="4209"/>
      <c r="E6" s="4209"/>
      <c r="F6" s="4209"/>
      <c r="G6" s="4209"/>
      <c r="H6" s="4209"/>
      <c r="I6" s="4209"/>
      <c r="J6" s="4209"/>
      <c r="K6" s="4209"/>
      <c r="L6" s="4209"/>
      <c r="M6" s="4209"/>
    </row>
    <row r="7" spans="1:26">
      <c r="A7" s="4209" t="s">
        <v>688</v>
      </c>
      <c r="B7" s="4209"/>
      <c r="C7" s="4209"/>
      <c r="D7" s="4209"/>
      <c r="E7" s="4209"/>
      <c r="F7" s="4209"/>
      <c r="G7" s="4209"/>
      <c r="H7" s="4209"/>
      <c r="I7" s="4209"/>
      <c r="J7" s="4209"/>
      <c r="K7" s="4209"/>
      <c r="L7" s="4209"/>
      <c r="M7" s="4209"/>
    </row>
    <row r="8" spans="1:26" ht="11.4" customHeight="1">
      <c r="A8" s="4209"/>
      <c r="B8" s="4209"/>
      <c r="C8" s="4209"/>
      <c r="D8" s="4209"/>
      <c r="E8" s="4209"/>
      <c r="F8" s="4209"/>
      <c r="G8" s="4209"/>
      <c r="H8" s="4209"/>
      <c r="I8" s="4209"/>
      <c r="J8" s="4209"/>
      <c r="K8" s="4209"/>
      <c r="L8" s="4209"/>
      <c r="M8" s="4209"/>
    </row>
    <row r="9" spans="1:26">
      <c r="A9" s="4212" t="s">
        <v>1857</v>
      </c>
      <c r="B9" s="4212"/>
      <c r="C9" s="4212"/>
      <c r="D9" s="4212"/>
      <c r="E9" s="4212"/>
      <c r="F9" s="4212"/>
      <c r="G9" s="4212"/>
      <c r="H9" s="4212"/>
      <c r="I9" s="4212"/>
      <c r="J9" s="4212"/>
      <c r="K9" s="4212"/>
      <c r="L9" s="4212"/>
      <c r="M9" s="4212"/>
    </row>
    <row r="10" spans="1:26" ht="6.75" customHeight="1">
      <c r="A10" s="4212"/>
      <c r="B10" s="4212"/>
      <c r="C10" s="4212"/>
      <c r="D10" s="4212"/>
      <c r="E10" s="4212"/>
      <c r="F10" s="4212"/>
      <c r="G10" s="4212"/>
      <c r="H10" s="4212"/>
      <c r="I10" s="4212"/>
      <c r="J10" s="4212"/>
      <c r="K10" s="4212"/>
      <c r="L10" s="4212"/>
      <c r="M10" s="4212"/>
    </row>
    <row r="11" spans="1:26" ht="44.25" customHeight="1">
      <c r="A11" s="4213" t="s">
        <v>4488</v>
      </c>
      <c r="B11" s="4213"/>
      <c r="C11" s="4213"/>
      <c r="D11" s="4213"/>
      <c r="E11" s="4213"/>
      <c r="F11" s="4213"/>
      <c r="G11" s="4213"/>
      <c r="H11" s="4213"/>
      <c r="I11" s="4213"/>
      <c r="J11" s="4213"/>
      <c r="K11" s="4213"/>
      <c r="L11" s="4213"/>
      <c r="M11" s="4213"/>
    </row>
    <row r="12" spans="1:26" ht="3" customHeight="1">
      <c r="A12" s="4212"/>
      <c r="B12" s="4212"/>
      <c r="C12" s="4212"/>
      <c r="D12" s="4212"/>
      <c r="E12" s="4212"/>
      <c r="F12" s="4212"/>
      <c r="G12" s="4212"/>
      <c r="H12" s="4212"/>
      <c r="I12" s="4212"/>
      <c r="J12" s="4212"/>
      <c r="K12" s="4212"/>
      <c r="L12" s="4212"/>
      <c r="M12" s="4212"/>
    </row>
    <row r="13" spans="1:26" ht="96" customHeight="1">
      <c r="A13" s="4214" t="s">
        <v>1693</v>
      </c>
      <c r="B13" s="4215" t="s">
        <v>3498</v>
      </c>
      <c r="C13" s="4215"/>
      <c r="D13" s="4215"/>
      <c r="E13" s="4215"/>
      <c r="F13" s="4215"/>
      <c r="G13" s="4215"/>
      <c r="H13" s="4215"/>
      <c r="I13" s="4215"/>
      <c r="J13" s="4215"/>
      <c r="K13" s="4215"/>
      <c r="L13" s="4215"/>
      <c r="M13" s="4215"/>
    </row>
    <row r="14" spans="1:26" ht="47.25" customHeight="1">
      <c r="A14" s="4214" t="s">
        <v>1694</v>
      </c>
      <c r="B14" s="4215" t="s">
        <v>3499</v>
      </c>
      <c r="C14" s="4215"/>
      <c r="D14" s="4215"/>
      <c r="E14" s="4215"/>
      <c r="F14" s="4215"/>
      <c r="G14" s="4215"/>
      <c r="H14" s="4215"/>
      <c r="I14" s="4215"/>
      <c r="J14" s="4215"/>
      <c r="K14" s="4215"/>
      <c r="L14" s="4215"/>
      <c r="M14" s="4215"/>
    </row>
    <row r="15" spans="1:26" ht="117" customHeight="1">
      <c r="A15" s="4214" t="s">
        <v>1695</v>
      </c>
      <c r="B15" s="4215" t="s">
        <v>3500</v>
      </c>
      <c r="C15" s="4215"/>
      <c r="D15" s="4215"/>
      <c r="E15" s="4215"/>
      <c r="F15" s="4215"/>
      <c r="G15" s="4215"/>
      <c r="H15" s="4215"/>
      <c r="I15" s="4215"/>
      <c r="J15" s="4215"/>
      <c r="K15" s="4215"/>
      <c r="L15" s="4215"/>
      <c r="M15" s="4215"/>
    </row>
    <row r="16" spans="1:26" ht="147" customHeight="1">
      <c r="A16" s="4214" t="s">
        <v>2303</v>
      </c>
      <c r="B16" s="4215" t="s">
        <v>3339</v>
      </c>
      <c r="C16" s="4215"/>
      <c r="D16" s="4215"/>
      <c r="E16" s="4215"/>
      <c r="F16" s="4215"/>
      <c r="G16" s="4215"/>
      <c r="H16" s="4215"/>
      <c r="I16" s="4215"/>
      <c r="J16" s="4215"/>
      <c r="K16" s="4215"/>
      <c r="L16" s="4215"/>
      <c r="M16" s="4215"/>
    </row>
    <row r="17" spans="1:13" ht="48.75" customHeight="1">
      <c r="A17" s="4214" t="s">
        <v>1515</v>
      </c>
      <c r="B17" s="4215" t="s">
        <v>664</v>
      </c>
      <c r="C17" s="4215"/>
      <c r="D17" s="4215"/>
      <c r="E17" s="4215"/>
      <c r="F17" s="4215"/>
      <c r="G17" s="4215"/>
      <c r="H17" s="4215"/>
      <c r="I17" s="4215"/>
      <c r="J17" s="4215"/>
      <c r="K17" s="4215"/>
      <c r="L17" s="4215"/>
      <c r="M17" s="4215"/>
    </row>
    <row r="18" spans="1:13" ht="165" customHeight="1">
      <c r="A18" s="4214" t="s">
        <v>1516</v>
      </c>
      <c r="B18" s="4215" t="s">
        <v>3338</v>
      </c>
      <c r="C18" s="4215"/>
      <c r="D18" s="4215"/>
      <c r="E18" s="4215"/>
      <c r="F18" s="4215"/>
      <c r="G18" s="4215"/>
      <c r="H18" s="4215"/>
      <c r="I18" s="4215"/>
      <c r="J18" s="4215"/>
      <c r="K18" s="4215"/>
      <c r="L18" s="4215"/>
      <c r="M18" s="4215"/>
    </row>
    <row r="19" spans="1:13" ht="48.75" customHeight="1">
      <c r="A19" s="4214" t="s">
        <v>96</v>
      </c>
      <c r="B19" s="4216" t="s">
        <v>3501</v>
      </c>
      <c r="C19" s="4216"/>
      <c r="D19" s="4216"/>
      <c r="E19" s="4216"/>
      <c r="F19" s="4216"/>
      <c r="G19" s="4216"/>
      <c r="H19" s="4216"/>
      <c r="I19" s="4216"/>
      <c r="J19" s="4216"/>
      <c r="K19" s="4216"/>
      <c r="L19" s="4216"/>
      <c r="M19" s="4216"/>
    </row>
    <row r="20" spans="1:13" ht="50.25" customHeight="1">
      <c r="A20" s="4214" t="s">
        <v>499</v>
      </c>
      <c r="B20" s="4215" t="s">
        <v>3341</v>
      </c>
      <c r="C20" s="4215"/>
      <c r="D20" s="4215"/>
      <c r="E20" s="4215"/>
      <c r="F20" s="4215"/>
      <c r="G20" s="4215"/>
      <c r="H20" s="4215"/>
      <c r="I20" s="4215"/>
      <c r="J20" s="4215"/>
      <c r="K20" s="4215"/>
      <c r="L20" s="4215"/>
      <c r="M20" s="4215"/>
    </row>
    <row r="21" spans="1:13" ht="31.5" customHeight="1">
      <c r="A21" s="4214" t="s">
        <v>500</v>
      </c>
      <c r="B21" s="4215" t="s">
        <v>3360</v>
      </c>
      <c r="C21" s="4215"/>
      <c r="D21" s="4215"/>
      <c r="E21" s="4215"/>
      <c r="F21" s="4215"/>
      <c r="G21" s="4215"/>
      <c r="H21" s="4215"/>
      <c r="I21" s="4215"/>
      <c r="J21" s="4215"/>
      <c r="K21" s="4215"/>
      <c r="L21" s="4215"/>
      <c r="M21" s="4215"/>
    </row>
    <row r="22" spans="1:13" ht="1.5" customHeight="1">
      <c r="A22" s="4212"/>
      <c r="B22" s="4212"/>
      <c r="C22" s="4212"/>
      <c r="D22" s="4212"/>
      <c r="E22" s="4212"/>
      <c r="F22" s="4212"/>
      <c r="G22" s="4212"/>
      <c r="H22" s="4212"/>
      <c r="I22" s="4212"/>
      <c r="J22" s="4212"/>
      <c r="K22" s="4212"/>
      <c r="L22" s="4212"/>
      <c r="M22" s="4212"/>
    </row>
    <row r="23" spans="1:13" ht="3" customHeight="1">
      <c r="A23" s="4212"/>
      <c r="B23" s="4212"/>
      <c r="C23" s="4212"/>
      <c r="D23" s="4212"/>
      <c r="E23" s="4212"/>
      <c r="F23" s="4212"/>
      <c r="G23" s="4212"/>
      <c r="H23" s="4212"/>
      <c r="I23" s="4212"/>
      <c r="J23" s="4212"/>
      <c r="K23" s="4212"/>
      <c r="L23" s="4212"/>
      <c r="M23" s="4212"/>
    </row>
    <row r="24" spans="1:13" ht="13.5" customHeight="1">
      <c r="A24" s="4212" t="s">
        <v>1435</v>
      </c>
      <c r="B24" s="4212"/>
      <c r="C24" s="4212"/>
      <c r="D24" s="4212"/>
      <c r="E24" s="4212"/>
      <c r="F24" s="4212"/>
      <c r="G24" s="4212"/>
      <c r="H24" s="4212"/>
      <c r="I24" s="4212"/>
      <c r="J24" s="4212"/>
      <c r="K24" s="4212"/>
      <c r="L24" s="4212"/>
      <c r="M24" s="4212"/>
    </row>
    <row r="25" spans="1:13" ht="32.25" customHeight="1">
      <c r="A25" s="4214" t="s">
        <v>1436</v>
      </c>
      <c r="B25" s="4215" t="s">
        <v>3361</v>
      </c>
      <c r="C25" s="4215"/>
      <c r="D25" s="4215"/>
      <c r="E25" s="4215"/>
      <c r="F25" s="4215"/>
      <c r="G25" s="4215"/>
      <c r="H25" s="4215"/>
      <c r="I25" s="4215"/>
      <c r="J25" s="4215"/>
      <c r="K25" s="4215"/>
      <c r="L25" s="4215"/>
      <c r="M25" s="4215"/>
    </row>
    <row r="26" spans="1:13" ht="31.5" customHeight="1">
      <c r="A26" s="4214" t="s">
        <v>1436</v>
      </c>
      <c r="B26" s="4215" t="s">
        <v>3362</v>
      </c>
      <c r="C26" s="4215"/>
      <c r="D26" s="4215"/>
      <c r="E26" s="4215"/>
      <c r="F26" s="4215"/>
      <c r="G26" s="4215"/>
      <c r="H26" s="4215"/>
      <c r="I26" s="4215"/>
      <c r="J26" s="4215"/>
      <c r="K26" s="4215"/>
      <c r="L26" s="4215"/>
      <c r="M26" s="4215"/>
    </row>
    <row r="27" spans="1:13" ht="78.75" customHeight="1">
      <c r="A27" s="4214" t="s">
        <v>1436</v>
      </c>
      <c r="B27" s="4215" t="s">
        <v>2661</v>
      </c>
      <c r="C27" s="4215"/>
      <c r="D27" s="4215"/>
      <c r="E27" s="4215"/>
      <c r="F27" s="4215"/>
      <c r="G27" s="4215"/>
      <c r="H27" s="4215"/>
      <c r="I27" s="4215"/>
      <c r="J27" s="4215"/>
      <c r="K27" s="4215"/>
      <c r="L27" s="4215"/>
      <c r="M27" s="4215"/>
    </row>
    <row r="28" spans="1:13" ht="7.5" customHeight="1">
      <c r="A28" s="4212"/>
      <c r="B28" s="4212"/>
      <c r="C28" s="4212"/>
      <c r="D28" s="4212"/>
      <c r="E28" s="4212"/>
      <c r="F28" s="4212"/>
      <c r="G28" s="4212"/>
      <c r="H28" s="4212"/>
      <c r="I28" s="4212"/>
      <c r="J28" s="4212"/>
      <c r="K28" s="4212"/>
      <c r="L28" s="4212"/>
      <c r="M28" s="4212"/>
    </row>
    <row r="29" spans="1:13" ht="43.5" customHeight="1">
      <c r="A29" s="4215" t="s">
        <v>923</v>
      </c>
      <c r="B29" s="4215"/>
      <c r="C29" s="4215"/>
      <c r="D29" s="4215"/>
      <c r="E29" s="4215"/>
      <c r="F29" s="4215"/>
      <c r="G29" s="4215"/>
      <c r="H29" s="4215"/>
      <c r="I29" s="4215"/>
      <c r="J29" s="4215"/>
      <c r="K29" s="4215"/>
      <c r="L29" s="4215"/>
      <c r="M29" s="4215"/>
    </row>
    <row r="30" spans="1:13" ht="3" customHeight="1">
      <c r="A30" s="4212"/>
      <c r="B30" s="4212"/>
      <c r="C30" s="4212"/>
      <c r="D30" s="4212"/>
      <c r="E30" s="4212"/>
      <c r="F30" s="4212"/>
      <c r="G30" s="4212"/>
      <c r="H30" s="4212"/>
      <c r="I30" s="4212"/>
      <c r="J30" s="4212"/>
      <c r="K30" s="4212"/>
      <c r="L30" s="4212"/>
      <c r="M30" s="4212"/>
    </row>
    <row r="31" spans="1:13" ht="32.25" customHeight="1">
      <c r="A31" s="4215" t="s">
        <v>2662</v>
      </c>
      <c r="B31" s="4215"/>
      <c r="C31" s="4215"/>
      <c r="D31" s="4215"/>
      <c r="E31" s="4215"/>
      <c r="F31" s="4215"/>
      <c r="G31" s="4215"/>
      <c r="H31" s="4215"/>
      <c r="I31" s="4215"/>
      <c r="J31" s="4215"/>
      <c r="K31" s="4215"/>
      <c r="L31" s="4215"/>
      <c r="M31" s="4215"/>
    </row>
    <row r="32" spans="1:13" ht="4.5" customHeight="1">
      <c r="A32" s="4212"/>
      <c r="B32" s="4212"/>
      <c r="C32" s="4212"/>
      <c r="D32" s="4212"/>
      <c r="E32" s="4212"/>
      <c r="F32" s="4212"/>
      <c r="G32" s="4212"/>
      <c r="H32" s="4212"/>
      <c r="I32" s="4212"/>
      <c r="J32" s="4212"/>
      <c r="K32" s="4212"/>
      <c r="L32" s="4212"/>
      <c r="M32" s="4212"/>
    </row>
    <row r="33" spans="1:13">
      <c r="A33" s="4212" t="s">
        <v>900</v>
      </c>
      <c r="B33" s="4212"/>
      <c r="C33" s="4212"/>
      <c r="D33" s="4212"/>
      <c r="E33" s="4212"/>
      <c r="F33" s="4212"/>
      <c r="G33" s="4212"/>
      <c r="H33" s="4212"/>
      <c r="I33" s="4212"/>
      <c r="J33" s="4212"/>
      <c r="K33" s="4212"/>
      <c r="L33" s="4212"/>
      <c r="M33" s="4212"/>
    </row>
    <row r="34" spans="1:13" ht="6" customHeight="1">
      <c r="A34" s="4217"/>
      <c r="B34" s="4217"/>
      <c r="C34" s="4217"/>
      <c r="D34" s="4217"/>
      <c r="E34" s="4217"/>
      <c r="F34" s="4217"/>
      <c r="G34" s="4217"/>
      <c r="H34" s="4217"/>
      <c r="I34" s="4217"/>
      <c r="J34" s="4217"/>
      <c r="K34" s="4217"/>
      <c r="L34" s="4217"/>
      <c r="M34" s="4217"/>
    </row>
    <row r="35" spans="1:13">
      <c r="A35" s="4218" t="s">
        <v>6989</v>
      </c>
      <c r="B35" s="4218"/>
      <c r="C35" s="4218"/>
      <c r="D35" s="4218"/>
      <c r="E35" s="4218"/>
      <c r="F35" s="4218"/>
      <c r="G35" s="4219"/>
      <c r="H35" s="4218" t="s">
        <v>7034</v>
      </c>
      <c r="I35" s="4218"/>
      <c r="J35" s="4218"/>
      <c r="K35" s="4218"/>
      <c r="L35" s="4218"/>
      <c r="M35" s="4218"/>
    </row>
    <row r="36" spans="1:13" ht="12" customHeight="1">
      <c r="A36" s="4220" t="s">
        <v>901</v>
      </c>
      <c r="B36" s="4220"/>
      <c r="C36" s="4220"/>
      <c r="D36" s="4220"/>
      <c r="E36" s="4220"/>
      <c r="F36" s="4220"/>
      <c r="G36" s="4219"/>
      <c r="H36" s="4220" t="s">
        <v>1931</v>
      </c>
      <c r="I36" s="4220"/>
      <c r="J36" s="4220"/>
      <c r="K36" s="4220"/>
      <c r="L36" s="4220"/>
      <c r="M36" s="4220"/>
    </row>
    <row r="37" spans="1:13" ht="6" customHeight="1">
      <c r="A37" s="4219"/>
      <c r="B37" s="4219"/>
      <c r="C37" s="4219"/>
      <c r="D37" s="4219"/>
      <c r="E37" s="4219"/>
      <c r="F37" s="4219"/>
      <c r="G37" s="4219"/>
      <c r="H37" s="4219"/>
      <c r="I37" s="4219"/>
      <c r="J37" s="4219"/>
      <c r="K37" s="4219"/>
      <c r="L37" s="4219"/>
      <c r="M37" s="4219"/>
    </row>
    <row r="38" spans="1:13">
      <c r="A38" s="4218"/>
      <c r="B38" s="4218"/>
      <c r="C38" s="4218"/>
      <c r="D38" s="4218"/>
      <c r="E38" s="4218"/>
      <c r="F38" s="4218"/>
      <c r="G38" s="4219"/>
      <c r="H38" s="4221">
        <v>44000</v>
      </c>
      <c r="I38" s="4221"/>
      <c r="J38" s="4221"/>
      <c r="K38" s="4221"/>
      <c r="L38" s="4221"/>
      <c r="M38" s="4221"/>
    </row>
    <row r="39" spans="1:13" ht="12" customHeight="1">
      <c r="A39" s="4220" t="s">
        <v>902</v>
      </c>
      <c r="B39" s="4220"/>
      <c r="C39" s="4220"/>
      <c r="D39" s="4220"/>
      <c r="E39" s="4220"/>
      <c r="F39" s="4220"/>
      <c r="G39" s="4219"/>
      <c r="H39" s="4220" t="s">
        <v>903</v>
      </c>
      <c r="I39" s="4220"/>
      <c r="J39" s="4220"/>
      <c r="K39" s="4220"/>
      <c r="L39" s="4220"/>
      <c r="M39" s="4220"/>
    </row>
    <row r="40" spans="1:13" ht="3" customHeight="1">
      <c r="A40" s="4222"/>
      <c r="B40" s="4222"/>
      <c r="C40" s="4222"/>
      <c r="D40" s="4222"/>
      <c r="E40" s="4222"/>
      <c r="F40" s="4222"/>
      <c r="G40" s="4219"/>
      <c r="H40" s="4222"/>
      <c r="I40" s="4222"/>
      <c r="J40" s="4222"/>
      <c r="K40" s="4222"/>
      <c r="L40" s="4222"/>
      <c r="M40" s="4222"/>
    </row>
    <row r="41" spans="1:13" ht="11.4" customHeight="1">
      <c r="A41" s="4209"/>
      <c r="B41" s="4209"/>
      <c r="C41" s="4209"/>
      <c r="D41" s="4209"/>
      <c r="E41" s="4209"/>
      <c r="F41" s="4209"/>
      <c r="G41" s="4209"/>
      <c r="H41" s="4223" t="s">
        <v>904</v>
      </c>
      <c r="I41" s="4223"/>
      <c r="J41" s="4223"/>
      <c r="K41" s="4223"/>
      <c r="L41" s="4223"/>
      <c r="M41" s="4223"/>
    </row>
    <row r="42" spans="1:13" ht="11.4" customHeight="1">
      <c r="A42" s="4209"/>
      <c r="B42" s="4209"/>
      <c r="C42" s="4209"/>
      <c r="D42" s="4209"/>
      <c r="E42" s="4209"/>
      <c r="F42" s="4209"/>
      <c r="G42" s="4209"/>
    </row>
    <row r="43" spans="1:13" ht="11.4" customHeight="1">
      <c r="A43" s="4209"/>
      <c r="B43" s="4209"/>
      <c r="C43" s="4209"/>
      <c r="D43" s="4209"/>
      <c r="E43" s="4209"/>
      <c r="F43" s="4209"/>
      <c r="G43" s="4209"/>
      <c r="H43" s="4209"/>
      <c r="I43" s="4209"/>
      <c r="J43" s="4209"/>
      <c r="K43" s="4209"/>
      <c r="L43" s="4209"/>
      <c r="M43" s="4209"/>
    </row>
    <row r="44" spans="1:13" ht="11.4" customHeight="1">
      <c r="A44" s="4209"/>
      <c r="B44" s="4209"/>
      <c r="C44" s="4209"/>
      <c r="D44" s="4209"/>
      <c r="E44" s="4209"/>
      <c r="F44" s="4209"/>
      <c r="G44" s="4209"/>
      <c r="H44" s="4209"/>
      <c r="I44" s="4209"/>
      <c r="J44" s="4209"/>
      <c r="K44" s="4209"/>
      <c r="L44" s="4209"/>
      <c r="M44" s="4209"/>
    </row>
    <row r="45" spans="1:13" ht="11.4" customHeight="1"/>
    <row r="46" spans="1:13" ht="11.4" customHeight="1"/>
    <row r="47" spans="1:13" ht="11.4" customHeight="1"/>
    <row r="48" spans="1:13" ht="11.4" customHeight="1"/>
    <row r="49" ht="11.4" customHeight="1"/>
  </sheetData>
  <sheetProtection algorithmName="SHA-512" hashValue="12fPMfdSucfaQ2hpq8qESTDVmMxsk2OvFiLp3semx32lFJ0BOAB3qE0Y3pTXPqSPZCxxUvTHFAfyNOTkgUTkXQ==" saltValue="pr0LCEmaTE9bFItcMIRv0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18" t="s">
        <v>702</v>
      </c>
      <c r="B2" s="3419"/>
      <c r="C2" s="3419"/>
      <c r="D2" s="3419"/>
      <c r="E2" s="3419"/>
      <c r="F2" s="3419"/>
      <c r="G2" s="3419"/>
      <c r="H2" s="3419"/>
      <c r="I2" s="3419"/>
      <c r="J2" s="3419"/>
      <c r="K2" s="3419"/>
      <c r="L2" s="3419"/>
      <c r="M2" s="3419"/>
      <c r="N2" s="3419"/>
      <c r="O2" s="3419"/>
      <c r="P2" s="3419"/>
      <c r="Q2" s="3419"/>
      <c r="R2" s="342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1683</v>
      </c>
      <c r="B4" s="271"/>
      <c r="C4" s="271"/>
      <c r="D4" s="168"/>
      <c r="E4" s="168"/>
      <c r="F4" s="271" t="s">
        <v>1684</v>
      </c>
      <c r="G4" s="271"/>
      <c r="H4" s="168"/>
      <c r="I4" s="168"/>
      <c r="J4" s="271" t="s">
        <v>1685</v>
      </c>
      <c r="K4" s="271"/>
      <c r="L4" s="271"/>
      <c r="M4" s="271"/>
      <c r="N4" s="271"/>
      <c r="O4" s="271"/>
      <c r="P4" s="168"/>
      <c r="Q4" s="171" t="s">
        <v>2937</v>
      </c>
      <c r="R4" s="171" t="s">
        <v>1686</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1687</v>
      </c>
      <c r="B6" s="170"/>
      <c r="C6" s="170"/>
      <c r="D6" s="168"/>
      <c r="E6" s="168"/>
      <c r="F6" s="170" t="s">
        <v>496</v>
      </c>
      <c r="G6" s="170"/>
      <c r="H6" s="168"/>
      <c r="I6" s="168"/>
      <c r="J6" s="170" t="s">
        <v>1688</v>
      </c>
      <c r="K6" s="170"/>
      <c r="L6" s="170" t="s">
        <v>2692</v>
      </c>
      <c r="M6" s="170"/>
      <c r="N6" s="170"/>
      <c r="O6" s="170"/>
      <c r="P6" s="168"/>
      <c r="Q6" s="1012" t="s">
        <v>1689</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2694</v>
      </c>
      <c r="M7" s="170"/>
      <c r="N7" s="170"/>
      <c r="O7" s="170"/>
      <c r="P7" s="168"/>
      <c r="Q7" s="1018" t="s">
        <v>1689</v>
      </c>
      <c r="R7" s="607">
        <v>900000</v>
      </c>
      <c r="S7" s="168"/>
      <c r="U7" s="168"/>
      <c r="V7" s="894"/>
      <c r="W7" s="894"/>
      <c r="X7" s="171"/>
      <c r="AA7" s="502"/>
      <c r="AB7" s="502"/>
    </row>
    <row r="8" spans="1:28" s="270" customFormat="1" ht="11.4" customHeight="1">
      <c r="F8" s="170"/>
      <c r="G8" s="170"/>
      <c r="H8" s="168"/>
      <c r="I8" s="168"/>
      <c r="J8" s="170" t="s">
        <v>1229</v>
      </c>
      <c r="K8" s="170"/>
      <c r="L8" s="170"/>
      <c r="M8" s="170"/>
      <c r="N8" s="170"/>
      <c r="O8" s="170"/>
      <c r="P8" s="168"/>
      <c r="Q8" s="1012" t="s">
        <v>1689</v>
      </c>
      <c r="R8" s="1012">
        <v>1800000</v>
      </c>
      <c r="S8" s="168"/>
      <c r="T8" s="168"/>
      <c r="U8" s="168"/>
      <c r="V8" s="894"/>
      <c r="W8" s="894"/>
      <c r="X8" s="171"/>
      <c r="AA8" s="502"/>
      <c r="AB8" s="502"/>
    </row>
    <row r="9" spans="1:28" s="270" customFormat="1" ht="11.4" customHeight="1">
      <c r="F9" s="170" t="s">
        <v>2345</v>
      </c>
      <c r="G9" s="170"/>
      <c r="H9" s="168"/>
      <c r="I9" s="168"/>
      <c r="J9" s="170" t="s">
        <v>1718</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2321</v>
      </c>
      <c r="K10" s="170"/>
      <c r="L10" s="170"/>
      <c r="M10" s="170"/>
      <c r="N10" s="170"/>
      <c r="O10" s="170"/>
      <c r="P10" s="168"/>
      <c r="Q10" s="1012" t="s">
        <v>1689</v>
      </c>
      <c r="R10" s="1011">
        <v>0.25</v>
      </c>
      <c r="S10" s="168"/>
      <c r="T10" s="168"/>
      <c r="U10" s="168"/>
      <c r="V10" s="894"/>
      <c r="W10" s="894"/>
      <c r="X10" s="171"/>
      <c r="AA10" s="502"/>
      <c r="AB10" s="502"/>
    </row>
    <row r="11" spans="1:28" s="270" customFormat="1" ht="11.4" customHeight="1">
      <c r="A11" s="170"/>
      <c r="B11" s="170"/>
      <c r="C11" s="170"/>
      <c r="D11" s="168"/>
      <c r="E11" s="168"/>
      <c r="F11" s="170" t="s">
        <v>3459</v>
      </c>
      <c r="G11" s="170"/>
      <c r="H11" s="168"/>
      <c r="I11" s="168"/>
      <c r="J11" s="541" t="s">
        <v>3460</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3439</v>
      </c>
      <c r="K12" s="280"/>
      <c r="M12" s="280"/>
      <c r="N12" s="280"/>
      <c r="O12" s="170"/>
      <c r="Q12" s="3413">
        <v>0.1</v>
      </c>
      <c r="R12" s="3414"/>
      <c r="S12" s="291"/>
      <c r="T12" s="168"/>
      <c r="U12" s="168"/>
      <c r="V12" s="945"/>
      <c r="W12" s="945"/>
      <c r="X12" s="945"/>
      <c r="AA12" s="502"/>
      <c r="AB12" s="502"/>
    </row>
    <row r="13" spans="1:28" s="270" customFormat="1" ht="12.75" customHeight="1">
      <c r="A13" s="170"/>
      <c r="B13" s="170"/>
      <c r="C13" s="170"/>
      <c r="F13" s="1563" t="s">
        <v>2632</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21" t="s">
        <v>3250</v>
      </c>
      <c r="G20" s="3422"/>
      <c r="H20" s="3422"/>
      <c r="I20" s="3422"/>
      <c r="J20" s="3423"/>
      <c r="K20" s="280"/>
      <c r="L20" s="542" t="s">
        <v>3439</v>
      </c>
      <c r="M20" s="280"/>
      <c r="N20" s="3421" t="s">
        <v>3250</v>
      </c>
      <c r="O20" s="3422"/>
      <c r="P20" s="3422"/>
      <c r="Q20" s="3422"/>
      <c r="R20" s="3423"/>
      <c r="S20" s="291"/>
      <c r="T20" s="168"/>
      <c r="U20" s="168"/>
      <c r="V20" s="945"/>
      <c r="W20" s="945"/>
      <c r="X20" s="945"/>
      <c r="AA20" s="502"/>
      <c r="AB20" s="502"/>
    </row>
    <row r="21" spans="1:28" s="270" customFormat="1" ht="11.4" customHeight="1">
      <c r="A21" s="170"/>
      <c r="D21" s="543" t="s">
        <v>2544</v>
      </c>
      <c r="E21" s="543" t="s">
        <v>1269</v>
      </c>
      <c r="F21" s="544">
        <v>0</v>
      </c>
      <c r="G21" s="545">
        <v>1</v>
      </c>
      <c r="H21" s="1010">
        <v>2</v>
      </c>
      <c r="I21" s="1010">
        <v>3</v>
      </c>
      <c r="J21" s="546" t="s">
        <v>3247</v>
      </c>
      <c r="L21" s="543" t="s">
        <v>2544</v>
      </c>
      <c r="M21" s="543" t="s">
        <v>1269</v>
      </c>
      <c r="N21" s="544">
        <v>0</v>
      </c>
      <c r="O21" s="545">
        <v>1</v>
      </c>
      <c r="P21" s="1010">
        <v>2</v>
      </c>
      <c r="Q21" s="1010">
        <v>3</v>
      </c>
      <c r="R21" s="546" t="s">
        <v>3247</v>
      </c>
      <c r="S21" s="291"/>
      <c r="T21" s="168"/>
      <c r="U21" s="168"/>
      <c r="V21" s="945"/>
      <c r="W21" s="945"/>
      <c r="X21" s="945"/>
      <c r="AA21" s="502"/>
      <c r="AB21" s="502"/>
    </row>
    <row r="22" spans="1:28" s="270" customFormat="1" ht="11.4" customHeight="1">
      <c r="A22" s="170"/>
      <c r="C22" s="311"/>
      <c r="D22" s="965" t="s">
        <v>1737</v>
      </c>
      <c r="E22" s="965" t="s">
        <v>3249</v>
      </c>
      <c r="F22" s="966">
        <v>141961</v>
      </c>
      <c r="G22" s="966">
        <v>183643</v>
      </c>
      <c r="H22" s="966">
        <v>219722</v>
      </c>
      <c r="I22" s="966">
        <v>261937</v>
      </c>
      <c r="J22" s="966">
        <v>308633</v>
      </c>
      <c r="L22" s="291" t="s">
        <v>1737</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1737</v>
      </c>
      <c r="E23" s="965" t="s">
        <v>3246</v>
      </c>
      <c r="F23" s="966">
        <v>110685</v>
      </c>
      <c r="G23" s="966">
        <v>154960</v>
      </c>
      <c r="H23" s="966">
        <v>199234</v>
      </c>
      <c r="I23" s="966">
        <v>265645</v>
      </c>
      <c r="J23" s="966">
        <v>332056</v>
      </c>
      <c r="L23" s="291" t="s">
        <v>1737</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1737</v>
      </c>
      <c r="E24" s="965" t="s">
        <v>3244</v>
      </c>
      <c r="F24" s="966">
        <v>122254</v>
      </c>
      <c r="G24" s="966">
        <v>159614</v>
      </c>
      <c r="H24" s="966">
        <v>193408</v>
      </c>
      <c r="I24" s="966">
        <v>236016</v>
      </c>
      <c r="J24" s="966">
        <v>279942</v>
      </c>
      <c r="L24" s="291" t="s">
        <v>1737</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1737</v>
      </c>
      <c r="E25" s="965" t="s">
        <v>3245</v>
      </c>
      <c r="F25" s="966">
        <v>107479</v>
      </c>
      <c r="G25" s="966">
        <v>146778</v>
      </c>
      <c r="H25" s="966">
        <v>185800</v>
      </c>
      <c r="I25" s="966">
        <v>244830</v>
      </c>
      <c r="J25" s="966">
        <v>303475</v>
      </c>
      <c r="L25" s="291" t="s">
        <v>1737</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1178</v>
      </c>
      <c r="E30" s="955" t="s">
        <v>3249</v>
      </c>
      <c r="F30" s="956">
        <v>153887</v>
      </c>
      <c r="G30" s="956">
        <v>199173</v>
      </c>
      <c r="H30" s="956">
        <v>238374</v>
      </c>
      <c r="I30" s="956">
        <v>284279</v>
      </c>
      <c r="J30" s="956">
        <v>335059</v>
      </c>
      <c r="L30" s="541" t="s">
        <v>1178</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1178</v>
      </c>
      <c r="E31" s="955" t="s">
        <v>3246</v>
      </c>
      <c r="F31" s="956">
        <v>119960</v>
      </c>
      <c r="G31" s="956">
        <v>167943</v>
      </c>
      <c r="H31" s="956">
        <v>215927</v>
      </c>
      <c r="I31" s="956">
        <v>287903</v>
      </c>
      <c r="J31" s="956">
        <v>359879</v>
      </c>
      <c r="L31" s="541" t="s">
        <v>1178</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1178</v>
      </c>
      <c r="E32" s="955" t="s">
        <v>3244</v>
      </c>
      <c r="F32" s="956">
        <v>132042</v>
      </c>
      <c r="G32" s="956">
        <v>172539</v>
      </c>
      <c r="H32" s="956">
        <v>209207</v>
      </c>
      <c r="I32" s="956">
        <v>255548</v>
      </c>
      <c r="J32" s="956">
        <v>303256</v>
      </c>
      <c r="L32" s="541" t="s">
        <v>1178</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1178</v>
      </c>
      <c r="E33" s="955" t="s">
        <v>3245</v>
      </c>
      <c r="F33" s="956">
        <v>115690</v>
      </c>
      <c r="G33" s="956">
        <v>157874</v>
      </c>
      <c r="H33" s="956">
        <v>199750</v>
      </c>
      <c r="I33" s="956">
        <v>263115</v>
      </c>
      <c r="J33" s="956">
        <v>326053</v>
      </c>
      <c r="L33" s="541" t="s">
        <v>1178</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1302</v>
      </c>
      <c r="E34" s="959" t="s">
        <v>3249</v>
      </c>
      <c r="F34" s="960">
        <v>143742</v>
      </c>
      <c r="G34" s="960">
        <v>185791</v>
      </c>
      <c r="H34" s="960">
        <v>222188</v>
      </c>
      <c r="I34" s="960">
        <v>264716</v>
      </c>
      <c r="J34" s="960">
        <v>311757</v>
      </c>
      <c r="L34" s="541" t="s">
        <v>1302</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1302</v>
      </c>
      <c r="E35" s="959" t="s">
        <v>3246</v>
      </c>
      <c r="F35" s="960">
        <v>112110</v>
      </c>
      <c r="G35" s="960">
        <v>156955</v>
      </c>
      <c r="H35" s="960">
        <v>201799</v>
      </c>
      <c r="I35" s="960">
        <v>269065</v>
      </c>
      <c r="J35" s="960">
        <v>336331</v>
      </c>
      <c r="L35" s="541" t="s">
        <v>1302</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1302</v>
      </c>
      <c r="E36" s="959" t="s">
        <v>3244</v>
      </c>
      <c r="F36" s="960">
        <v>124509</v>
      </c>
      <c r="G36" s="960">
        <v>162342</v>
      </c>
      <c r="H36" s="960">
        <v>196508</v>
      </c>
      <c r="I36" s="960">
        <v>239420</v>
      </c>
      <c r="J36" s="960">
        <v>283757</v>
      </c>
      <c r="L36" s="541" t="s">
        <v>1302</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1302</v>
      </c>
      <c r="E37" s="959" t="s">
        <v>3245</v>
      </c>
      <c r="F37" s="960">
        <v>110053</v>
      </c>
      <c r="G37" s="960">
        <v>150472</v>
      </c>
      <c r="H37" s="960">
        <v>190620</v>
      </c>
      <c r="I37" s="960">
        <v>251326</v>
      </c>
      <c r="J37" s="960">
        <v>311657</v>
      </c>
      <c r="L37" s="541" t="s">
        <v>1302</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1488</v>
      </c>
      <c r="E38" s="983" t="s">
        <v>3249</v>
      </c>
      <c r="F38" s="825">
        <v>152106</v>
      </c>
      <c r="G38" s="825">
        <v>197025</v>
      </c>
      <c r="H38" s="825">
        <v>235908</v>
      </c>
      <c r="I38" s="825">
        <v>281500</v>
      </c>
      <c r="J38" s="825">
        <v>331935</v>
      </c>
      <c r="L38" s="983" t="s">
        <v>1488</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1488</v>
      </c>
      <c r="E39" s="983" t="s">
        <v>3246</v>
      </c>
      <c r="F39" s="825">
        <v>118535</v>
      </c>
      <c r="G39" s="825">
        <v>165949</v>
      </c>
      <c r="H39" s="825">
        <v>213362</v>
      </c>
      <c r="I39" s="825">
        <v>284483</v>
      </c>
      <c r="J39" s="825">
        <v>355604</v>
      </c>
      <c r="L39" s="983" t="s">
        <v>1488</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1488</v>
      </c>
      <c r="E40" s="983" t="s">
        <v>3244</v>
      </c>
      <c r="F40" s="825">
        <v>129787</v>
      </c>
      <c r="G40" s="825">
        <v>169811</v>
      </c>
      <c r="H40" s="825">
        <v>206107</v>
      </c>
      <c r="I40" s="825">
        <v>252144</v>
      </c>
      <c r="J40" s="825">
        <v>299441</v>
      </c>
      <c r="L40" s="983" t="s">
        <v>1488</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1488</v>
      </c>
      <c r="E41" s="983" t="s">
        <v>3245</v>
      </c>
      <c r="F41" s="825">
        <v>113115</v>
      </c>
      <c r="G41" s="825">
        <v>154180</v>
      </c>
      <c r="H41" s="825">
        <v>194931</v>
      </c>
      <c r="I41" s="825">
        <v>256619</v>
      </c>
      <c r="J41" s="825">
        <v>317872</v>
      </c>
      <c r="L41" s="983" t="s">
        <v>1488</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1292</v>
      </c>
      <c r="E46" s="963" t="s">
        <v>3249</v>
      </c>
      <c r="F46" s="964">
        <v>143648</v>
      </c>
      <c r="G46" s="964">
        <v>185876</v>
      </c>
      <c r="H46" s="964">
        <v>222430</v>
      </c>
      <c r="I46" s="964">
        <v>265219</v>
      </c>
      <c r="J46" s="964">
        <v>312550</v>
      </c>
      <c r="L46" s="541" t="s">
        <v>1292</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1292</v>
      </c>
      <c r="E47" s="963" t="s">
        <v>3246</v>
      </c>
      <c r="F47" s="964">
        <v>111989</v>
      </c>
      <c r="G47" s="964">
        <v>156784</v>
      </c>
      <c r="H47" s="964">
        <v>201579</v>
      </c>
      <c r="I47" s="964">
        <v>268773</v>
      </c>
      <c r="J47" s="964">
        <v>335966</v>
      </c>
      <c r="L47" s="541" t="s">
        <v>1292</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1292</v>
      </c>
      <c r="E48" s="963" t="s">
        <v>3244</v>
      </c>
      <c r="F48" s="964">
        <v>123466</v>
      </c>
      <c r="G48" s="964">
        <v>161269</v>
      </c>
      <c r="H48" s="964">
        <v>195482</v>
      </c>
      <c r="I48" s="964">
        <v>238673</v>
      </c>
      <c r="J48" s="964">
        <v>283167</v>
      </c>
      <c r="L48" s="541" t="s">
        <v>1292</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1292</v>
      </c>
      <c r="E49" s="963" t="s">
        <v>3245</v>
      </c>
      <c r="F49" s="964">
        <v>108347</v>
      </c>
      <c r="G49" s="964">
        <v>147905</v>
      </c>
      <c r="H49" s="964">
        <v>187179</v>
      </c>
      <c r="I49" s="964">
        <v>246598</v>
      </c>
      <c r="J49" s="964">
        <v>305623</v>
      </c>
      <c r="L49" s="541" t="s">
        <v>1292</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1298</v>
      </c>
      <c r="E50" s="955" t="s">
        <v>3249</v>
      </c>
      <c r="F50" s="956">
        <v>146202</v>
      </c>
      <c r="G50" s="956">
        <v>189206</v>
      </c>
      <c r="H50" s="956">
        <v>226431</v>
      </c>
      <c r="I50" s="956">
        <v>270015</v>
      </c>
      <c r="J50" s="956">
        <v>318226</v>
      </c>
      <c r="L50" s="541" t="s">
        <v>1298</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1298</v>
      </c>
      <c r="E51" s="955" t="s">
        <v>3246</v>
      </c>
      <c r="F51" s="956">
        <v>113974</v>
      </c>
      <c r="G51" s="956">
        <v>159563</v>
      </c>
      <c r="H51" s="956">
        <v>205153</v>
      </c>
      <c r="I51" s="956">
        <v>273537</v>
      </c>
      <c r="J51" s="956">
        <v>341921</v>
      </c>
      <c r="L51" s="541" t="s">
        <v>1298</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1298</v>
      </c>
      <c r="E52" s="955" t="s">
        <v>3244</v>
      </c>
      <c r="F52" s="956">
        <v>125545</v>
      </c>
      <c r="G52" s="956">
        <v>164019</v>
      </c>
      <c r="H52" s="956">
        <v>198849</v>
      </c>
      <c r="I52" s="956">
        <v>242845</v>
      </c>
      <c r="J52" s="956">
        <v>288152</v>
      </c>
      <c r="L52" s="541" t="s">
        <v>1298</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1298</v>
      </c>
      <c r="E53" s="955" t="s">
        <v>3245</v>
      </c>
      <c r="F53" s="956">
        <v>110076</v>
      </c>
      <c r="G53" s="956">
        <v>150237</v>
      </c>
      <c r="H53" s="956">
        <v>190106</v>
      </c>
      <c r="I53" s="956">
        <v>250432</v>
      </c>
      <c r="J53" s="956">
        <v>310354</v>
      </c>
      <c r="L53" s="541" t="s">
        <v>1298</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1653</v>
      </c>
      <c r="E54" s="959" t="s">
        <v>3249</v>
      </c>
      <c r="F54" s="960">
        <v>133316</v>
      </c>
      <c r="G54" s="960">
        <v>172665</v>
      </c>
      <c r="H54" s="960">
        <v>206728</v>
      </c>
      <c r="I54" s="960">
        <v>246660</v>
      </c>
      <c r="J54" s="960">
        <v>290833</v>
      </c>
      <c r="L54" s="541" t="s">
        <v>1653</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1653</v>
      </c>
      <c r="E55" s="959" t="s">
        <v>3246</v>
      </c>
      <c r="F55" s="960">
        <v>103896</v>
      </c>
      <c r="G55" s="960">
        <v>145454</v>
      </c>
      <c r="H55" s="960">
        <v>187013</v>
      </c>
      <c r="I55" s="960">
        <v>249350</v>
      </c>
      <c r="J55" s="960">
        <v>311688</v>
      </c>
      <c r="L55" s="541" t="s">
        <v>1653</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1653</v>
      </c>
      <c r="E56" s="959" t="s">
        <v>3244</v>
      </c>
      <c r="F56" s="960">
        <v>113846</v>
      </c>
      <c r="G56" s="960">
        <v>148926</v>
      </c>
      <c r="H56" s="960">
        <v>180731</v>
      </c>
      <c r="I56" s="960">
        <v>221052</v>
      </c>
      <c r="J56" s="960">
        <v>262488</v>
      </c>
      <c r="L56" s="541" t="s">
        <v>1653</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1653</v>
      </c>
      <c r="E57" s="959" t="s">
        <v>3245</v>
      </c>
      <c r="F57" s="960">
        <v>99297</v>
      </c>
      <c r="G57" s="960">
        <v>135369</v>
      </c>
      <c r="H57" s="960">
        <v>171167</v>
      </c>
      <c r="I57" s="960">
        <v>225354</v>
      </c>
      <c r="J57" s="960">
        <v>279161</v>
      </c>
      <c r="L57" s="541" t="s">
        <v>1653</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1683</v>
      </c>
      <c r="B60" s="271"/>
      <c r="C60" s="271"/>
      <c r="D60" s="168"/>
      <c r="E60" s="168"/>
      <c r="F60" s="271" t="s">
        <v>1684</v>
      </c>
      <c r="G60" s="271"/>
      <c r="H60" s="168"/>
      <c r="I60" s="168"/>
      <c r="J60" s="271" t="s">
        <v>1685</v>
      </c>
      <c r="K60" s="271"/>
      <c r="L60" s="271"/>
      <c r="M60" s="271"/>
      <c r="N60" s="271"/>
      <c r="O60" s="271"/>
      <c r="P60" s="168"/>
      <c r="Q60" s="171" t="s">
        <v>2937</v>
      </c>
      <c r="R60" s="171" t="s">
        <v>1686</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1168</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1168</v>
      </c>
      <c r="C63" s="170"/>
      <c r="D63" s="168"/>
      <c r="E63" s="168"/>
      <c r="F63" s="170" t="s">
        <v>1169</v>
      </c>
      <c r="G63" s="170" t="s">
        <v>3485</v>
      </c>
      <c r="H63" s="168"/>
      <c r="I63" s="168"/>
      <c r="J63" s="170" t="s">
        <v>1497</v>
      </c>
      <c r="K63" s="170"/>
      <c r="L63" s="170"/>
      <c r="M63" s="170"/>
      <c r="N63" s="170"/>
      <c r="O63" s="170"/>
      <c r="P63" s="168"/>
      <c r="Q63" s="1058">
        <v>5000</v>
      </c>
      <c r="R63" s="281" t="s">
        <v>1689</v>
      </c>
      <c r="S63" s="282"/>
      <c r="AA63" s="502"/>
      <c r="AB63" s="502"/>
    </row>
    <row r="64" spans="1:28" s="270" customFormat="1" ht="11.4" customHeight="1">
      <c r="A64" s="168"/>
      <c r="B64" s="170"/>
      <c r="C64" s="170"/>
      <c r="D64" s="168"/>
      <c r="E64" s="168"/>
      <c r="F64" s="170"/>
      <c r="G64" s="170" t="s">
        <v>3484</v>
      </c>
      <c r="H64" s="168"/>
      <c r="I64" s="168"/>
      <c r="J64" s="170" t="s">
        <v>1497</v>
      </c>
      <c r="K64" s="170"/>
      <c r="L64" s="170"/>
      <c r="M64" s="170"/>
      <c r="N64" s="170"/>
      <c r="O64" s="170"/>
      <c r="P64" s="168"/>
      <c r="Q64" s="1058">
        <v>4500</v>
      </c>
      <c r="R64" s="281" t="s">
        <v>1689</v>
      </c>
      <c r="S64" s="282"/>
      <c r="AA64" s="502"/>
      <c r="AB64" s="502"/>
    </row>
    <row r="65" spans="1:28" s="270" customFormat="1" ht="11.4" customHeight="1">
      <c r="A65" s="168"/>
      <c r="B65" s="170"/>
      <c r="C65" s="170"/>
      <c r="D65" s="168"/>
      <c r="E65" s="168"/>
      <c r="F65" s="170" t="s">
        <v>2530</v>
      </c>
      <c r="G65" s="170" t="s">
        <v>2544</v>
      </c>
      <c r="H65" s="168"/>
      <c r="I65" s="168"/>
      <c r="J65" s="170" t="s">
        <v>1497</v>
      </c>
      <c r="K65" s="170"/>
      <c r="L65" s="170"/>
      <c r="M65" s="170"/>
      <c r="N65" s="170"/>
      <c r="O65" s="170"/>
      <c r="P65" s="168"/>
      <c r="Q65" s="1058">
        <v>3750</v>
      </c>
      <c r="R65" s="281" t="s">
        <v>1689</v>
      </c>
      <c r="S65" s="282"/>
      <c r="AA65" s="502"/>
      <c r="AB65" s="502"/>
    </row>
    <row r="66" spans="1:28" s="270" customFormat="1" ht="11.4" customHeight="1">
      <c r="A66" s="170"/>
      <c r="B66" s="170"/>
      <c r="C66" s="170"/>
      <c r="D66" s="168"/>
      <c r="E66" s="168"/>
      <c r="G66" s="170" t="s">
        <v>2543</v>
      </c>
      <c r="H66" s="168"/>
      <c r="I66" s="168"/>
      <c r="J66" s="170" t="s">
        <v>1497</v>
      </c>
      <c r="K66" s="170"/>
      <c r="L66" s="170"/>
      <c r="M66" s="170"/>
      <c r="N66" s="170"/>
      <c r="O66" s="170"/>
      <c r="P66" s="168"/>
      <c r="Q66" s="1058">
        <v>3250</v>
      </c>
      <c r="R66" s="281" t="s">
        <v>1689</v>
      </c>
      <c r="S66" s="282"/>
      <c r="AA66" s="502"/>
      <c r="AB66" s="502"/>
    </row>
    <row r="67" spans="1:28" s="270" customFormat="1" ht="11.4" customHeight="1">
      <c r="A67" s="170"/>
      <c r="B67" s="170"/>
      <c r="C67" s="170"/>
      <c r="D67" s="168"/>
      <c r="E67" s="168"/>
      <c r="G67" s="170" t="s">
        <v>3694</v>
      </c>
      <c r="H67" s="168"/>
      <c r="I67" s="168"/>
      <c r="J67" s="170" t="s">
        <v>1497</v>
      </c>
      <c r="K67" s="170"/>
      <c r="L67" s="170"/>
      <c r="M67" s="170"/>
      <c r="N67" s="170"/>
      <c r="O67" s="170"/>
      <c r="P67" s="168"/>
      <c r="Q67" s="1058">
        <v>3000</v>
      </c>
      <c r="R67" s="281" t="s">
        <v>1689</v>
      </c>
      <c r="S67" s="282"/>
      <c r="T67" s="282"/>
      <c r="U67" s="282"/>
      <c r="AA67" s="502"/>
      <c r="AB67" s="502"/>
    </row>
    <row r="68" spans="1:28" s="270" customFormat="1" ht="11.4" customHeight="1">
      <c r="A68" s="170"/>
      <c r="B68" s="170" t="s">
        <v>1170</v>
      </c>
      <c r="C68" s="170"/>
      <c r="D68" s="168"/>
      <c r="E68" s="168"/>
      <c r="F68" s="170" t="s">
        <v>271</v>
      </c>
      <c r="G68" s="170"/>
      <c r="H68" s="168"/>
      <c r="I68" s="168"/>
      <c r="J68" s="170" t="s">
        <v>1497</v>
      </c>
      <c r="K68" s="170"/>
      <c r="L68" s="170"/>
      <c r="M68" s="170"/>
      <c r="N68" s="170"/>
      <c r="O68" s="170"/>
      <c r="P68" s="168"/>
      <c r="Q68" s="1059">
        <v>350</v>
      </c>
      <c r="R68" s="281" t="s">
        <v>1689</v>
      </c>
      <c r="S68" s="282"/>
      <c r="T68" s="282"/>
      <c r="U68" s="282"/>
      <c r="AA68" s="502"/>
      <c r="AB68" s="502"/>
    </row>
    <row r="69" spans="1:28" s="270" customFormat="1" ht="11.4" customHeight="1">
      <c r="A69" s="170"/>
      <c r="B69" s="170"/>
      <c r="C69" s="170"/>
      <c r="D69" s="168"/>
      <c r="E69" s="168"/>
      <c r="F69" s="170" t="s">
        <v>1171</v>
      </c>
      <c r="G69" s="170"/>
      <c r="H69" s="168"/>
      <c r="I69" s="168"/>
      <c r="J69" s="170" t="s">
        <v>1497</v>
      </c>
      <c r="K69" s="170"/>
      <c r="L69" s="170"/>
      <c r="M69" s="170"/>
      <c r="N69" s="170"/>
      <c r="O69" s="170"/>
      <c r="P69" s="168"/>
      <c r="Q69" s="1059">
        <v>250</v>
      </c>
      <c r="R69" s="281" t="s">
        <v>1689</v>
      </c>
      <c r="S69" s="282"/>
      <c r="T69" s="282"/>
      <c r="U69" s="282"/>
      <c r="AA69" s="502"/>
      <c r="AB69" s="502"/>
    </row>
    <row r="70" spans="1:28" s="270" customFormat="1" ht="11.4" customHeight="1">
      <c r="A70" s="170"/>
      <c r="B70" s="170"/>
      <c r="C70" s="170"/>
      <c r="D70" s="170"/>
      <c r="E70" s="168"/>
      <c r="F70" s="170" t="s">
        <v>3314</v>
      </c>
      <c r="G70" s="170"/>
      <c r="H70" s="168"/>
      <c r="I70" s="168"/>
      <c r="J70" s="170" t="s">
        <v>1497</v>
      </c>
      <c r="K70" s="170"/>
      <c r="L70" s="170"/>
      <c r="M70" s="170"/>
      <c r="N70" s="170"/>
      <c r="O70" s="170"/>
      <c r="P70" s="168"/>
      <c r="Q70" s="1059">
        <v>420</v>
      </c>
      <c r="R70" s="281" t="s">
        <v>1689</v>
      </c>
      <c r="S70" s="282"/>
      <c r="T70" s="282"/>
      <c r="U70" s="282"/>
      <c r="AA70" s="502"/>
      <c r="AB70" s="502"/>
    </row>
    <row r="71" spans="1:28" s="270" customFormat="1" ht="11.4" customHeight="1">
      <c r="A71" s="170"/>
      <c r="B71" s="170"/>
      <c r="C71" s="170"/>
      <c r="D71" s="170"/>
      <c r="E71" s="168"/>
      <c r="F71" s="170" t="s">
        <v>360</v>
      </c>
      <c r="G71" s="170"/>
      <c r="H71" s="168"/>
      <c r="I71" s="168"/>
      <c r="J71" s="170" t="s">
        <v>1497</v>
      </c>
      <c r="K71" s="170"/>
      <c r="L71" s="170"/>
      <c r="M71" s="170"/>
      <c r="N71" s="170"/>
      <c r="O71" s="170"/>
      <c r="P71" s="168"/>
      <c r="Q71" s="1059">
        <v>420</v>
      </c>
      <c r="R71" s="281" t="s">
        <v>1689</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1172</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741</v>
      </c>
      <c r="C74" s="170"/>
      <c r="D74" s="168"/>
      <c r="E74" s="168"/>
      <c r="F74" s="170" t="s">
        <v>271</v>
      </c>
      <c r="G74" s="170"/>
      <c r="H74" s="168"/>
      <c r="I74" s="168"/>
      <c r="J74" s="170" t="s">
        <v>3643</v>
      </c>
      <c r="K74" s="170"/>
      <c r="L74" s="170"/>
      <c r="M74" s="170"/>
      <c r="N74" s="170"/>
      <c r="O74" s="170"/>
      <c r="P74" s="168"/>
      <c r="Q74" s="1012">
        <v>25000</v>
      </c>
      <c r="R74" s="281" t="s">
        <v>495</v>
      </c>
      <c r="S74" s="282"/>
      <c r="T74" s="282"/>
      <c r="U74" s="282"/>
      <c r="AA74" s="502"/>
      <c r="AB74" s="502"/>
    </row>
    <row r="75" spans="1:28" s="270" customFormat="1" ht="11.4" customHeight="1">
      <c r="A75" s="170"/>
      <c r="B75" s="170" t="s">
        <v>1912</v>
      </c>
      <c r="C75" s="170"/>
      <c r="D75" s="168"/>
      <c r="E75" s="168"/>
      <c r="F75" s="170" t="s">
        <v>1171</v>
      </c>
      <c r="G75" s="170"/>
      <c r="H75" s="168"/>
      <c r="I75" s="168"/>
      <c r="J75" s="170" t="s">
        <v>3695</v>
      </c>
      <c r="K75" s="170"/>
      <c r="L75" s="170"/>
      <c r="M75" s="170"/>
      <c r="N75" s="170"/>
      <c r="O75" s="170"/>
      <c r="P75" s="168"/>
      <c r="Q75" s="1011" t="s">
        <v>947</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947</v>
      </c>
      <c r="R76" s="1011">
        <v>0.1</v>
      </c>
      <c r="S76" s="282"/>
      <c r="T76" s="282"/>
      <c r="U76" s="282"/>
      <c r="AA76" s="502"/>
      <c r="AB76" s="502"/>
    </row>
    <row r="77" spans="1:28" s="270" customFormat="1" ht="11.4" customHeight="1">
      <c r="A77" s="170"/>
      <c r="B77" s="170" t="s">
        <v>1988</v>
      </c>
      <c r="C77" s="170"/>
      <c r="D77" s="168"/>
      <c r="E77" s="168"/>
      <c r="F77" s="170" t="s">
        <v>1689</v>
      </c>
      <c r="G77" s="170"/>
      <c r="H77" s="168"/>
      <c r="I77" s="168"/>
      <c r="J77" s="170" t="s">
        <v>3696</v>
      </c>
      <c r="K77" s="170"/>
      <c r="L77" s="170"/>
      <c r="M77" s="170"/>
      <c r="N77" s="170"/>
      <c r="O77" s="170"/>
      <c r="P77" s="168"/>
      <c r="Q77" s="281" t="s">
        <v>1689</v>
      </c>
      <c r="R77" s="1011">
        <v>0.06</v>
      </c>
      <c r="S77" s="282"/>
      <c r="T77" s="282"/>
      <c r="U77" s="282"/>
      <c r="AA77" s="502"/>
      <c r="AB77" s="502"/>
    </row>
    <row r="78" spans="1:28" s="270" customFormat="1" ht="11.4" customHeight="1">
      <c r="A78" s="170"/>
      <c r="B78" s="170" t="s">
        <v>1989</v>
      </c>
      <c r="C78" s="170"/>
      <c r="D78" s="168"/>
      <c r="E78" s="168"/>
      <c r="F78" s="170" t="s">
        <v>1689</v>
      </c>
      <c r="G78" s="170"/>
      <c r="H78" s="168"/>
      <c r="I78" s="168"/>
      <c r="J78" s="170" t="s">
        <v>3696</v>
      </c>
      <c r="K78" s="170"/>
      <c r="L78" s="170"/>
      <c r="M78" s="170"/>
      <c r="N78" s="170"/>
      <c r="O78" s="170"/>
      <c r="P78" s="168"/>
      <c r="Q78" s="281" t="s">
        <v>1689</v>
      </c>
      <c r="R78" s="1011">
        <v>0.02</v>
      </c>
      <c r="S78" s="282"/>
      <c r="T78" s="282"/>
      <c r="U78" s="282"/>
      <c r="AA78" s="502"/>
      <c r="AB78" s="502"/>
    </row>
    <row r="79" spans="1:28" s="270" customFormat="1" ht="11.4" customHeight="1">
      <c r="A79" s="170"/>
      <c r="B79" s="170" t="s">
        <v>2719</v>
      </c>
      <c r="C79" s="170"/>
      <c r="D79" s="168"/>
      <c r="E79" s="168"/>
      <c r="F79" s="170" t="s">
        <v>1689</v>
      </c>
      <c r="G79" s="170"/>
      <c r="H79" s="168"/>
      <c r="I79" s="168"/>
      <c r="J79" s="170" t="s">
        <v>3696</v>
      </c>
      <c r="K79" s="170"/>
      <c r="L79" s="170"/>
      <c r="M79" s="170"/>
      <c r="N79" s="170"/>
      <c r="O79" s="170"/>
      <c r="P79" s="168"/>
      <c r="Q79" s="281" t="s">
        <v>1689</v>
      </c>
      <c r="R79" s="1011">
        <v>0.06</v>
      </c>
      <c r="S79" s="282"/>
      <c r="T79" s="282"/>
      <c r="U79" s="282"/>
      <c r="AA79" s="502"/>
      <c r="AB79" s="502"/>
    </row>
    <row r="80" spans="1:28" s="270" customFormat="1" ht="11.4" customHeight="1">
      <c r="A80" s="170"/>
      <c r="B80" s="170" t="s">
        <v>1265</v>
      </c>
      <c r="C80" s="170"/>
      <c r="D80" s="168"/>
      <c r="E80" s="168"/>
      <c r="F80" s="170" t="s">
        <v>1104</v>
      </c>
      <c r="G80" s="170"/>
      <c r="H80" s="168"/>
      <c r="I80" s="168"/>
      <c r="J80" s="170"/>
      <c r="K80" s="170"/>
      <c r="L80" s="170"/>
      <c r="M80" s="170"/>
      <c r="N80" s="170"/>
      <c r="O80" s="170"/>
      <c r="P80" s="168"/>
      <c r="Q80" s="281" t="s">
        <v>1689</v>
      </c>
      <c r="R80" s="1019">
        <v>20000</v>
      </c>
      <c r="S80" s="282"/>
      <c r="T80" s="282"/>
      <c r="U80" s="282"/>
      <c r="AA80" s="502"/>
      <c r="AB80" s="502"/>
    </row>
    <row r="81" spans="1:28" s="270" customFormat="1" ht="11.4" customHeight="1">
      <c r="A81" s="168"/>
      <c r="B81" s="282" t="s">
        <v>3629</v>
      </c>
      <c r="C81" s="170"/>
      <c r="D81" s="170"/>
      <c r="E81" s="168"/>
      <c r="F81" s="172" t="s">
        <v>3356</v>
      </c>
      <c r="G81" s="170"/>
      <c r="H81" s="168"/>
      <c r="I81" s="168"/>
      <c r="J81" s="170" t="s">
        <v>1173</v>
      </c>
      <c r="K81" s="170"/>
      <c r="L81" s="170"/>
      <c r="M81" s="170"/>
      <c r="N81" s="170"/>
      <c r="O81" s="170"/>
      <c r="P81" s="168"/>
      <c r="Q81" s="3424">
        <v>1000</v>
      </c>
      <c r="R81" s="3425"/>
      <c r="S81" s="282"/>
      <c r="T81" s="282"/>
      <c r="U81" s="282"/>
      <c r="AA81" s="502"/>
      <c r="AB81" s="502"/>
    </row>
    <row r="82" spans="1:28" s="270" customFormat="1" ht="11.4" customHeight="1">
      <c r="A82" s="170"/>
      <c r="B82" s="170"/>
      <c r="C82" s="170"/>
      <c r="D82" s="170"/>
      <c r="E82" s="168"/>
      <c r="G82" s="170"/>
      <c r="H82" s="168"/>
      <c r="I82" s="168"/>
      <c r="J82" s="170" t="s">
        <v>1174</v>
      </c>
      <c r="K82" s="170"/>
      <c r="L82" s="170"/>
      <c r="M82" s="170"/>
      <c r="N82" s="170"/>
      <c r="O82" s="170"/>
      <c r="P82" s="168"/>
      <c r="Q82" s="3424">
        <v>500</v>
      </c>
      <c r="R82" s="3425"/>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24">
        <v>1500</v>
      </c>
      <c r="R83" s="3425"/>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24">
        <v>1500</v>
      </c>
      <c r="R84" s="3425"/>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24">
        <v>1500</v>
      </c>
      <c r="R85" s="3425"/>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24">
        <v>1500</v>
      </c>
      <c r="R86" s="3425"/>
      <c r="S86" s="282"/>
      <c r="T86" s="282"/>
      <c r="U86" s="282"/>
      <c r="AA86" s="502"/>
      <c r="AB86" s="502"/>
    </row>
    <row r="87" spans="1:28" s="270" customFormat="1" ht="11.4" customHeight="1">
      <c r="A87" s="170"/>
      <c r="B87" s="170"/>
      <c r="C87" s="170"/>
      <c r="D87" s="170"/>
      <c r="E87" s="168"/>
      <c r="F87" s="172" t="s">
        <v>4232</v>
      </c>
      <c r="G87" s="170"/>
      <c r="H87" s="168"/>
      <c r="I87" s="168"/>
      <c r="J87" s="170" t="s">
        <v>1173</v>
      </c>
      <c r="K87" s="170"/>
      <c r="L87" s="170"/>
      <c r="M87" s="170"/>
      <c r="N87" s="170"/>
      <c r="O87" s="170"/>
      <c r="P87" s="168"/>
      <c r="Q87" s="3424">
        <v>6500</v>
      </c>
      <c r="R87" s="3425"/>
      <c r="S87" s="282"/>
      <c r="T87" s="282"/>
      <c r="U87" s="282"/>
      <c r="AA87" s="502"/>
      <c r="AB87" s="502"/>
    </row>
    <row r="88" spans="1:28" s="270" customFormat="1" ht="11.4" customHeight="1">
      <c r="A88" s="170"/>
      <c r="B88" s="170"/>
      <c r="C88" s="170"/>
      <c r="D88" s="170"/>
      <c r="E88" s="168"/>
      <c r="F88" s="172" t="s">
        <v>4232</v>
      </c>
      <c r="G88" s="170"/>
      <c r="H88" s="168"/>
      <c r="I88" s="168"/>
      <c r="J88" s="170" t="s">
        <v>1174</v>
      </c>
      <c r="K88" s="170"/>
      <c r="L88" s="170"/>
      <c r="M88" s="170"/>
      <c r="N88" s="170"/>
      <c r="O88" s="170"/>
      <c r="P88" s="168"/>
      <c r="Q88" s="3424">
        <v>5500</v>
      </c>
      <c r="R88" s="3425"/>
      <c r="S88" s="282"/>
      <c r="T88" s="282"/>
      <c r="U88" s="282"/>
      <c r="AA88" s="502"/>
      <c r="AB88" s="502"/>
    </row>
    <row r="89" spans="1:28" s="270" customFormat="1" ht="11.4" customHeight="1">
      <c r="A89" s="170"/>
      <c r="B89" s="170"/>
      <c r="C89" s="170"/>
      <c r="D89" s="170"/>
      <c r="E89" s="168"/>
      <c r="F89" s="172" t="s">
        <v>3322</v>
      </c>
      <c r="G89" s="170"/>
      <c r="H89" s="168"/>
      <c r="I89" s="168"/>
      <c r="J89" s="170"/>
      <c r="K89" s="170"/>
      <c r="L89" s="170"/>
      <c r="M89" s="170"/>
      <c r="N89" s="170"/>
      <c r="O89" s="170"/>
      <c r="P89" s="168"/>
      <c r="Q89" s="3424">
        <v>5000</v>
      </c>
      <c r="R89" s="3425"/>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24">
        <v>500</v>
      </c>
      <c r="R90" s="3425"/>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24">
        <v>1500</v>
      </c>
      <c r="R91" s="3425"/>
      <c r="S91" s="282"/>
      <c r="T91" s="282"/>
      <c r="U91" s="282"/>
      <c r="AA91" s="502"/>
      <c r="AB91" s="502"/>
    </row>
    <row r="92" spans="1:28" s="270" customFormat="1" ht="11.4" customHeight="1">
      <c r="A92" s="170"/>
      <c r="C92" s="170"/>
      <c r="D92" s="168"/>
      <c r="E92" s="168"/>
      <c r="F92" s="172" t="s">
        <v>925</v>
      </c>
      <c r="H92" s="170"/>
      <c r="I92" s="168"/>
      <c r="J92" s="170" t="s">
        <v>926</v>
      </c>
      <c r="K92" s="170"/>
      <c r="L92" s="170"/>
      <c r="M92" s="170"/>
      <c r="N92" s="170"/>
      <c r="O92" s="170"/>
      <c r="P92" s="168"/>
      <c r="Q92" s="3417">
        <v>0.08</v>
      </c>
      <c r="R92" s="3417"/>
      <c r="S92" s="282"/>
      <c r="T92" s="282"/>
      <c r="U92" s="282"/>
      <c r="AA92" s="502"/>
      <c r="AB92" s="502"/>
    </row>
    <row r="93" spans="1:28" s="270" customFormat="1" ht="11.4" customHeight="1">
      <c r="A93" s="170"/>
      <c r="C93" s="170"/>
      <c r="D93" s="168"/>
      <c r="E93" s="168"/>
      <c r="F93" s="172" t="s">
        <v>927</v>
      </c>
      <c r="H93" s="170"/>
      <c r="I93" s="168"/>
      <c r="J93" s="170" t="s">
        <v>926</v>
      </c>
      <c r="K93" s="170"/>
      <c r="L93" s="170"/>
      <c r="M93" s="170"/>
      <c r="N93" s="170"/>
      <c r="O93" s="170"/>
      <c r="P93" s="168"/>
      <c r="Q93" s="3417">
        <v>0.08</v>
      </c>
      <c r="R93" s="3417"/>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24">
        <v>3000</v>
      </c>
      <c r="R94" s="3425"/>
      <c r="S94" s="282"/>
      <c r="T94" s="282"/>
      <c r="U94" s="282"/>
      <c r="AA94" s="502"/>
      <c r="AB94" s="502"/>
    </row>
    <row r="95" spans="1:28" s="270" customFormat="1" ht="11.4" customHeight="1">
      <c r="A95" s="170"/>
      <c r="C95" s="170"/>
      <c r="D95" s="168"/>
      <c r="E95" s="168"/>
      <c r="F95" s="172" t="s">
        <v>3642</v>
      </c>
      <c r="H95" s="170"/>
      <c r="I95" s="168"/>
      <c r="J95" s="170"/>
      <c r="K95" s="170"/>
      <c r="L95" s="170"/>
      <c r="M95" s="170"/>
      <c r="N95" s="170"/>
      <c r="O95" s="170"/>
      <c r="P95" s="168"/>
      <c r="Q95" s="3424">
        <v>1500</v>
      </c>
      <c r="R95" s="3425"/>
      <c r="S95" s="282"/>
      <c r="T95" s="282"/>
      <c r="U95" s="282"/>
      <c r="AA95" s="502"/>
      <c r="AB95" s="502"/>
    </row>
    <row r="96" spans="1:28" s="270" customFormat="1" ht="11.4" customHeight="1">
      <c r="A96" s="170"/>
      <c r="C96" s="170"/>
      <c r="D96" s="168"/>
      <c r="E96" s="168"/>
      <c r="F96" s="170" t="s">
        <v>928</v>
      </c>
      <c r="H96" s="170" t="s">
        <v>1577</v>
      </c>
      <c r="I96" s="168"/>
      <c r="J96" s="170" t="s">
        <v>1497</v>
      </c>
      <c r="K96" s="170"/>
      <c r="L96" s="170"/>
      <c r="M96" s="170"/>
      <c r="N96" s="170"/>
      <c r="O96" s="170"/>
      <c r="P96" s="168"/>
      <c r="Q96" s="3424">
        <v>800</v>
      </c>
      <c r="R96" s="3425"/>
      <c r="S96" s="282"/>
      <c r="T96" s="282"/>
      <c r="U96" s="282"/>
      <c r="AA96" s="502"/>
      <c r="AB96" s="502"/>
    </row>
    <row r="97" spans="1:28" s="270" customFormat="1" ht="11.4" customHeight="1">
      <c r="A97" s="170"/>
      <c r="C97" s="170"/>
      <c r="D97" s="168"/>
      <c r="E97" s="168"/>
      <c r="F97" s="170"/>
      <c r="H97" s="170"/>
      <c r="I97" s="170" t="s">
        <v>4234</v>
      </c>
      <c r="J97" s="170" t="s">
        <v>1497</v>
      </c>
      <c r="K97" s="170"/>
      <c r="L97" s="170"/>
      <c r="M97" s="170"/>
      <c r="N97" s="170"/>
      <c r="O97" s="170"/>
      <c r="P97" s="168"/>
      <c r="Q97" s="3424">
        <v>1000</v>
      </c>
      <c r="R97" s="3425"/>
      <c r="S97" s="282"/>
      <c r="T97" s="282"/>
      <c r="U97" s="282"/>
      <c r="AA97" s="502"/>
      <c r="AB97" s="502"/>
    </row>
    <row r="98" spans="1:28" s="270" customFormat="1" ht="11.4" customHeight="1">
      <c r="A98" s="170"/>
      <c r="B98" s="170"/>
      <c r="C98" s="170"/>
      <c r="D98" s="168"/>
      <c r="E98" s="168"/>
      <c r="H98" s="172" t="s">
        <v>2604</v>
      </c>
      <c r="I98" s="293"/>
      <c r="J98" s="172" t="s">
        <v>1497</v>
      </c>
      <c r="K98" s="172" t="s">
        <v>3655</v>
      </c>
      <c r="L98" s="172"/>
      <c r="M98" s="172"/>
      <c r="N98" s="172"/>
      <c r="O98" s="172"/>
      <c r="P98" s="293"/>
      <c r="Q98" s="3424">
        <v>800</v>
      </c>
      <c r="R98" s="3425"/>
      <c r="S98" s="282"/>
      <c r="T98" s="282"/>
      <c r="U98" s="282"/>
      <c r="AA98" s="502"/>
      <c r="AB98" s="502"/>
    </row>
    <row r="99" spans="1:28" s="270" customFormat="1" ht="11.4" customHeight="1">
      <c r="A99" s="170"/>
      <c r="B99" s="170"/>
      <c r="C99" s="170"/>
      <c r="D99" s="168"/>
      <c r="E99" s="168"/>
      <c r="H99" s="170" t="s">
        <v>2724</v>
      </c>
      <c r="I99" s="168"/>
      <c r="J99" s="170" t="s">
        <v>2603</v>
      </c>
      <c r="K99" s="170"/>
      <c r="L99" s="170"/>
      <c r="M99" s="170"/>
      <c r="N99" s="170"/>
      <c r="O99" s="170"/>
      <c r="P99" s="168"/>
      <c r="Q99" s="3424">
        <v>1500</v>
      </c>
      <c r="R99" s="3425"/>
      <c r="S99" s="282"/>
      <c r="T99" s="282"/>
      <c r="U99" s="282"/>
      <c r="AA99" s="502"/>
      <c r="AB99" s="502"/>
    </row>
    <row r="100" spans="1:28" s="270" customFormat="1" ht="11.4" customHeight="1">
      <c r="A100" s="170"/>
      <c r="B100" s="170"/>
      <c r="C100" s="170"/>
      <c r="D100" s="168"/>
      <c r="E100" s="168"/>
      <c r="F100" s="170" t="s">
        <v>3840</v>
      </c>
      <c r="I100" s="168"/>
      <c r="J100" s="170" t="s">
        <v>4236</v>
      </c>
      <c r="K100" s="170"/>
      <c r="L100" s="170"/>
      <c r="M100" s="170"/>
      <c r="N100" s="170"/>
      <c r="O100" s="170"/>
      <c r="P100" s="168"/>
      <c r="Q100" s="281">
        <v>750</v>
      </c>
      <c r="R100" s="281" t="s">
        <v>1689</v>
      </c>
      <c r="S100" s="282"/>
      <c r="T100" s="282"/>
      <c r="U100" s="282"/>
      <c r="AA100" s="502"/>
      <c r="AB100" s="502"/>
    </row>
    <row r="101" spans="1:28" s="270" customFormat="1" ht="11.4" customHeight="1">
      <c r="A101" s="170"/>
      <c r="B101" s="170"/>
      <c r="C101" s="170"/>
      <c r="D101" s="168"/>
      <c r="E101" s="168"/>
      <c r="F101" s="170" t="s">
        <v>4235</v>
      </c>
      <c r="I101" s="168"/>
      <c r="J101" s="170" t="s">
        <v>1718</v>
      </c>
      <c r="K101" s="170"/>
      <c r="L101" s="170"/>
      <c r="M101" s="170"/>
      <c r="N101" s="170"/>
      <c r="O101" s="170"/>
      <c r="P101" s="168"/>
      <c r="Q101" s="3424">
        <v>3000</v>
      </c>
      <c r="R101" s="3425"/>
      <c r="S101" s="282"/>
      <c r="T101" s="282"/>
      <c r="U101" s="282"/>
      <c r="AA101" s="502"/>
      <c r="AB101" s="502"/>
    </row>
    <row r="102" spans="1:28" s="270" customFormat="1" ht="11.4" customHeight="1">
      <c r="A102" s="170"/>
      <c r="B102" s="172"/>
      <c r="C102" s="170"/>
      <c r="D102" s="168"/>
      <c r="E102" s="168"/>
      <c r="F102" s="170" t="s">
        <v>3323</v>
      </c>
      <c r="I102" s="168"/>
      <c r="J102" s="170" t="s">
        <v>3324</v>
      </c>
      <c r="K102" s="170"/>
      <c r="L102" s="170" t="s">
        <v>2723</v>
      </c>
      <c r="M102" s="170"/>
      <c r="N102" s="170"/>
      <c r="O102" s="170"/>
      <c r="P102" s="168"/>
      <c r="Q102" s="3424">
        <v>75</v>
      </c>
      <c r="R102" s="3425"/>
      <c r="S102" s="282"/>
      <c r="T102" s="282"/>
      <c r="U102" s="282"/>
      <c r="AA102" s="502"/>
      <c r="AB102" s="502"/>
    </row>
    <row r="103" spans="1:28" customFormat="1" ht="11.25" customHeight="1">
      <c r="B103" s="170" t="s">
        <v>1814</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32">
        <v>25000</v>
      </c>
      <c r="R104" s="3432"/>
    </row>
    <row r="105" spans="1:28" customFormat="1" ht="11.25" customHeight="1">
      <c r="B105" s="27"/>
      <c r="C105" s="27"/>
      <c r="F105" s="158"/>
      <c r="G105" s="27"/>
      <c r="H105" s="1576"/>
      <c r="I105" s="27"/>
      <c r="J105" s="1582">
        <v>51</v>
      </c>
      <c r="K105" s="1584">
        <v>70</v>
      </c>
      <c r="Q105" s="3431">
        <v>20000</v>
      </c>
      <c r="R105" s="3431"/>
    </row>
    <row r="106" spans="1:28" customFormat="1" ht="11.25" customHeight="1">
      <c r="B106" s="27"/>
      <c r="C106" s="27"/>
      <c r="F106" s="158"/>
      <c r="G106" s="27"/>
      <c r="H106" s="1576"/>
      <c r="I106" s="27"/>
      <c r="J106" s="1582">
        <v>71</v>
      </c>
      <c r="K106" s="1583"/>
      <c r="Q106" s="3430">
        <v>15000</v>
      </c>
      <c r="R106" s="3430"/>
    </row>
    <row r="107" spans="1:28" customFormat="1" ht="11.25" customHeight="1">
      <c r="B107" s="27"/>
      <c r="C107" s="27"/>
      <c r="F107" s="27"/>
      <c r="G107" s="27"/>
      <c r="H107" s="1575">
        <v>0.04</v>
      </c>
      <c r="I107" s="27"/>
      <c r="J107" s="1582">
        <v>1</v>
      </c>
      <c r="K107" s="1584">
        <v>100</v>
      </c>
      <c r="Q107" s="3432">
        <v>18000</v>
      </c>
      <c r="R107" s="3432"/>
    </row>
    <row r="108" spans="1:28" customFormat="1" ht="11.25" customHeight="1">
      <c r="B108" s="27"/>
      <c r="C108" s="27"/>
      <c r="F108" s="27"/>
      <c r="G108" s="27"/>
      <c r="H108" s="1577"/>
      <c r="I108" s="27"/>
      <c r="J108" s="1582">
        <v>101</v>
      </c>
      <c r="K108" s="1584">
        <v>130</v>
      </c>
      <c r="Q108" s="3431">
        <v>15500</v>
      </c>
      <c r="R108" s="3431"/>
    </row>
    <row r="109" spans="1:28" customFormat="1" ht="11.25" customHeight="1">
      <c r="B109" s="27"/>
      <c r="C109" s="27"/>
      <c r="F109" s="27"/>
      <c r="G109" s="27"/>
      <c r="H109" s="1577"/>
      <c r="I109" s="27"/>
      <c r="J109" s="1582">
        <v>131</v>
      </c>
      <c r="K109" s="1583"/>
      <c r="Q109" s="3430">
        <v>13000</v>
      </c>
      <c r="R109" s="3430"/>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33">
        <v>2000000</v>
      </c>
      <c r="R112" s="3433"/>
    </row>
    <row r="113" spans="1:28" customFormat="1" ht="11.25" customHeight="1">
      <c r="B113" s="27"/>
      <c r="C113" s="27"/>
      <c r="F113" s="27"/>
      <c r="G113" s="27"/>
      <c r="H113" s="1579">
        <v>0.04</v>
      </c>
      <c r="I113" s="1571"/>
      <c r="J113" s="27"/>
      <c r="Q113" s="3433">
        <v>3500000</v>
      </c>
      <c r="R113" s="3433"/>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28">
        <v>3500000</v>
      </c>
      <c r="R115" s="3429"/>
      <c r="S115" s="282"/>
      <c r="T115" s="282"/>
      <c r="U115" s="282"/>
      <c r="AA115" s="502"/>
      <c r="AB115" s="502"/>
    </row>
    <row r="116" spans="1:28" s="270" customFormat="1" ht="13.8" hidden="1">
      <c r="A116" s="170"/>
      <c r="B116" s="170"/>
      <c r="C116" s="170"/>
      <c r="D116" s="168"/>
      <c r="E116" s="168"/>
      <c r="F116" s="170" t="s">
        <v>1672</v>
      </c>
      <c r="G116" s="170"/>
      <c r="H116" s="170" t="s">
        <v>2235</v>
      </c>
      <c r="I116" s="168"/>
      <c r="J116" s="170" t="s">
        <v>952</v>
      </c>
      <c r="K116" s="170"/>
      <c r="L116" s="170"/>
      <c r="M116" s="170"/>
      <c r="N116" s="170"/>
      <c r="O116" s="170"/>
      <c r="P116" s="168"/>
      <c r="Q116" s="3426">
        <v>0.15</v>
      </c>
      <c r="R116" s="3427"/>
      <c r="S116" s="282"/>
      <c r="T116" s="282"/>
      <c r="U116" s="282"/>
      <c r="AA116" s="502"/>
      <c r="AB116" s="502"/>
    </row>
    <row r="117" spans="1:28" s="270" customFormat="1" ht="13.8" hidden="1">
      <c r="A117" s="170"/>
      <c r="B117" s="382"/>
      <c r="C117" s="170"/>
      <c r="D117" s="168"/>
      <c r="E117" s="168"/>
      <c r="F117" s="170"/>
      <c r="G117" s="170"/>
      <c r="H117" s="170" t="s">
        <v>3463</v>
      </c>
      <c r="I117" s="170" t="s">
        <v>949</v>
      </c>
      <c r="J117" s="170" t="s">
        <v>951</v>
      </c>
      <c r="K117" s="170"/>
      <c r="L117" s="170"/>
      <c r="M117" s="170"/>
      <c r="N117" s="170"/>
      <c r="O117" s="170"/>
      <c r="P117" s="168"/>
      <c r="Q117" s="3426">
        <v>0.15</v>
      </c>
      <c r="R117" s="3427"/>
      <c r="S117" s="282"/>
      <c r="T117" s="282"/>
      <c r="U117" s="282"/>
      <c r="AA117" s="502"/>
      <c r="AB117" s="502"/>
    </row>
    <row r="118" spans="1:28" s="270" customFormat="1" ht="13.8" hidden="1">
      <c r="A118" s="170"/>
      <c r="B118" s="382"/>
      <c r="C118" s="170"/>
      <c r="D118" s="168"/>
      <c r="E118" s="168"/>
      <c r="F118" s="170"/>
      <c r="G118" s="170"/>
      <c r="H118" s="170"/>
      <c r="I118" s="170" t="s">
        <v>950</v>
      </c>
      <c r="J118" s="170" t="s">
        <v>953</v>
      </c>
      <c r="K118" s="170"/>
      <c r="L118" s="170"/>
      <c r="M118" s="170"/>
      <c r="N118" s="170"/>
      <c r="O118" s="170"/>
      <c r="P118" s="168"/>
      <c r="Q118" s="3426">
        <v>0.15</v>
      </c>
      <c r="R118" s="3427"/>
      <c r="S118" s="282"/>
      <c r="T118" s="282"/>
      <c r="U118" s="282"/>
      <c r="AA118" s="502"/>
      <c r="AB118" s="502"/>
    </row>
    <row r="119" spans="1:28" s="270" customFormat="1" ht="13.8" hidden="1">
      <c r="A119" s="170"/>
      <c r="B119" s="382"/>
      <c r="C119" s="170"/>
      <c r="D119" s="168"/>
      <c r="E119" s="168"/>
      <c r="F119" s="170"/>
      <c r="G119" s="170"/>
      <c r="H119" s="170" t="s">
        <v>948</v>
      </c>
      <c r="I119" s="168"/>
      <c r="J119" s="170" t="s">
        <v>953</v>
      </c>
      <c r="K119" s="170"/>
      <c r="L119" s="170"/>
      <c r="M119" s="170"/>
      <c r="N119" s="170"/>
      <c r="O119" s="170"/>
      <c r="P119" s="168"/>
      <c r="Q119" s="3426">
        <v>0.15</v>
      </c>
      <c r="R119" s="3427"/>
      <c r="S119" s="282"/>
      <c r="T119" s="282"/>
      <c r="U119" s="282"/>
      <c r="AA119" s="502"/>
      <c r="AB119" s="502"/>
    </row>
    <row r="120" spans="1:28" s="270" customFormat="1" ht="13.8" hidden="1">
      <c r="A120" s="170"/>
      <c r="B120" s="382"/>
      <c r="C120" s="170"/>
      <c r="D120" s="168"/>
      <c r="E120" s="168"/>
      <c r="F120" s="170"/>
      <c r="G120" s="170"/>
      <c r="H120" s="170"/>
      <c r="I120" s="170" t="s">
        <v>954</v>
      </c>
      <c r="J120" s="170" t="s">
        <v>955</v>
      </c>
      <c r="K120" s="170"/>
      <c r="L120" s="170"/>
      <c r="M120" s="170"/>
      <c r="N120" s="170"/>
      <c r="O120" s="170"/>
      <c r="P120" s="168"/>
      <c r="Q120" s="3426">
        <v>0.15</v>
      </c>
      <c r="R120" s="3427"/>
      <c r="S120" s="282"/>
      <c r="T120" s="282"/>
      <c r="U120" s="282"/>
      <c r="AA120" s="502"/>
      <c r="AB120" s="502"/>
    </row>
    <row r="121" spans="1:28" s="270" customFormat="1" ht="13.8" hidden="1">
      <c r="A121" s="170"/>
      <c r="B121" s="382"/>
      <c r="C121" s="170"/>
      <c r="D121" s="168"/>
      <c r="E121" s="168"/>
      <c r="F121" s="170" t="s">
        <v>1714</v>
      </c>
      <c r="G121" s="170"/>
      <c r="H121" s="170"/>
      <c r="I121" s="168"/>
      <c r="J121" s="170" t="s">
        <v>2309</v>
      </c>
      <c r="K121" s="170"/>
      <c r="L121" s="170"/>
      <c r="M121" s="170"/>
      <c r="N121" s="170"/>
      <c r="O121" s="170"/>
      <c r="P121" s="168"/>
      <c r="Q121" s="3426">
        <v>0.15</v>
      </c>
      <c r="R121" s="3427"/>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26" t="s">
        <v>2311</v>
      </c>
      <c r="R122" s="3427"/>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1715</v>
      </c>
      <c r="C125" s="170"/>
      <c r="D125" s="170"/>
      <c r="E125" s="170"/>
      <c r="F125" s="170"/>
      <c r="G125" s="170"/>
      <c r="H125" s="168"/>
      <c r="I125" s="168"/>
      <c r="J125" s="170" t="s">
        <v>1716</v>
      </c>
      <c r="K125" s="170"/>
      <c r="L125" s="170"/>
      <c r="M125" s="170"/>
      <c r="N125" s="170"/>
      <c r="O125" s="170"/>
      <c r="P125" s="168"/>
      <c r="Q125" s="283">
        <v>6</v>
      </c>
      <c r="R125" s="281" t="s">
        <v>1689</v>
      </c>
      <c r="S125" s="282"/>
      <c r="T125" s="282"/>
      <c r="U125" s="282"/>
      <c r="AA125" s="502"/>
      <c r="AB125" s="502"/>
    </row>
    <row r="126" spans="1:28" s="270" customFormat="1" ht="11.4" customHeight="1">
      <c r="A126" s="170"/>
      <c r="B126" s="170"/>
      <c r="C126" s="170"/>
      <c r="D126" s="170"/>
      <c r="E126" s="170"/>
      <c r="F126" s="170"/>
      <c r="G126" s="170"/>
      <c r="H126" s="168"/>
      <c r="I126" s="168"/>
      <c r="J126" s="170" t="s">
        <v>1717</v>
      </c>
      <c r="K126" s="170"/>
      <c r="L126" s="170"/>
      <c r="M126" s="170"/>
      <c r="N126" s="170"/>
      <c r="O126" s="170"/>
      <c r="P126" s="168"/>
      <c r="Q126" s="283">
        <v>6</v>
      </c>
      <c r="R126" s="281" t="s">
        <v>1689</v>
      </c>
      <c r="S126" s="282"/>
      <c r="T126" s="282"/>
      <c r="U126" s="282"/>
      <c r="AA126" s="502"/>
      <c r="AB126" s="502"/>
    </row>
    <row r="127" spans="1:28" s="270" customFormat="1" ht="11.4" customHeight="1">
      <c r="A127" s="170"/>
      <c r="B127" s="384" t="s">
        <v>1985</v>
      </c>
      <c r="C127" s="170"/>
      <c r="D127" s="168"/>
      <c r="E127" s="168"/>
      <c r="F127" s="170"/>
      <c r="G127" s="170"/>
      <c r="I127" s="168"/>
      <c r="J127" s="170" t="s">
        <v>1986</v>
      </c>
      <c r="K127" s="170"/>
      <c r="L127" s="170"/>
      <c r="M127" s="170"/>
      <c r="N127" s="170"/>
      <c r="O127" s="170"/>
      <c r="P127" s="168"/>
      <c r="Q127" s="283">
        <v>3</v>
      </c>
      <c r="R127" s="281" t="s">
        <v>1689</v>
      </c>
      <c r="S127" s="282"/>
      <c r="T127" s="282"/>
      <c r="U127" s="282"/>
      <c r="AA127" s="502"/>
      <c r="AB127" s="502"/>
    </row>
    <row r="128" spans="1:28" s="270" customFormat="1" ht="11.4" customHeight="1">
      <c r="A128" s="170"/>
      <c r="B128" s="172" t="s">
        <v>3357</v>
      </c>
      <c r="C128" s="170"/>
      <c r="D128" s="168"/>
      <c r="E128" s="170"/>
      <c r="F128" s="170"/>
      <c r="G128" s="170"/>
      <c r="H128" s="168"/>
      <c r="I128" s="168"/>
      <c r="J128" s="170" t="s">
        <v>1718</v>
      </c>
      <c r="K128" s="170"/>
      <c r="L128" s="170"/>
      <c r="M128" s="170"/>
      <c r="N128" s="170"/>
      <c r="O128" s="170"/>
      <c r="P128" s="168"/>
      <c r="Q128" s="3424">
        <v>3000</v>
      </c>
      <c r="R128" s="3425"/>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1683</v>
      </c>
      <c r="B130" s="271"/>
      <c r="C130" s="271"/>
      <c r="D130" s="168"/>
      <c r="E130" s="168"/>
      <c r="F130" s="271" t="s">
        <v>1684</v>
      </c>
      <c r="G130" s="271"/>
      <c r="H130" s="168"/>
      <c r="I130" s="168"/>
      <c r="J130" s="271" t="s">
        <v>1685</v>
      </c>
      <c r="K130" s="271"/>
      <c r="L130" s="271"/>
      <c r="M130" s="271"/>
      <c r="N130" s="271"/>
      <c r="O130" s="271"/>
      <c r="P130" s="168"/>
      <c r="Q130" s="171" t="s">
        <v>2937</v>
      </c>
      <c r="R130" s="171" t="s">
        <v>1686</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1719</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1720</v>
      </c>
      <c r="C136" s="170"/>
      <c r="D136" s="170"/>
      <c r="E136" s="170"/>
      <c r="F136" s="170"/>
      <c r="G136" s="170"/>
      <c r="H136" s="170"/>
      <c r="J136" s="170" t="s">
        <v>1721</v>
      </c>
      <c r="K136" s="170"/>
      <c r="L136" s="170"/>
      <c r="M136" s="170"/>
      <c r="N136" s="170"/>
      <c r="O136" s="170"/>
      <c r="Q136" s="3417">
        <v>0.02</v>
      </c>
      <c r="R136" s="3417"/>
      <c r="AA136" s="502"/>
      <c r="AB136" s="502"/>
    </row>
    <row r="137" spans="1:28" s="282" customFormat="1" ht="11.4" customHeight="1">
      <c r="A137" s="170"/>
      <c r="B137" s="170" t="s">
        <v>1722</v>
      </c>
      <c r="C137" s="170"/>
      <c r="D137" s="170"/>
      <c r="E137" s="170"/>
      <c r="F137" s="170"/>
      <c r="G137" s="170"/>
      <c r="H137" s="170"/>
      <c r="J137" s="170" t="s">
        <v>1721</v>
      </c>
      <c r="K137" s="170"/>
      <c r="L137" s="170"/>
      <c r="M137" s="170"/>
      <c r="N137" s="170"/>
      <c r="O137" s="170"/>
      <c r="Q137" s="3417">
        <v>7.0000000000000007E-2</v>
      </c>
      <c r="R137" s="3417"/>
      <c r="AA137" s="502"/>
      <c r="AB137" s="502"/>
    </row>
    <row r="138" spans="1:28" s="282" customFormat="1" ht="11.4" customHeight="1">
      <c r="A138" s="170"/>
      <c r="B138" s="170" t="s">
        <v>1723</v>
      </c>
      <c r="C138" s="170"/>
      <c r="D138" s="170"/>
      <c r="E138" s="170"/>
      <c r="F138" s="170"/>
      <c r="G138" s="170"/>
      <c r="H138" s="170"/>
      <c r="J138" s="170" t="s">
        <v>1721</v>
      </c>
      <c r="K138" s="170"/>
      <c r="L138" s="170"/>
      <c r="M138" s="170"/>
      <c r="N138" s="170"/>
      <c r="O138" s="170"/>
      <c r="Q138" s="3417">
        <v>7.0000000000000007E-2</v>
      </c>
      <c r="R138" s="3417"/>
      <c r="AA138" s="502"/>
      <c r="AB138" s="502"/>
    </row>
    <row r="139" spans="1:28" s="270" customFormat="1" ht="11.4" customHeight="1">
      <c r="A139" s="170"/>
      <c r="B139" s="170" t="s">
        <v>131</v>
      </c>
      <c r="C139" s="170"/>
      <c r="D139" s="168"/>
      <c r="E139" s="168"/>
      <c r="F139" s="168"/>
      <c r="G139" s="170"/>
      <c r="H139" s="168"/>
      <c r="I139" s="168"/>
      <c r="J139" s="170" t="s">
        <v>1721</v>
      </c>
      <c r="K139" s="170"/>
      <c r="L139" s="170"/>
      <c r="M139" s="170"/>
      <c r="N139" s="170"/>
      <c r="O139" s="170"/>
      <c r="P139" s="168"/>
      <c r="Q139" s="3417">
        <v>0.03</v>
      </c>
      <c r="R139" s="3417"/>
      <c r="S139" s="282"/>
      <c r="T139" s="282"/>
      <c r="U139" s="282"/>
      <c r="AA139" s="502"/>
      <c r="AB139" s="502"/>
    </row>
    <row r="140" spans="1:28" s="270" customFormat="1" ht="11.4" customHeight="1">
      <c r="A140" s="170"/>
      <c r="B140" s="170" t="s">
        <v>132</v>
      </c>
      <c r="C140" s="170"/>
      <c r="D140" s="168"/>
      <c r="E140" s="168"/>
      <c r="F140" s="168"/>
      <c r="G140" s="170"/>
      <c r="H140" s="168"/>
      <c r="I140" s="168"/>
      <c r="J140" s="170" t="s">
        <v>1721</v>
      </c>
      <c r="K140" s="170"/>
      <c r="L140" s="170"/>
      <c r="M140" s="170"/>
      <c r="N140" s="170"/>
      <c r="O140" s="170"/>
      <c r="P140" s="168"/>
      <c r="Q140" s="3417">
        <v>0.03</v>
      </c>
      <c r="R140" s="3417"/>
      <c r="S140" s="282"/>
      <c r="T140" s="282"/>
      <c r="U140" s="282"/>
      <c r="AA140" s="502"/>
      <c r="AB140" s="502"/>
    </row>
    <row r="141" spans="1:28" s="270" customFormat="1" ht="11.4" customHeight="1">
      <c r="A141" s="170"/>
      <c r="B141" s="170" t="s">
        <v>133</v>
      </c>
      <c r="C141" s="170"/>
      <c r="D141" s="168"/>
      <c r="E141" s="168"/>
      <c r="F141" s="168"/>
      <c r="G141" s="170"/>
      <c r="H141" s="168"/>
      <c r="I141" s="168"/>
      <c r="J141" s="170" t="s">
        <v>1721</v>
      </c>
      <c r="K141" s="170"/>
      <c r="L141" s="170"/>
      <c r="M141" s="170"/>
      <c r="N141" s="170"/>
      <c r="O141" s="170"/>
      <c r="P141" s="168"/>
      <c r="Q141" s="3417">
        <v>0</v>
      </c>
      <c r="R141" s="341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2600</v>
      </c>
      <c r="B143" s="170"/>
      <c r="C143" s="170"/>
      <c r="D143" s="168"/>
      <c r="E143" s="168"/>
      <c r="F143" s="170" t="s">
        <v>496</v>
      </c>
      <c r="G143" s="170"/>
      <c r="H143" s="170" t="s">
        <v>2531</v>
      </c>
      <c r="I143" s="168"/>
      <c r="J143" s="170" t="s">
        <v>2602</v>
      </c>
      <c r="K143" s="170"/>
      <c r="L143" s="170"/>
      <c r="M143" s="170"/>
      <c r="N143" s="170"/>
      <c r="O143" s="170"/>
      <c r="P143" s="168"/>
      <c r="Q143" s="3417">
        <v>0.1</v>
      </c>
      <c r="R143" s="3417"/>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16">
        <v>1000000</v>
      </c>
      <c r="R144" s="3416"/>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16">
        <v>1500000</v>
      </c>
      <c r="R145" s="3416"/>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16">
        <v>375000</v>
      </c>
      <c r="R146" s="3416"/>
      <c r="S146" s="276"/>
      <c r="T146" s="276"/>
      <c r="U146" s="168"/>
      <c r="V146" s="945"/>
      <c r="W146" s="945"/>
      <c r="X146" s="945"/>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16"/>
      <c r="R147" s="3416"/>
      <c r="S147" s="276"/>
      <c r="T147" s="276"/>
      <c r="U147" s="168"/>
      <c r="V147" s="945"/>
      <c r="W147" s="945"/>
      <c r="X147" s="945"/>
      <c r="AA147" s="502"/>
      <c r="AB147" s="502"/>
    </row>
    <row r="148" spans="1:28" s="270" customFormat="1" ht="11.4" customHeight="1">
      <c r="A148" s="170"/>
      <c r="B148" s="170"/>
      <c r="C148" s="170"/>
      <c r="D148" s="168"/>
      <c r="E148" s="168"/>
      <c r="F148" s="170" t="s">
        <v>2345</v>
      </c>
      <c r="G148" s="170"/>
      <c r="H148" s="170" t="s">
        <v>2601</v>
      </c>
      <c r="I148" s="168"/>
      <c r="J148" s="170" t="s">
        <v>3693</v>
      </c>
      <c r="K148" s="170"/>
      <c r="L148" s="170"/>
      <c r="M148" s="170"/>
      <c r="N148" s="170"/>
      <c r="O148" s="170"/>
      <c r="P148" s="168"/>
      <c r="Q148" s="3416">
        <v>4000000</v>
      </c>
      <c r="R148" s="3416"/>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4229</v>
      </c>
      <c r="K151" s="170"/>
      <c r="L151" s="170"/>
      <c r="M151" s="170"/>
      <c r="N151" s="170"/>
      <c r="O151" s="170"/>
      <c r="P151" s="168"/>
      <c r="Q151" s="3417">
        <v>0.35</v>
      </c>
      <c r="R151" s="3417"/>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17" t="s">
        <v>2722</v>
      </c>
      <c r="R152" s="3417"/>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3509</v>
      </c>
      <c r="B154" s="170"/>
      <c r="C154" s="170"/>
      <c r="D154" s="168"/>
      <c r="E154" s="168"/>
      <c r="F154" s="170" t="s">
        <v>3512</v>
      </c>
      <c r="G154" s="170"/>
      <c r="H154" s="168"/>
      <c r="I154" s="168"/>
      <c r="J154" s="170" t="s">
        <v>3513</v>
      </c>
      <c r="K154" s="170"/>
      <c r="L154" s="170"/>
      <c r="M154" s="170"/>
      <c r="N154" s="170"/>
      <c r="O154" s="170"/>
      <c r="P154" s="168"/>
      <c r="Q154" s="3417">
        <v>0.05</v>
      </c>
      <c r="R154" s="3417"/>
      <c r="S154" s="168"/>
      <c r="T154" s="168"/>
      <c r="U154" s="168"/>
      <c r="V154" s="894"/>
      <c r="W154" s="894"/>
      <c r="X154" s="171"/>
      <c r="AA154" s="502"/>
      <c r="AB154" s="502"/>
    </row>
    <row r="155" spans="1:28" s="270" customFormat="1" ht="12.75" customHeight="1">
      <c r="A155" s="275"/>
      <c r="B155" s="170"/>
      <c r="C155" s="170"/>
      <c r="D155" s="168"/>
      <c r="E155" s="168"/>
      <c r="F155" s="170"/>
      <c r="G155" s="170" t="s">
        <v>3510</v>
      </c>
      <c r="H155" s="168"/>
      <c r="I155" s="168"/>
      <c r="J155" s="170" t="s">
        <v>3514</v>
      </c>
      <c r="K155" s="170"/>
      <c r="L155" s="170"/>
      <c r="M155" s="170"/>
      <c r="N155" s="170"/>
      <c r="O155" s="170"/>
      <c r="P155" s="168"/>
      <c r="Q155" s="3417">
        <v>0.4</v>
      </c>
      <c r="R155" s="3417"/>
      <c r="S155" s="168"/>
      <c r="T155" s="168"/>
      <c r="U155" s="168"/>
      <c r="V155" s="894"/>
      <c r="W155" s="894"/>
      <c r="X155" s="171"/>
      <c r="AA155" s="502"/>
      <c r="AB155" s="502"/>
    </row>
    <row r="156" spans="1:28" s="270" customFormat="1" ht="12.75" customHeight="1">
      <c r="A156" s="275"/>
      <c r="B156" s="170"/>
      <c r="C156" s="170"/>
      <c r="D156" s="168"/>
      <c r="E156" s="168"/>
      <c r="F156" s="170" t="s">
        <v>3511</v>
      </c>
      <c r="G156" s="170"/>
      <c r="H156" s="168"/>
      <c r="I156" s="168"/>
      <c r="J156" s="170" t="s">
        <v>3513</v>
      </c>
      <c r="K156" s="170"/>
      <c r="L156" s="170"/>
      <c r="M156" s="170"/>
      <c r="N156" s="170"/>
      <c r="O156" s="170"/>
      <c r="P156" s="168"/>
      <c r="Q156" s="3417">
        <v>0.02</v>
      </c>
      <c r="R156" s="3417"/>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783</v>
      </c>
      <c r="K159" s="379"/>
      <c r="L159" s="268"/>
    </row>
    <row r="160" spans="1:28" ht="13.8">
      <c r="C160" s="170"/>
      <c r="D160" s="168"/>
      <c r="J160" s="380" t="s">
        <v>786</v>
      </c>
      <c r="K160" s="380" t="s">
        <v>784</v>
      </c>
      <c r="L160" s="381" t="s">
        <v>785</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15" t="s">
        <v>3826</v>
      </c>
      <c r="E169" s="282"/>
      <c r="F169" s="282"/>
    </row>
    <row r="170" spans="2:37" ht="10.5" customHeight="1">
      <c r="C170" s="3415"/>
      <c r="E170" s="282"/>
      <c r="F170" s="282"/>
    </row>
    <row r="171" spans="2:37" ht="10.5" customHeight="1">
      <c r="C171" s="3415"/>
      <c r="D171" s="1138" t="s">
        <v>4738</v>
      </c>
      <c r="E171" s="579"/>
      <c r="F171" s="282"/>
    </row>
    <row r="172" spans="2:37" ht="39.75" customHeight="1">
      <c r="C172" s="478" t="s">
        <v>1252</v>
      </c>
      <c r="D172" s="378" t="s">
        <v>1012</v>
      </c>
      <c r="E172" s="282"/>
      <c r="F172" s="526" t="s">
        <v>1753</v>
      </c>
      <c r="G172" s="526" t="s">
        <v>1180</v>
      </c>
      <c r="H172" s="526" t="s">
        <v>1181</v>
      </c>
      <c r="I172" s="527" t="s">
        <v>1182</v>
      </c>
      <c r="J172" s="527" t="s">
        <v>1127</v>
      </c>
      <c r="K172" s="526" t="s">
        <v>417</v>
      </c>
      <c r="L172" s="528" t="s">
        <v>1134</v>
      </c>
      <c r="M172" s="528" t="s">
        <v>2675</v>
      </c>
      <c r="N172" s="528" t="s">
        <v>3661</v>
      </c>
      <c r="O172" s="528" t="s">
        <v>3926</v>
      </c>
      <c r="P172" s="526" t="s">
        <v>2338</v>
      </c>
      <c r="Q172" s="526"/>
      <c r="R172" s="170"/>
      <c r="S172" s="387"/>
      <c r="T172" s="1407" t="s">
        <v>599</v>
      </c>
      <c r="U172" s="529" t="s">
        <v>600</v>
      </c>
      <c r="W172" s="558" t="s">
        <v>3275</v>
      </c>
      <c r="Z172" s="427"/>
      <c r="AA172" s="427"/>
      <c r="AB172" s="158"/>
      <c r="AC172" s="502"/>
      <c r="AD172" s="502"/>
      <c r="AE172" s="158"/>
      <c r="AF172" s="158"/>
      <c r="AG172" s="158"/>
      <c r="AH172" s="158"/>
      <c r="AI172" s="158"/>
      <c r="AJ172" s="158"/>
      <c r="AK172" s="158"/>
    </row>
    <row r="173" spans="2:37" ht="10.5" customHeight="1">
      <c r="B173" s="282"/>
      <c r="C173" s="376" t="s">
        <v>1737</v>
      </c>
      <c r="D173" s="439">
        <v>53400</v>
      </c>
      <c r="E173" s="282"/>
      <c r="F173" s="282" t="s">
        <v>818</v>
      </c>
      <c r="G173" s="967" t="s">
        <v>1183</v>
      </c>
      <c r="H173" s="967" t="s">
        <v>1184</v>
      </c>
      <c r="I173" s="968" t="s">
        <v>1185</v>
      </c>
      <c r="J173" s="968" t="s">
        <v>2543</v>
      </c>
      <c r="K173" s="969" t="s">
        <v>1135</v>
      </c>
      <c r="L173" s="970" t="s">
        <v>415</v>
      </c>
      <c r="M173" s="1049" t="s">
        <v>2530</v>
      </c>
      <c r="N173" s="1049" t="s">
        <v>1298</v>
      </c>
      <c r="O173" s="1207" t="s">
        <v>3927</v>
      </c>
      <c r="P173" s="530" t="s">
        <v>1489</v>
      </c>
      <c r="Q173" s="291"/>
      <c r="R173" s="170"/>
      <c r="S173" s="387"/>
      <c r="T173" s="491" t="s">
        <v>2674</v>
      </c>
      <c r="U173" s="491" t="s">
        <v>1574</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1185</v>
      </c>
      <c r="D174" s="439">
        <v>49300</v>
      </c>
      <c r="E174" s="282"/>
      <c r="F174" s="282" t="s">
        <v>817</v>
      </c>
      <c r="G174" s="967" t="s">
        <v>1732</v>
      </c>
      <c r="H174" s="967" t="s">
        <v>1184</v>
      </c>
      <c r="I174" s="968" t="s">
        <v>1733</v>
      </c>
      <c r="J174" s="968" t="s">
        <v>2543</v>
      </c>
      <c r="K174" s="969" t="s">
        <v>1136</v>
      </c>
      <c r="L174" s="970" t="s">
        <v>415</v>
      </c>
      <c r="M174" s="1049" t="s">
        <v>2530</v>
      </c>
      <c r="N174" s="1049" t="s">
        <v>1653</v>
      </c>
      <c r="O174" s="1207" t="s">
        <v>3928</v>
      </c>
      <c r="P174" s="530" t="s">
        <v>1491</v>
      </c>
      <c r="Q174" s="291"/>
      <c r="R174" s="170"/>
      <c r="S174" s="387"/>
      <c r="T174" s="491" t="s">
        <v>2339</v>
      </c>
      <c r="U174" s="491" t="s">
        <v>1902</v>
      </c>
      <c r="W174" s="427" t="s">
        <v>1490</v>
      </c>
      <c r="X174" s="427" t="s">
        <v>3276</v>
      </c>
      <c r="Z174" s="427"/>
      <c r="AA174" s="158"/>
      <c r="AB174" s="158"/>
      <c r="AC174" s="889"/>
      <c r="AD174" s="502"/>
      <c r="AE174" s="158"/>
      <c r="AF174" s="158"/>
      <c r="AG174" s="158"/>
      <c r="AH174" s="158"/>
      <c r="AI174" s="158"/>
      <c r="AJ174" s="158"/>
      <c r="AK174" s="158"/>
    </row>
    <row r="175" spans="2:37" ht="10.5" customHeight="1">
      <c r="B175" s="282"/>
      <c r="C175" s="376" t="s">
        <v>1013</v>
      </c>
      <c r="D175" s="439">
        <v>66700</v>
      </c>
      <c r="E175" s="282"/>
      <c r="F175" s="282" t="s">
        <v>820</v>
      </c>
      <c r="G175" s="967" t="s">
        <v>1734</v>
      </c>
      <c r="H175" s="967" t="s">
        <v>1184</v>
      </c>
      <c r="I175" s="968" t="s">
        <v>1735</v>
      </c>
      <c r="J175" s="968" t="s">
        <v>2543</v>
      </c>
      <c r="K175" s="969" t="s">
        <v>1137</v>
      </c>
      <c r="L175" s="970" t="s">
        <v>415</v>
      </c>
      <c r="M175" s="1049" t="s">
        <v>2530</v>
      </c>
      <c r="N175" s="1049" t="s">
        <v>1653</v>
      </c>
      <c r="O175" s="1207" t="s">
        <v>3929</v>
      </c>
      <c r="P175" s="530" t="s">
        <v>453</v>
      </c>
      <c r="Q175" s="291"/>
      <c r="R175" s="170"/>
      <c r="S175" s="387"/>
      <c r="T175" s="491" t="s">
        <v>1490</v>
      </c>
      <c r="U175" s="491" t="s">
        <v>2420</v>
      </c>
      <c r="W175" s="427" t="s">
        <v>922</v>
      </c>
      <c r="X175" s="427" t="s">
        <v>3276</v>
      </c>
      <c r="Z175" s="427"/>
      <c r="AA175" s="158"/>
      <c r="AB175" s="158"/>
      <c r="AC175" s="889"/>
      <c r="AD175" s="502"/>
      <c r="AE175" s="158"/>
      <c r="AF175" s="158"/>
      <c r="AG175" s="158"/>
      <c r="AH175" s="158"/>
      <c r="AI175" s="158"/>
      <c r="AJ175" s="158"/>
      <c r="AK175" s="158"/>
    </row>
    <row r="176" spans="2:37" ht="10.5" customHeight="1">
      <c r="B176" s="282"/>
      <c r="C176" s="376" t="s">
        <v>1733</v>
      </c>
      <c r="D176" s="439">
        <v>37200</v>
      </c>
      <c r="E176" s="282"/>
      <c r="F176" s="282" t="s">
        <v>819</v>
      </c>
      <c r="G176" s="967" t="s">
        <v>1736</v>
      </c>
      <c r="H176" s="967" t="s">
        <v>1184</v>
      </c>
      <c r="I176" s="971" t="s">
        <v>1737</v>
      </c>
      <c r="J176" s="971" t="s">
        <v>2544</v>
      </c>
      <c r="K176" s="969" t="s">
        <v>1138</v>
      </c>
      <c r="L176" s="970" t="s">
        <v>416</v>
      </c>
      <c r="M176" s="1049" t="s">
        <v>1169</v>
      </c>
      <c r="N176" s="1049" t="s">
        <v>1737</v>
      </c>
      <c r="O176" s="1207" t="s">
        <v>3930</v>
      </c>
      <c r="P176" s="530" t="s">
        <v>2030</v>
      </c>
      <c r="Q176" s="291"/>
      <c r="R176" s="170"/>
      <c r="S176" s="387"/>
      <c r="T176" s="491" t="s">
        <v>922</v>
      </c>
      <c r="U176" s="491" t="s">
        <v>1286</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745</v>
      </c>
      <c r="D177" s="439">
        <v>79700</v>
      </c>
      <c r="E177" s="282"/>
      <c r="F177" s="282" t="s">
        <v>821</v>
      </c>
      <c r="G177" s="967" t="s">
        <v>1738</v>
      </c>
      <c r="H177" s="967" t="s">
        <v>1184</v>
      </c>
      <c r="I177" s="971" t="s">
        <v>152</v>
      </c>
      <c r="J177" s="971" t="s">
        <v>2543</v>
      </c>
      <c r="K177" s="969" t="s">
        <v>1139</v>
      </c>
      <c r="L177" s="970" t="s">
        <v>415</v>
      </c>
      <c r="M177" s="1049" t="s">
        <v>2530</v>
      </c>
      <c r="N177" s="1049" t="s">
        <v>1292</v>
      </c>
      <c r="O177" s="1207" t="s">
        <v>3931</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746</v>
      </c>
      <c r="D178" s="439">
        <v>62800</v>
      </c>
      <c r="E178" s="282"/>
      <c r="F178" s="282" t="s">
        <v>822</v>
      </c>
      <c r="G178" s="967" t="s">
        <v>1282</v>
      </c>
      <c r="H178" s="967" t="s">
        <v>1283</v>
      </c>
      <c r="I178" s="968" t="s">
        <v>1284</v>
      </c>
      <c r="J178" s="968" t="s">
        <v>2543</v>
      </c>
      <c r="K178" s="969" t="s">
        <v>1775</v>
      </c>
      <c r="L178" s="970" t="s">
        <v>415</v>
      </c>
      <c r="M178" s="1049" t="s">
        <v>2530</v>
      </c>
      <c r="N178" s="1049" t="s">
        <v>162</v>
      </c>
      <c r="O178" s="1207" t="s">
        <v>3932</v>
      </c>
      <c r="P178" s="530" t="s">
        <v>2034</v>
      </c>
      <c r="Q178" s="291"/>
      <c r="R178" s="170"/>
      <c r="S178" s="387"/>
      <c r="T178" s="491" t="s">
        <v>2031</v>
      </c>
      <c r="U178" s="491" t="s">
        <v>327</v>
      </c>
      <c r="W178" s="427" t="s">
        <v>1737</v>
      </c>
      <c r="X178" s="427" t="s">
        <v>3276</v>
      </c>
      <c r="Z178" s="427"/>
      <c r="AA178" s="158"/>
      <c r="AB178" s="158"/>
      <c r="AC178" s="889"/>
      <c r="AD178" s="502"/>
      <c r="AE178" s="158"/>
      <c r="AF178" s="158"/>
      <c r="AG178" s="158"/>
      <c r="AH178" s="158"/>
      <c r="AI178" s="158"/>
      <c r="AJ178" s="158"/>
      <c r="AK178" s="158"/>
    </row>
    <row r="179" spans="2:37" ht="10.5" customHeight="1">
      <c r="B179" s="282"/>
      <c r="C179" s="376" t="s">
        <v>1735</v>
      </c>
      <c r="D179" s="439">
        <v>49000</v>
      </c>
      <c r="E179" s="282"/>
      <c r="F179" s="282" t="s">
        <v>823</v>
      </c>
      <c r="G179" s="967" t="s">
        <v>1285</v>
      </c>
      <c r="H179" s="967" t="s">
        <v>1283</v>
      </c>
      <c r="I179" s="971" t="s">
        <v>745</v>
      </c>
      <c r="J179" s="971" t="s">
        <v>2544</v>
      </c>
      <c r="K179" s="969" t="s">
        <v>2508</v>
      </c>
      <c r="L179" s="970" t="s">
        <v>416</v>
      </c>
      <c r="M179" s="1049" t="s">
        <v>1169</v>
      </c>
      <c r="N179" s="1049" t="s">
        <v>1178</v>
      </c>
      <c r="O179" s="1207" t="s">
        <v>3933</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825</v>
      </c>
      <c r="G180" s="967" t="s">
        <v>1286</v>
      </c>
      <c r="H180" s="967" t="s">
        <v>1283</v>
      </c>
      <c r="I180" s="971" t="s">
        <v>745</v>
      </c>
      <c r="J180" s="971" t="s">
        <v>2544</v>
      </c>
      <c r="K180" s="969" t="s">
        <v>2508</v>
      </c>
      <c r="L180" s="970" t="s">
        <v>416</v>
      </c>
      <c r="M180" s="1049" t="s">
        <v>1169</v>
      </c>
      <c r="N180" s="1049" t="s">
        <v>1178</v>
      </c>
      <c r="O180" s="1207" t="s">
        <v>3934</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1284</v>
      </c>
      <c r="D181" s="439">
        <v>53200</v>
      </c>
      <c r="E181" s="282"/>
      <c r="F181" s="282" t="s">
        <v>824</v>
      </c>
      <c r="G181" s="967" t="s">
        <v>1287</v>
      </c>
      <c r="H181" s="967" t="s">
        <v>1184</v>
      </c>
      <c r="I181" s="968" t="s">
        <v>1288</v>
      </c>
      <c r="J181" s="968" t="s">
        <v>2543</v>
      </c>
      <c r="K181" s="969" t="s">
        <v>2509</v>
      </c>
      <c r="L181" s="970" t="s">
        <v>415</v>
      </c>
      <c r="M181" s="1049" t="s">
        <v>2530</v>
      </c>
      <c r="N181" s="1049" t="s">
        <v>1737</v>
      </c>
      <c r="O181" s="1207" t="s">
        <v>3935</v>
      </c>
      <c r="P181" s="530" t="s">
        <v>1913</v>
      </c>
      <c r="Q181" s="510"/>
      <c r="R181" s="170"/>
      <c r="S181" s="387"/>
      <c r="T181" s="491" t="s">
        <v>2037</v>
      </c>
      <c r="U181" s="491" t="s">
        <v>1289</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1016</v>
      </c>
      <c r="D182" s="439">
        <v>40400</v>
      </c>
      <c r="E182" s="282"/>
      <c r="F182" s="282" t="s">
        <v>826</v>
      </c>
      <c r="G182" s="967" t="s">
        <v>1289</v>
      </c>
      <c r="H182" s="967" t="s">
        <v>1184</v>
      </c>
      <c r="I182" s="968" t="s">
        <v>1290</v>
      </c>
      <c r="J182" s="968" t="s">
        <v>2543</v>
      </c>
      <c r="K182" s="969" t="s">
        <v>2510</v>
      </c>
      <c r="L182" s="970" t="s">
        <v>415</v>
      </c>
      <c r="M182" s="1049" t="s">
        <v>2530</v>
      </c>
      <c r="N182" s="1049" t="s">
        <v>1653</v>
      </c>
      <c r="O182" s="1207" t="s">
        <v>3936</v>
      </c>
      <c r="P182" s="530" t="s">
        <v>176</v>
      </c>
      <c r="Q182" s="510"/>
      <c r="R182" s="282"/>
      <c r="S182" s="387"/>
      <c r="T182" s="491" t="s">
        <v>1737</v>
      </c>
      <c r="U182" s="491" t="s">
        <v>932</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1290</v>
      </c>
      <c r="D183" s="439">
        <v>45800</v>
      </c>
      <c r="E183" s="282"/>
      <c r="F183" s="282" t="s">
        <v>827</v>
      </c>
      <c r="G183" s="967" t="s">
        <v>1291</v>
      </c>
      <c r="H183" s="967" t="s">
        <v>1751</v>
      </c>
      <c r="I183" s="971" t="s">
        <v>1292</v>
      </c>
      <c r="J183" s="971" t="s">
        <v>2544</v>
      </c>
      <c r="K183" s="969" t="s">
        <v>2511</v>
      </c>
      <c r="L183" s="970" t="s">
        <v>416</v>
      </c>
      <c r="M183" s="1049" t="s">
        <v>1169</v>
      </c>
      <c r="N183" s="1049" t="s">
        <v>1292</v>
      </c>
      <c r="O183" s="1207" t="s">
        <v>3937</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1294</v>
      </c>
      <c r="D184" s="439">
        <v>52600</v>
      </c>
      <c r="E184" s="282"/>
      <c r="F184" s="282" t="s">
        <v>828</v>
      </c>
      <c r="G184" s="967" t="s">
        <v>1293</v>
      </c>
      <c r="H184" s="967" t="s">
        <v>1184</v>
      </c>
      <c r="I184" s="971" t="s">
        <v>1294</v>
      </c>
      <c r="J184" s="971" t="s">
        <v>2543</v>
      </c>
      <c r="K184" s="969" t="s">
        <v>2512</v>
      </c>
      <c r="L184" s="970" t="s">
        <v>415</v>
      </c>
      <c r="M184" s="1049" t="s">
        <v>2530</v>
      </c>
      <c r="N184" s="1049" t="s">
        <v>1292</v>
      </c>
      <c r="O184" s="1207" t="s">
        <v>3938</v>
      </c>
      <c r="P184" s="530" t="s">
        <v>434</v>
      </c>
      <c r="Q184" s="291"/>
      <c r="R184" s="170"/>
      <c r="S184" s="387"/>
      <c r="T184" s="491" t="s">
        <v>177</v>
      </c>
      <c r="U184" s="491" t="s">
        <v>1426</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832</v>
      </c>
      <c r="G185" s="967" t="s">
        <v>1295</v>
      </c>
      <c r="H185" s="967" t="s">
        <v>1184</v>
      </c>
      <c r="I185" s="968" t="s">
        <v>9</v>
      </c>
      <c r="J185" s="968" t="s">
        <v>2544</v>
      </c>
      <c r="K185" s="969" t="s">
        <v>2513</v>
      </c>
      <c r="L185" s="970" t="s">
        <v>416</v>
      </c>
      <c r="M185" s="1049" t="s">
        <v>1169</v>
      </c>
      <c r="N185" s="1049" t="s">
        <v>1653</v>
      </c>
      <c r="O185" s="1207" t="s">
        <v>3939</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1300</v>
      </c>
      <c r="D186" s="439">
        <v>55000</v>
      </c>
      <c r="E186" s="282"/>
      <c r="F186" s="282" t="s">
        <v>829</v>
      </c>
      <c r="G186" s="967" t="s">
        <v>1296</v>
      </c>
      <c r="H186" s="967" t="s">
        <v>1184</v>
      </c>
      <c r="I186" s="968" t="s">
        <v>1653</v>
      </c>
      <c r="J186" s="968" t="s">
        <v>2544</v>
      </c>
      <c r="K186" s="969" t="s">
        <v>2514</v>
      </c>
      <c r="L186" s="970" t="s">
        <v>416</v>
      </c>
      <c r="M186" s="1049" t="s">
        <v>1169</v>
      </c>
      <c r="N186" s="1049" t="s">
        <v>1653</v>
      </c>
      <c r="O186" s="1207" t="s">
        <v>3940</v>
      </c>
      <c r="P186" s="530" t="s">
        <v>438</v>
      </c>
      <c r="Q186" s="291"/>
      <c r="R186" s="170"/>
      <c r="S186" s="387"/>
      <c r="T186" s="491" t="s">
        <v>435</v>
      </c>
      <c r="U186" s="491" t="s">
        <v>1734</v>
      </c>
      <c r="W186" s="427" t="s">
        <v>1178</v>
      </c>
      <c r="X186" s="427" t="s">
        <v>3276</v>
      </c>
      <c r="Z186" s="427"/>
      <c r="AA186" s="158"/>
      <c r="AB186" s="158"/>
      <c r="AC186" s="889"/>
      <c r="AD186" s="502"/>
      <c r="AE186" s="158"/>
      <c r="AF186" s="158"/>
      <c r="AG186" s="158"/>
      <c r="AH186" s="158"/>
      <c r="AI186" s="158"/>
      <c r="AJ186" s="158"/>
      <c r="AK186" s="158"/>
    </row>
    <row r="187" spans="2:37" ht="10.5" customHeight="1">
      <c r="B187" s="282"/>
      <c r="C187" s="376" t="s">
        <v>1014</v>
      </c>
      <c r="D187" s="439">
        <v>56500</v>
      </c>
      <c r="E187" s="282"/>
      <c r="F187" s="282" t="s">
        <v>830</v>
      </c>
      <c r="G187" s="967" t="s">
        <v>1297</v>
      </c>
      <c r="H187" s="967" t="s">
        <v>1184</v>
      </c>
      <c r="I187" s="971" t="s">
        <v>1298</v>
      </c>
      <c r="J187" s="971" t="s">
        <v>2544</v>
      </c>
      <c r="K187" s="969" t="s">
        <v>1433</v>
      </c>
      <c r="L187" s="970" t="s">
        <v>416</v>
      </c>
      <c r="M187" s="1049" t="s">
        <v>1169</v>
      </c>
      <c r="N187" s="1049" t="s">
        <v>1298</v>
      </c>
      <c r="O187" s="1207" t="s">
        <v>3941</v>
      </c>
      <c r="P187" s="530" t="s">
        <v>440</v>
      </c>
      <c r="Q187" s="291"/>
      <c r="R187" s="170"/>
      <c r="S187" s="387"/>
      <c r="T187" s="491" t="s">
        <v>437</v>
      </c>
      <c r="U187" s="491" t="s">
        <v>1179</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1305</v>
      </c>
      <c r="D188" s="439">
        <v>35400</v>
      </c>
      <c r="E188" s="282"/>
      <c r="F188" s="282" t="s">
        <v>831</v>
      </c>
      <c r="G188" s="967" t="s">
        <v>1299</v>
      </c>
      <c r="H188" s="967" t="s">
        <v>1184</v>
      </c>
      <c r="I188" s="971" t="s">
        <v>1300</v>
      </c>
      <c r="J188" s="971" t="s">
        <v>2543</v>
      </c>
      <c r="K188" s="969" t="s">
        <v>2528</v>
      </c>
      <c r="L188" s="970" t="s">
        <v>415</v>
      </c>
      <c r="M188" s="1049" t="s">
        <v>2530</v>
      </c>
      <c r="N188" s="1049" t="s">
        <v>1298</v>
      </c>
      <c r="O188" s="1207" t="s">
        <v>3942</v>
      </c>
      <c r="P188" s="530" t="s">
        <v>2202</v>
      </c>
      <c r="Q188" s="291"/>
      <c r="R188" s="170"/>
      <c r="S188" s="387"/>
      <c r="T188" s="491" t="s">
        <v>439</v>
      </c>
      <c r="U188" s="491" t="s">
        <v>180</v>
      </c>
      <c r="W188" s="427" t="s">
        <v>1302</v>
      </c>
      <c r="X188" s="427" t="s">
        <v>3276</v>
      </c>
      <c r="Z188" s="427"/>
      <c r="AA188" s="158"/>
      <c r="AB188" s="158"/>
      <c r="AC188" s="889"/>
      <c r="AD188" s="502"/>
      <c r="AE188" s="158"/>
      <c r="AF188" s="158"/>
      <c r="AG188" s="158"/>
      <c r="AH188" s="158"/>
      <c r="AI188" s="158"/>
      <c r="AJ188" s="158"/>
      <c r="AK188" s="158"/>
    </row>
    <row r="189" spans="2:37" ht="10.5" customHeight="1">
      <c r="B189" s="282"/>
      <c r="C189" s="377" t="s">
        <v>711</v>
      </c>
      <c r="D189" s="439">
        <v>64400</v>
      </c>
      <c r="E189" s="282"/>
      <c r="F189" s="282" t="s">
        <v>833</v>
      </c>
      <c r="G189" s="967" t="s">
        <v>1301</v>
      </c>
      <c r="H189" s="967" t="s">
        <v>1184</v>
      </c>
      <c r="I189" s="971" t="s">
        <v>746</v>
      </c>
      <c r="J189" s="971" t="s">
        <v>2544</v>
      </c>
      <c r="K189" s="969" t="s">
        <v>2529</v>
      </c>
      <c r="L189" s="970" t="s">
        <v>416</v>
      </c>
      <c r="M189" s="1049" t="s">
        <v>2530</v>
      </c>
      <c r="N189" s="1049" t="s">
        <v>1302</v>
      </c>
      <c r="O189" s="1207" t="s">
        <v>3943</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713</v>
      </c>
      <c r="D190" s="439">
        <v>39500</v>
      </c>
      <c r="E190" s="282"/>
      <c r="F190" s="282" t="s">
        <v>834</v>
      </c>
      <c r="G190" s="967" t="s">
        <v>1303</v>
      </c>
      <c r="H190" s="967" t="s">
        <v>1283</v>
      </c>
      <c r="I190" s="971" t="s">
        <v>1014</v>
      </c>
      <c r="J190" s="971" t="s">
        <v>2544</v>
      </c>
      <c r="K190" s="969" t="s">
        <v>1230</v>
      </c>
      <c r="L190" s="970" t="s">
        <v>416</v>
      </c>
      <c r="M190" s="1049" t="s">
        <v>2530</v>
      </c>
      <c r="N190" s="1049" t="s">
        <v>1178</v>
      </c>
      <c r="O190" s="1207" t="s">
        <v>3944</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835</v>
      </c>
      <c r="G191" s="967" t="s">
        <v>1304</v>
      </c>
      <c r="H191" s="967" t="s">
        <v>1184</v>
      </c>
      <c r="I191" s="968" t="s">
        <v>1305</v>
      </c>
      <c r="J191" s="968" t="s">
        <v>2543</v>
      </c>
      <c r="K191" s="969" t="s">
        <v>1231</v>
      </c>
      <c r="L191" s="970" t="s">
        <v>415</v>
      </c>
      <c r="M191" s="1049" t="s">
        <v>2530</v>
      </c>
      <c r="N191" s="1049" t="s">
        <v>1737</v>
      </c>
      <c r="O191" s="1207" t="s">
        <v>3945</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1488</v>
      </c>
      <c r="D192" s="439">
        <v>70100</v>
      </c>
      <c r="E192" s="282"/>
      <c r="F192" s="282" t="s">
        <v>838</v>
      </c>
      <c r="G192" s="967" t="s">
        <v>1306</v>
      </c>
      <c r="H192" s="967" t="s">
        <v>1184</v>
      </c>
      <c r="I192" s="971" t="s">
        <v>711</v>
      </c>
      <c r="J192" s="971" t="s">
        <v>2543</v>
      </c>
      <c r="K192" s="969" t="s">
        <v>1232</v>
      </c>
      <c r="L192" s="970" t="s">
        <v>415</v>
      </c>
      <c r="M192" s="1049" t="s">
        <v>2530</v>
      </c>
      <c r="N192" s="1049" t="s">
        <v>1653</v>
      </c>
      <c r="O192" s="1207" t="s">
        <v>3946</v>
      </c>
      <c r="P192" s="530" t="s">
        <v>2477</v>
      </c>
      <c r="Q192" s="291"/>
      <c r="R192" s="170"/>
      <c r="S192" s="387"/>
      <c r="T192" s="491" t="s">
        <v>363</v>
      </c>
      <c r="U192" s="491" t="s">
        <v>2125</v>
      </c>
      <c r="W192" s="427" t="s">
        <v>1738</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837</v>
      </c>
      <c r="G193" s="967" t="s">
        <v>712</v>
      </c>
      <c r="H193" s="967" t="s">
        <v>1184</v>
      </c>
      <c r="I193" s="968" t="s">
        <v>713</v>
      </c>
      <c r="J193" s="968" t="s">
        <v>2543</v>
      </c>
      <c r="K193" s="969" t="s">
        <v>1668</v>
      </c>
      <c r="L193" s="970" t="s">
        <v>415</v>
      </c>
      <c r="M193" s="1049" t="s">
        <v>2530</v>
      </c>
      <c r="N193" s="1049" t="s">
        <v>1298</v>
      </c>
      <c r="O193" s="1207" t="s">
        <v>3947</v>
      </c>
      <c r="P193" s="530" t="s">
        <v>2479</v>
      </c>
      <c r="Q193" s="291"/>
      <c r="R193" s="170"/>
      <c r="S193" s="387"/>
      <c r="T193" s="491" t="s">
        <v>1183</v>
      </c>
      <c r="U193" s="491" t="s">
        <v>2460</v>
      </c>
      <c r="W193" s="427" t="s">
        <v>984</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836</v>
      </c>
      <c r="G194" s="967" t="s">
        <v>714</v>
      </c>
      <c r="H194" s="967" t="s">
        <v>1283</v>
      </c>
      <c r="I194" s="971" t="s">
        <v>745</v>
      </c>
      <c r="J194" s="971" t="s">
        <v>2544</v>
      </c>
      <c r="K194" s="969" t="s">
        <v>2508</v>
      </c>
      <c r="L194" s="970" t="s">
        <v>416</v>
      </c>
      <c r="M194" s="1049" t="s">
        <v>1169</v>
      </c>
      <c r="N194" s="1049" t="s">
        <v>1178</v>
      </c>
      <c r="O194" s="1207" t="s">
        <v>3948</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839</v>
      </c>
      <c r="G195" s="967" t="s">
        <v>1487</v>
      </c>
      <c r="H195" s="967" t="s">
        <v>1283</v>
      </c>
      <c r="I195" s="971" t="s">
        <v>1488</v>
      </c>
      <c r="J195" s="971" t="s">
        <v>2544</v>
      </c>
      <c r="K195" s="969" t="s">
        <v>1637</v>
      </c>
      <c r="L195" s="970" t="s">
        <v>416</v>
      </c>
      <c r="M195" s="1049" t="s">
        <v>2530</v>
      </c>
      <c r="N195" s="1049" t="s">
        <v>1488</v>
      </c>
      <c r="O195" s="1207" t="s">
        <v>3949</v>
      </c>
      <c r="P195" s="530" t="s">
        <v>2483</v>
      </c>
      <c r="Q195" s="291"/>
      <c r="R195" s="170"/>
      <c r="S195" s="387"/>
      <c r="T195" s="491" t="s">
        <v>2480</v>
      </c>
      <c r="U195" s="491" t="s">
        <v>1074</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840</v>
      </c>
      <c r="G196" s="967" t="s">
        <v>153</v>
      </c>
      <c r="H196" s="967" t="s">
        <v>1184</v>
      </c>
      <c r="I196" s="968" t="s">
        <v>154</v>
      </c>
      <c r="J196" s="968" t="s">
        <v>2543</v>
      </c>
      <c r="K196" s="969" t="s">
        <v>1638</v>
      </c>
      <c r="L196" s="970" t="s">
        <v>415</v>
      </c>
      <c r="M196" s="1049" t="s">
        <v>2530</v>
      </c>
      <c r="N196" s="1049" t="s">
        <v>1653</v>
      </c>
      <c r="O196" s="1207" t="s">
        <v>3950</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1313</v>
      </c>
      <c r="G197" s="967" t="s">
        <v>155</v>
      </c>
      <c r="H197" s="967" t="s">
        <v>1751</v>
      </c>
      <c r="I197" s="971" t="s">
        <v>1298</v>
      </c>
      <c r="J197" s="971" t="s">
        <v>2544</v>
      </c>
      <c r="K197" s="969" t="s">
        <v>1433</v>
      </c>
      <c r="L197" s="970" t="s">
        <v>416</v>
      </c>
      <c r="M197" s="1049" t="s">
        <v>1169</v>
      </c>
      <c r="N197" s="1049" t="s">
        <v>1298</v>
      </c>
      <c r="O197" s="1207" t="s">
        <v>3951</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841</v>
      </c>
      <c r="G198" s="967" t="s">
        <v>156</v>
      </c>
      <c r="H198" s="967" t="s">
        <v>1184</v>
      </c>
      <c r="I198" s="971" t="s">
        <v>157</v>
      </c>
      <c r="J198" s="971" t="s">
        <v>2544</v>
      </c>
      <c r="K198" s="969" t="s">
        <v>1639</v>
      </c>
      <c r="L198" s="970" t="s">
        <v>416</v>
      </c>
      <c r="M198" s="1049" t="s">
        <v>2530</v>
      </c>
      <c r="N198" s="1049" t="s">
        <v>157</v>
      </c>
      <c r="O198" s="1207" t="s">
        <v>3952</v>
      </c>
      <c r="P198" s="530" t="s">
        <v>2488</v>
      </c>
      <c r="Q198" s="291"/>
      <c r="R198" s="170"/>
      <c r="S198" s="387"/>
      <c r="T198" s="491" t="s">
        <v>2486</v>
      </c>
      <c r="U198" s="491" t="s">
        <v>1304</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1314</v>
      </c>
      <c r="G199" s="967" t="s">
        <v>158</v>
      </c>
      <c r="H199" s="967" t="s">
        <v>1283</v>
      </c>
      <c r="I199" s="968" t="s">
        <v>159</v>
      </c>
      <c r="J199" s="968" t="s">
        <v>2543</v>
      </c>
      <c r="K199" s="969" t="s">
        <v>1640</v>
      </c>
      <c r="L199" s="970" t="s">
        <v>415</v>
      </c>
      <c r="M199" s="1049" t="s">
        <v>2530</v>
      </c>
      <c r="N199" s="1049" t="s">
        <v>1488</v>
      </c>
      <c r="O199" s="1207" t="s">
        <v>3953</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1321</v>
      </c>
      <c r="G200" s="967" t="s">
        <v>160</v>
      </c>
      <c r="H200" s="967" t="s">
        <v>1283</v>
      </c>
      <c r="I200" s="971" t="s">
        <v>745</v>
      </c>
      <c r="J200" s="971" t="s">
        <v>2544</v>
      </c>
      <c r="K200" s="969" t="s">
        <v>2508</v>
      </c>
      <c r="L200" s="970" t="s">
        <v>416</v>
      </c>
      <c r="M200" s="1049" t="s">
        <v>1169</v>
      </c>
      <c r="N200" s="1049" t="s">
        <v>1178</v>
      </c>
      <c r="O200" s="1207" t="s">
        <v>3954</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1322</v>
      </c>
      <c r="G201" s="967" t="s">
        <v>161</v>
      </c>
      <c r="H201" s="967" t="s">
        <v>1283</v>
      </c>
      <c r="I201" s="968" t="s">
        <v>1993</v>
      </c>
      <c r="J201" s="968" t="s">
        <v>2544</v>
      </c>
      <c r="K201" s="969" t="s">
        <v>601</v>
      </c>
      <c r="L201" s="970" t="s">
        <v>416</v>
      </c>
      <c r="M201" s="1050" t="s">
        <v>1169</v>
      </c>
      <c r="N201" s="1050" t="s">
        <v>162</v>
      </c>
      <c r="O201" s="1207" t="s">
        <v>3955</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1315</v>
      </c>
      <c r="G202" s="967" t="s">
        <v>2415</v>
      </c>
      <c r="H202" s="967" t="s">
        <v>1184</v>
      </c>
      <c r="I202" s="968" t="s">
        <v>2416</v>
      </c>
      <c r="J202" s="968" t="s">
        <v>2543</v>
      </c>
      <c r="K202" s="969" t="s">
        <v>602</v>
      </c>
      <c r="L202" s="970" t="s">
        <v>415</v>
      </c>
      <c r="M202" s="1050" t="s">
        <v>2530</v>
      </c>
      <c r="N202" s="1050" t="s">
        <v>1737</v>
      </c>
      <c r="O202" s="1207" t="s">
        <v>3956</v>
      </c>
      <c r="P202" s="530" t="s">
        <v>757</v>
      </c>
      <c r="Q202" s="510"/>
      <c r="R202" s="170"/>
      <c r="S202" s="387"/>
      <c r="T202" s="491" t="s">
        <v>1178</v>
      </c>
      <c r="U202" s="491" t="s">
        <v>1179</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929</v>
      </c>
      <c r="D203" s="439">
        <v>49600</v>
      </c>
      <c r="E203" s="282"/>
      <c r="F203" s="282" t="s">
        <v>1317</v>
      </c>
      <c r="G203" s="967" t="s">
        <v>2417</v>
      </c>
      <c r="H203" s="967" t="s">
        <v>1751</v>
      </c>
      <c r="I203" s="971" t="s">
        <v>745</v>
      </c>
      <c r="J203" s="971" t="s">
        <v>2544</v>
      </c>
      <c r="K203" s="969" t="s">
        <v>2508</v>
      </c>
      <c r="L203" s="970" t="s">
        <v>416</v>
      </c>
      <c r="M203" s="1049" t="s">
        <v>1169</v>
      </c>
      <c r="N203" s="1049" t="s">
        <v>1178</v>
      </c>
      <c r="O203" s="1207" t="s">
        <v>3957</v>
      </c>
      <c r="P203" s="530" t="s">
        <v>759</v>
      </c>
      <c r="Q203" s="510"/>
      <c r="R203" s="170"/>
      <c r="S203" s="387"/>
      <c r="T203" s="491" t="s">
        <v>758</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931</v>
      </c>
      <c r="D204" s="439">
        <v>48100</v>
      </c>
      <c r="E204" s="282"/>
      <c r="F204" s="282" t="s">
        <v>1318</v>
      </c>
      <c r="G204" s="967" t="s">
        <v>2418</v>
      </c>
      <c r="H204" s="967" t="s">
        <v>1184</v>
      </c>
      <c r="I204" s="968" t="s">
        <v>2419</v>
      </c>
      <c r="J204" s="968" t="s">
        <v>2543</v>
      </c>
      <c r="K204" s="969" t="s">
        <v>603</v>
      </c>
      <c r="L204" s="970" t="s">
        <v>415</v>
      </c>
      <c r="M204" s="1050" t="s">
        <v>2530</v>
      </c>
      <c r="N204" s="1050" t="s">
        <v>1653</v>
      </c>
      <c r="O204" s="1207" t="s">
        <v>3958</v>
      </c>
      <c r="P204" s="530" t="s">
        <v>2022</v>
      </c>
      <c r="Q204" s="510"/>
      <c r="R204" s="170"/>
      <c r="S204" s="387"/>
      <c r="T204" s="491" t="s">
        <v>2021</v>
      </c>
      <c r="U204" s="491" t="s">
        <v>1285</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853</v>
      </c>
      <c r="D205" s="439">
        <v>38300</v>
      </c>
      <c r="E205" s="282"/>
      <c r="F205" s="282" t="s">
        <v>1319</v>
      </c>
      <c r="G205" s="967" t="s">
        <v>2420</v>
      </c>
      <c r="H205" s="967" t="s">
        <v>1751</v>
      </c>
      <c r="I205" s="971" t="s">
        <v>745</v>
      </c>
      <c r="J205" s="971" t="s">
        <v>2544</v>
      </c>
      <c r="K205" s="969" t="s">
        <v>2508</v>
      </c>
      <c r="L205" s="970" t="s">
        <v>416</v>
      </c>
      <c r="M205" s="1049" t="s">
        <v>1169</v>
      </c>
      <c r="N205" s="1049" t="s">
        <v>1178</v>
      </c>
      <c r="O205" s="1207" t="s">
        <v>3959</v>
      </c>
      <c r="P205" s="530" t="s">
        <v>2023</v>
      </c>
      <c r="Q205" s="510"/>
      <c r="R205" s="170"/>
      <c r="S205" s="387"/>
      <c r="T205" s="491" t="s">
        <v>1302</v>
      </c>
      <c r="U205" s="491" t="s">
        <v>1086</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857</v>
      </c>
      <c r="D206" s="439">
        <v>46200</v>
      </c>
      <c r="E206" s="282"/>
      <c r="F206" s="282" t="s">
        <v>1316</v>
      </c>
      <c r="G206" s="967" t="s">
        <v>2421</v>
      </c>
      <c r="H206" s="967" t="s">
        <v>1184</v>
      </c>
      <c r="I206" s="968" t="s">
        <v>2422</v>
      </c>
      <c r="J206" s="968" t="s">
        <v>2543</v>
      </c>
      <c r="K206" s="969" t="s">
        <v>604</v>
      </c>
      <c r="L206" s="970" t="s">
        <v>415</v>
      </c>
      <c r="M206" s="1050" t="s">
        <v>2530</v>
      </c>
      <c r="N206" s="1050" t="s">
        <v>1653</v>
      </c>
      <c r="O206" s="1207" t="s">
        <v>3960</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1320</v>
      </c>
      <c r="G207" s="967" t="s">
        <v>2423</v>
      </c>
      <c r="H207" s="967" t="s">
        <v>1184</v>
      </c>
      <c r="I207" s="968" t="s">
        <v>2459</v>
      </c>
      <c r="J207" s="968" t="s">
        <v>2543</v>
      </c>
      <c r="K207" s="969" t="s">
        <v>605</v>
      </c>
      <c r="L207" s="970" t="s">
        <v>415</v>
      </c>
      <c r="M207" s="1050" t="s">
        <v>2530</v>
      </c>
      <c r="N207" s="1050" t="s">
        <v>1737</v>
      </c>
      <c r="O207" s="1207" t="s">
        <v>3961</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635</v>
      </c>
      <c r="D208" s="439">
        <v>51600</v>
      </c>
      <c r="E208" s="282"/>
      <c r="F208" s="282" t="s">
        <v>1323</v>
      </c>
      <c r="G208" s="967" t="s">
        <v>2460</v>
      </c>
      <c r="H208" s="967" t="s">
        <v>1283</v>
      </c>
      <c r="I208" s="971" t="s">
        <v>746</v>
      </c>
      <c r="J208" s="971" t="s">
        <v>2544</v>
      </c>
      <c r="K208" s="969" t="s">
        <v>2529</v>
      </c>
      <c r="L208" s="970" t="s">
        <v>416</v>
      </c>
      <c r="M208" s="1049" t="s">
        <v>2530</v>
      </c>
      <c r="N208" s="1049" t="s">
        <v>1302</v>
      </c>
      <c r="O208" s="1207" t="s">
        <v>3962</v>
      </c>
      <c r="P208" s="530" t="s">
        <v>2057</v>
      </c>
      <c r="Q208" s="510"/>
      <c r="R208" s="170"/>
      <c r="S208" s="387"/>
      <c r="T208" s="491" t="s">
        <v>2026</v>
      </c>
      <c r="U208" s="491" t="s">
        <v>323</v>
      </c>
      <c r="W208" s="427" t="s">
        <v>1304</v>
      </c>
      <c r="X208" s="427" t="s">
        <v>3276</v>
      </c>
      <c r="Z208" s="427"/>
      <c r="AA208" s="158"/>
      <c r="AB208" s="158"/>
      <c r="AC208" s="889"/>
      <c r="AD208" s="502"/>
      <c r="AE208" s="158"/>
      <c r="AF208" s="158"/>
      <c r="AG208" s="158"/>
      <c r="AH208" s="158"/>
      <c r="AI208" s="158"/>
      <c r="AJ208" s="158"/>
      <c r="AK208" s="158"/>
    </row>
    <row r="209" spans="2:37" ht="10.5" customHeight="1">
      <c r="B209" s="282"/>
      <c r="C209" s="377" t="s">
        <v>637</v>
      </c>
      <c r="D209" s="439">
        <v>53900</v>
      </c>
      <c r="E209" s="282"/>
      <c r="F209" s="282" t="s">
        <v>1324</v>
      </c>
      <c r="G209" s="967" t="s">
        <v>2461</v>
      </c>
      <c r="H209" s="967" t="s">
        <v>1184</v>
      </c>
      <c r="I209" s="968" t="s">
        <v>2462</v>
      </c>
      <c r="J209" s="968" t="s">
        <v>2543</v>
      </c>
      <c r="K209" s="969" t="s">
        <v>606</v>
      </c>
      <c r="L209" s="970" t="s">
        <v>415</v>
      </c>
      <c r="M209" s="1050" t="s">
        <v>2530</v>
      </c>
      <c r="N209" s="1050" t="s">
        <v>1653</v>
      </c>
      <c r="O209" s="1207" t="s">
        <v>3963</v>
      </c>
      <c r="P209" s="530" t="s">
        <v>2059</v>
      </c>
      <c r="Q209" s="510"/>
      <c r="R209" s="170"/>
      <c r="S209" s="387"/>
      <c r="T209" s="491" t="s">
        <v>2056</v>
      </c>
      <c r="U209" s="491" t="s">
        <v>609</v>
      </c>
      <c r="W209" s="427" t="s">
        <v>1526</v>
      </c>
      <c r="X209" s="427" t="s">
        <v>3276</v>
      </c>
      <c r="Z209" s="427"/>
      <c r="AA209" s="158"/>
      <c r="AB209" s="158"/>
      <c r="AC209" s="889"/>
      <c r="AD209" s="502"/>
      <c r="AE209" s="158"/>
      <c r="AF209" s="158"/>
      <c r="AG209" s="158"/>
      <c r="AH209" s="158"/>
      <c r="AI209" s="158"/>
      <c r="AJ209" s="158"/>
      <c r="AK209" s="158"/>
    </row>
    <row r="210" spans="2:37" ht="10.5" customHeight="1">
      <c r="B210" s="282"/>
      <c r="C210" s="377" t="s">
        <v>642</v>
      </c>
      <c r="D210" s="439">
        <v>49700</v>
      </c>
      <c r="E210" s="282"/>
      <c r="F210" s="282" t="s">
        <v>1325</v>
      </c>
      <c r="G210" s="967" t="s">
        <v>2463</v>
      </c>
      <c r="H210" s="967" t="s">
        <v>1184</v>
      </c>
      <c r="I210" s="971" t="s">
        <v>745</v>
      </c>
      <c r="J210" s="971" t="s">
        <v>2544</v>
      </c>
      <c r="K210" s="969" t="s">
        <v>2508</v>
      </c>
      <c r="L210" s="970" t="s">
        <v>416</v>
      </c>
      <c r="M210" s="1049" t="s">
        <v>1169</v>
      </c>
      <c r="N210" s="1049" t="s">
        <v>1178</v>
      </c>
      <c r="O210" s="1207" t="s">
        <v>3964</v>
      </c>
      <c r="P210" s="530" t="s">
        <v>2061</v>
      </c>
      <c r="Q210" s="510"/>
      <c r="R210" s="170"/>
      <c r="S210" s="387"/>
      <c r="T210" s="491" t="s">
        <v>2058</v>
      </c>
      <c r="U210" s="491" t="s">
        <v>1599</v>
      </c>
      <c r="W210" s="427" t="s">
        <v>1530</v>
      </c>
      <c r="X210" s="427" t="s">
        <v>3276</v>
      </c>
      <c r="Z210" s="427"/>
      <c r="AA210" s="158"/>
      <c r="AB210" s="158"/>
      <c r="AC210" s="889"/>
      <c r="AD210" s="502"/>
      <c r="AE210" s="158"/>
      <c r="AF210" s="158"/>
      <c r="AG210" s="158"/>
      <c r="AH210" s="158"/>
      <c r="AI210" s="158"/>
      <c r="AJ210" s="158"/>
      <c r="AK210" s="158"/>
    </row>
    <row r="211" spans="2:37" ht="10.5" customHeight="1">
      <c r="B211" s="282"/>
      <c r="C211" s="377" t="s">
        <v>1194</v>
      </c>
      <c r="D211" s="439">
        <v>66800</v>
      </c>
      <c r="E211" s="282"/>
      <c r="F211" s="282" t="s">
        <v>1326</v>
      </c>
      <c r="G211" s="967" t="s">
        <v>2464</v>
      </c>
      <c r="H211" s="967" t="s">
        <v>1283</v>
      </c>
      <c r="I211" s="971" t="s">
        <v>1292</v>
      </c>
      <c r="J211" s="971" t="s">
        <v>2544</v>
      </c>
      <c r="K211" s="969" t="s">
        <v>2511</v>
      </c>
      <c r="L211" s="970" t="s">
        <v>416</v>
      </c>
      <c r="M211" s="1049" t="s">
        <v>2530</v>
      </c>
      <c r="N211" s="1049" t="s">
        <v>1292</v>
      </c>
      <c r="O211" s="1207" t="s">
        <v>3965</v>
      </c>
      <c r="P211" s="530" t="s">
        <v>2471</v>
      </c>
      <c r="Q211" s="510"/>
      <c r="R211" s="170"/>
      <c r="S211" s="387"/>
      <c r="T211" s="491" t="s">
        <v>2060</v>
      </c>
      <c r="U211" s="491" t="s">
        <v>192</v>
      </c>
      <c r="W211" s="427" t="s">
        <v>1701</v>
      </c>
      <c r="X211" s="427" t="s">
        <v>3276</v>
      </c>
      <c r="Z211" s="427"/>
      <c r="AA211" s="158"/>
      <c r="AB211" s="158"/>
      <c r="AC211" s="889"/>
      <c r="AD211" s="502"/>
      <c r="AE211" s="158"/>
      <c r="AF211" s="158"/>
      <c r="AG211" s="158"/>
      <c r="AH211" s="158"/>
      <c r="AI211" s="158"/>
      <c r="AJ211" s="158"/>
      <c r="AK211" s="158"/>
    </row>
    <row r="212" spans="2:37" ht="10.5" customHeight="1">
      <c r="B212" s="282"/>
      <c r="C212" s="377" t="s">
        <v>644</v>
      </c>
      <c r="D212" s="439">
        <v>54900</v>
      </c>
      <c r="E212" s="282"/>
      <c r="F212" s="282" t="s">
        <v>1327</v>
      </c>
      <c r="G212" s="967" t="s">
        <v>2465</v>
      </c>
      <c r="H212" s="967" t="s">
        <v>1184</v>
      </c>
      <c r="I212" s="968" t="s">
        <v>189</v>
      </c>
      <c r="J212" s="968" t="s">
        <v>2543</v>
      </c>
      <c r="K212" s="969" t="s">
        <v>607</v>
      </c>
      <c r="L212" s="970" t="s">
        <v>415</v>
      </c>
      <c r="M212" s="1050" t="s">
        <v>2530</v>
      </c>
      <c r="N212" s="1050" t="s">
        <v>1737</v>
      </c>
      <c r="O212" s="1207" t="s">
        <v>3966</v>
      </c>
      <c r="P212" s="530" t="s">
        <v>983</v>
      </c>
      <c r="Q212" s="510"/>
      <c r="R212" s="170"/>
      <c r="S212" s="387"/>
      <c r="T212" s="491" t="s">
        <v>1738</v>
      </c>
      <c r="U212" s="491" t="s">
        <v>119</v>
      </c>
      <c r="W212" s="427" t="s">
        <v>999</v>
      </c>
      <c r="X212" s="427" t="s">
        <v>3276</v>
      </c>
      <c r="Z212" s="427"/>
      <c r="AA212" s="158"/>
      <c r="AB212" s="158"/>
      <c r="AC212" s="889"/>
      <c r="AD212" s="502"/>
      <c r="AE212" s="158"/>
      <c r="AF212" s="158"/>
      <c r="AG212" s="158"/>
      <c r="AH212" s="158"/>
      <c r="AI212" s="158"/>
      <c r="AJ212" s="158"/>
      <c r="AK212" s="158"/>
    </row>
    <row r="213" spans="2:37" ht="10.5" customHeight="1">
      <c r="B213" s="282"/>
      <c r="C213" s="377" t="s">
        <v>646</v>
      </c>
      <c r="D213" s="439">
        <v>55300</v>
      </c>
      <c r="E213" s="282"/>
      <c r="F213" s="282" t="s">
        <v>1328</v>
      </c>
      <c r="G213" s="967" t="s">
        <v>190</v>
      </c>
      <c r="H213" s="967" t="s">
        <v>1283</v>
      </c>
      <c r="I213" s="971" t="s">
        <v>1488</v>
      </c>
      <c r="J213" s="971" t="s">
        <v>2544</v>
      </c>
      <c r="K213" s="969" t="s">
        <v>1637</v>
      </c>
      <c r="L213" s="970" t="s">
        <v>416</v>
      </c>
      <c r="M213" s="1049" t="s">
        <v>2530</v>
      </c>
      <c r="N213" s="1049" t="s">
        <v>1488</v>
      </c>
      <c r="O213" s="1207" t="s">
        <v>3967</v>
      </c>
      <c r="P213" s="530" t="s">
        <v>1953</v>
      </c>
      <c r="Q213" s="510"/>
      <c r="R213" s="170"/>
      <c r="S213" s="387"/>
      <c r="T213" s="491" t="s">
        <v>2472</v>
      </c>
      <c r="U213" s="491" t="s">
        <v>160</v>
      </c>
      <c r="W213" s="427" t="s">
        <v>1002</v>
      </c>
      <c r="X213" s="427" t="s">
        <v>3276</v>
      </c>
      <c r="Z213" s="427"/>
      <c r="AA213" s="158"/>
      <c r="AB213" s="158"/>
      <c r="AC213" s="889"/>
      <c r="AD213" s="502"/>
      <c r="AE213" s="158"/>
      <c r="AF213" s="158"/>
      <c r="AG213" s="158"/>
      <c r="AH213" s="158"/>
      <c r="AI213" s="158"/>
      <c r="AJ213" s="158"/>
      <c r="AK213" s="158"/>
    </row>
    <row r="214" spans="2:37" ht="10.5" customHeight="1">
      <c r="B214" s="282"/>
      <c r="C214" s="377" t="s">
        <v>649</v>
      </c>
      <c r="D214" s="439">
        <v>48800</v>
      </c>
      <c r="E214" s="282"/>
      <c r="F214" s="282" t="s">
        <v>1329</v>
      </c>
      <c r="G214" s="967" t="s">
        <v>191</v>
      </c>
      <c r="H214" s="967" t="s">
        <v>1283</v>
      </c>
      <c r="I214" s="971" t="s">
        <v>745</v>
      </c>
      <c r="J214" s="971" t="s">
        <v>2544</v>
      </c>
      <c r="K214" s="969" t="s">
        <v>2508</v>
      </c>
      <c r="L214" s="970" t="s">
        <v>416</v>
      </c>
      <c r="M214" s="1049" t="s">
        <v>1169</v>
      </c>
      <c r="N214" s="1049" t="s">
        <v>1178</v>
      </c>
      <c r="O214" s="1207" t="s">
        <v>3968</v>
      </c>
      <c r="P214" s="530" t="s">
        <v>13</v>
      </c>
      <c r="Q214" s="510"/>
      <c r="R214" s="170"/>
      <c r="S214" s="387"/>
      <c r="T214" s="491" t="s">
        <v>984</v>
      </c>
      <c r="U214" s="491" t="s">
        <v>421</v>
      </c>
      <c r="W214" s="427" t="s">
        <v>1713</v>
      </c>
      <c r="X214" s="427" t="s">
        <v>3276</v>
      </c>
      <c r="Z214" s="427"/>
      <c r="AA214" s="158"/>
      <c r="AB214" s="158"/>
      <c r="AC214" s="889"/>
      <c r="AD214" s="502"/>
      <c r="AE214" s="158"/>
      <c r="AF214" s="158"/>
      <c r="AG214" s="158"/>
      <c r="AH214" s="158"/>
      <c r="AI214" s="158"/>
      <c r="AJ214" s="158"/>
      <c r="AK214" s="158"/>
    </row>
    <row r="215" spans="2:37" ht="10.5" customHeight="1">
      <c r="B215" s="282"/>
      <c r="C215" s="377" t="s">
        <v>651</v>
      </c>
      <c r="D215" s="439">
        <v>43400</v>
      </c>
      <c r="E215" s="282"/>
      <c r="F215" s="282" t="s">
        <v>1330</v>
      </c>
      <c r="G215" s="967" t="s">
        <v>192</v>
      </c>
      <c r="H215" s="967" t="s">
        <v>1184</v>
      </c>
      <c r="I215" s="968" t="s">
        <v>193</v>
      </c>
      <c r="J215" s="968" t="s">
        <v>2543</v>
      </c>
      <c r="K215" s="969" t="s">
        <v>608</v>
      </c>
      <c r="L215" s="970" t="s">
        <v>415</v>
      </c>
      <c r="M215" s="1050" t="s">
        <v>2530</v>
      </c>
      <c r="N215" s="1050" t="s">
        <v>1737</v>
      </c>
      <c r="O215" s="1207" t="s">
        <v>3969</v>
      </c>
      <c r="P215" s="530" t="s">
        <v>2176</v>
      </c>
      <c r="Q215" s="510"/>
      <c r="R215" s="170"/>
      <c r="S215" s="387"/>
      <c r="T215" s="491" t="s">
        <v>1286</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653</v>
      </c>
      <c r="D216" s="439">
        <v>57900</v>
      </c>
      <c r="E216" s="282"/>
      <c r="F216" s="282" t="s">
        <v>1331</v>
      </c>
      <c r="G216" s="967" t="s">
        <v>194</v>
      </c>
      <c r="H216" s="967" t="s">
        <v>1751</v>
      </c>
      <c r="I216" s="971" t="s">
        <v>745</v>
      </c>
      <c r="J216" s="971" t="s">
        <v>2544</v>
      </c>
      <c r="K216" s="969" t="s">
        <v>2508</v>
      </c>
      <c r="L216" s="970" t="s">
        <v>416</v>
      </c>
      <c r="M216" s="1049" t="s">
        <v>1169</v>
      </c>
      <c r="N216" s="1049" t="s">
        <v>1178</v>
      </c>
      <c r="O216" s="1207" t="s">
        <v>3970</v>
      </c>
      <c r="P216" s="530" t="s">
        <v>2178</v>
      </c>
      <c r="Q216" s="510"/>
      <c r="R216" s="170"/>
      <c r="S216" s="387"/>
      <c r="T216" s="491" t="s">
        <v>14</v>
      </c>
      <c r="U216" s="491" t="s">
        <v>1626</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1332</v>
      </c>
      <c r="G217" s="967" t="s">
        <v>195</v>
      </c>
      <c r="H217" s="967" t="s">
        <v>1184</v>
      </c>
      <c r="I217" s="968" t="s">
        <v>929</v>
      </c>
      <c r="J217" s="968" t="s">
        <v>2543</v>
      </c>
      <c r="K217" s="969" t="s">
        <v>1909</v>
      </c>
      <c r="L217" s="970" t="s">
        <v>415</v>
      </c>
      <c r="M217" s="1050" t="s">
        <v>2530</v>
      </c>
      <c r="N217" s="1050" t="s">
        <v>1292</v>
      </c>
      <c r="O217" s="1207" t="s">
        <v>3971</v>
      </c>
      <c r="P217" s="530" t="s">
        <v>2180</v>
      </c>
      <c r="Q217" s="510"/>
      <c r="R217" s="170"/>
      <c r="S217" s="387"/>
      <c r="T217" s="531" t="s">
        <v>2177</v>
      </c>
      <c r="U217" s="531" t="s">
        <v>1183</v>
      </c>
      <c r="W217" s="427" t="s">
        <v>657</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1334</v>
      </c>
      <c r="G218" s="967" t="s">
        <v>930</v>
      </c>
      <c r="H218" s="967" t="s">
        <v>1184</v>
      </c>
      <c r="I218" s="968" t="s">
        <v>931</v>
      </c>
      <c r="J218" s="968" t="s">
        <v>2543</v>
      </c>
      <c r="K218" s="969" t="s">
        <v>1910</v>
      </c>
      <c r="L218" s="970" t="s">
        <v>415</v>
      </c>
      <c r="M218" s="1050" t="s">
        <v>2530</v>
      </c>
      <c r="N218" s="1050" t="s">
        <v>1737</v>
      </c>
      <c r="O218" s="1207" t="s">
        <v>3972</v>
      </c>
      <c r="P218" s="530" t="s">
        <v>2209</v>
      </c>
      <c r="Q218" s="510"/>
      <c r="R218" s="170"/>
      <c r="S218" s="387"/>
      <c r="T218" s="491" t="s">
        <v>2179</v>
      </c>
      <c r="U218" s="491" t="s">
        <v>2185</v>
      </c>
      <c r="W218" s="427" t="s">
        <v>1220</v>
      </c>
      <c r="X218" s="427" t="s">
        <v>3276</v>
      </c>
      <c r="Z218" s="427"/>
      <c r="AA218" s="158"/>
      <c r="AB218" s="158"/>
      <c r="AC218" s="889"/>
      <c r="AD218" s="502"/>
      <c r="AE218" s="158"/>
      <c r="AF218" s="158"/>
      <c r="AG218" s="158"/>
      <c r="AH218" s="158"/>
      <c r="AI218" s="158"/>
      <c r="AJ218" s="158"/>
      <c r="AK218" s="158"/>
    </row>
    <row r="219" spans="2:37" ht="10.5" customHeight="1">
      <c r="B219" s="282"/>
      <c r="C219" s="377" t="s">
        <v>747</v>
      </c>
      <c r="D219" s="439">
        <v>54600</v>
      </c>
      <c r="E219" s="282"/>
      <c r="F219" s="282" t="s">
        <v>1333</v>
      </c>
      <c r="G219" s="967" t="s">
        <v>932</v>
      </c>
      <c r="H219" s="967" t="s">
        <v>1184</v>
      </c>
      <c r="I219" s="971" t="s">
        <v>1737</v>
      </c>
      <c r="J219" s="971" t="s">
        <v>2544</v>
      </c>
      <c r="K219" s="969" t="s">
        <v>1138</v>
      </c>
      <c r="L219" s="970" t="s">
        <v>416</v>
      </c>
      <c r="M219" s="1050" t="s">
        <v>1169</v>
      </c>
      <c r="N219" s="1050" t="s">
        <v>1737</v>
      </c>
      <c r="O219" s="1207" t="s">
        <v>3973</v>
      </c>
      <c r="P219" s="530" t="s">
        <v>1728</v>
      </c>
      <c r="Q219" s="510"/>
      <c r="R219" s="170"/>
      <c r="S219" s="387"/>
      <c r="T219" s="491" t="s">
        <v>2493</v>
      </c>
      <c r="U219" s="491" t="s">
        <v>609</v>
      </c>
      <c r="W219" s="427" t="s">
        <v>1222</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1335</v>
      </c>
      <c r="G220" s="967" t="s">
        <v>851</v>
      </c>
      <c r="H220" s="967" t="s">
        <v>1283</v>
      </c>
      <c r="I220" s="971" t="s">
        <v>745</v>
      </c>
      <c r="J220" s="971" t="s">
        <v>2544</v>
      </c>
      <c r="K220" s="969" t="s">
        <v>2508</v>
      </c>
      <c r="L220" s="970" t="s">
        <v>416</v>
      </c>
      <c r="M220" s="1049" t="s">
        <v>1169</v>
      </c>
      <c r="N220" s="1049" t="s">
        <v>1178</v>
      </c>
      <c r="O220" s="1207" t="s">
        <v>3974</v>
      </c>
      <c r="P220" s="530" t="s">
        <v>1730</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1015</v>
      </c>
      <c r="D221" s="439">
        <v>52400</v>
      </c>
      <c r="E221" s="282"/>
      <c r="F221" s="282" t="s">
        <v>1337</v>
      </c>
      <c r="G221" s="967" t="s">
        <v>852</v>
      </c>
      <c r="H221" s="967" t="s">
        <v>1184</v>
      </c>
      <c r="I221" s="968" t="s">
        <v>853</v>
      </c>
      <c r="J221" s="968" t="s">
        <v>2543</v>
      </c>
      <c r="K221" s="969" t="s">
        <v>1911</v>
      </c>
      <c r="L221" s="970" t="s">
        <v>415</v>
      </c>
      <c r="M221" s="1050" t="s">
        <v>2530</v>
      </c>
      <c r="N221" s="1050" t="s">
        <v>1737</v>
      </c>
      <c r="O221" s="1207" t="s">
        <v>3975</v>
      </c>
      <c r="P221" s="530" t="s">
        <v>2106</v>
      </c>
      <c r="Q221" s="510"/>
      <c r="R221" s="170"/>
      <c r="S221" s="387"/>
      <c r="T221" s="491" t="s">
        <v>1705</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1336</v>
      </c>
      <c r="G222" s="967" t="s">
        <v>854</v>
      </c>
      <c r="H222" s="967" t="s">
        <v>1184</v>
      </c>
      <c r="I222" s="968" t="s">
        <v>1653</v>
      </c>
      <c r="J222" s="968" t="s">
        <v>2544</v>
      </c>
      <c r="K222" s="969" t="s">
        <v>2514</v>
      </c>
      <c r="L222" s="970" t="s">
        <v>416</v>
      </c>
      <c r="M222" s="1049" t="s">
        <v>2530</v>
      </c>
      <c r="N222" s="1049" t="s">
        <v>1653</v>
      </c>
      <c r="O222" s="1207" t="s">
        <v>3976</v>
      </c>
      <c r="P222" s="530" t="s">
        <v>2107</v>
      </c>
      <c r="Q222" s="510"/>
      <c r="R222" s="170"/>
      <c r="S222" s="387"/>
      <c r="T222" s="491" t="s">
        <v>1729</v>
      </c>
      <c r="U222" s="491" t="s">
        <v>1285</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1338</v>
      </c>
      <c r="G223" s="967" t="s">
        <v>855</v>
      </c>
      <c r="H223" s="967" t="s">
        <v>1184</v>
      </c>
      <c r="I223" s="971" t="s">
        <v>1298</v>
      </c>
      <c r="J223" s="971" t="s">
        <v>2544</v>
      </c>
      <c r="K223" s="969" t="s">
        <v>1433</v>
      </c>
      <c r="L223" s="970" t="s">
        <v>416</v>
      </c>
      <c r="M223" s="1049" t="s">
        <v>2530</v>
      </c>
      <c r="N223" s="1049" t="s">
        <v>1298</v>
      </c>
      <c r="O223" s="1207" t="s">
        <v>3977</v>
      </c>
      <c r="P223" s="530" t="s">
        <v>2379</v>
      </c>
      <c r="Q223" s="291"/>
      <c r="R223" s="170"/>
      <c r="S223" s="387"/>
      <c r="T223" s="491" t="s">
        <v>1731</v>
      </c>
      <c r="U223" s="491" t="s">
        <v>1959</v>
      </c>
      <c r="W223" s="427" t="s">
        <v>1207</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856</v>
      </c>
      <c r="H224" s="967" t="s">
        <v>1283</v>
      </c>
      <c r="I224" s="968" t="s">
        <v>857</v>
      </c>
      <c r="J224" s="968" t="s">
        <v>2543</v>
      </c>
      <c r="K224" s="969" t="s">
        <v>1307</v>
      </c>
      <c r="L224" s="970" t="s">
        <v>415</v>
      </c>
      <c r="M224" s="1050" t="s">
        <v>2530</v>
      </c>
      <c r="N224" s="1050" t="s">
        <v>162</v>
      </c>
      <c r="O224" s="1207" t="s">
        <v>3978</v>
      </c>
      <c r="P224" s="530" t="s">
        <v>2381</v>
      </c>
      <c r="Q224" s="291"/>
      <c r="R224" s="170"/>
      <c r="S224" s="387"/>
      <c r="T224" s="491" t="s">
        <v>804</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1184</v>
      </c>
      <c r="I225" s="968" t="s">
        <v>2184</v>
      </c>
      <c r="J225" s="968" t="s">
        <v>2543</v>
      </c>
      <c r="K225" s="969" t="s">
        <v>1308</v>
      </c>
      <c r="L225" s="970" t="s">
        <v>415</v>
      </c>
      <c r="M225" s="1050" t="s">
        <v>2530</v>
      </c>
      <c r="N225" s="1050" t="s">
        <v>1302</v>
      </c>
      <c r="O225" s="1207" t="s">
        <v>3979</v>
      </c>
      <c r="P225" s="530" t="s">
        <v>2383</v>
      </c>
      <c r="Q225" s="291"/>
      <c r="R225" s="170"/>
      <c r="S225" s="387"/>
      <c r="T225" s="531" t="s">
        <v>2108</v>
      </c>
      <c r="U225" s="531" t="s">
        <v>2521</v>
      </c>
      <c r="W225" s="427" t="s">
        <v>873</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1184</v>
      </c>
      <c r="I226" s="968" t="s">
        <v>635</v>
      </c>
      <c r="J226" s="968" t="s">
        <v>2543</v>
      </c>
      <c r="K226" s="969" t="s">
        <v>1309</v>
      </c>
      <c r="L226" s="970" t="s">
        <v>415</v>
      </c>
      <c r="M226" s="1050" t="s">
        <v>2530</v>
      </c>
      <c r="N226" s="1050" t="s">
        <v>1298</v>
      </c>
      <c r="O226" s="1207" t="s">
        <v>3980</v>
      </c>
      <c r="P226" s="530" t="s">
        <v>2385</v>
      </c>
      <c r="Q226" s="291"/>
      <c r="R226" s="170"/>
      <c r="S226" s="387"/>
      <c r="T226" s="491" t="s">
        <v>2380</v>
      </c>
      <c r="U226" s="491" t="s">
        <v>1071</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636</v>
      </c>
      <c r="H227" s="967" t="s">
        <v>1283</v>
      </c>
      <c r="I227" s="968" t="s">
        <v>637</v>
      </c>
      <c r="J227" s="968" t="s">
        <v>2543</v>
      </c>
      <c r="K227" s="969" t="s">
        <v>1310</v>
      </c>
      <c r="L227" s="970" t="s">
        <v>415</v>
      </c>
      <c r="M227" s="1050" t="s">
        <v>2530</v>
      </c>
      <c r="N227" s="1050" t="s">
        <v>1178</v>
      </c>
      <c r="O227" s="1207" t="s">
        <v>3981</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748</v>
      </c>
      <c r="D228" s="439">
        <v>54500</v>
      </c>
      <c r="E228" s="282"/>
      <c r="F228" s="532"/>
      <c r="G228" s="967" t="s">
        <v>638</v>
      </c>
      <c r="H228" s="967" t="s">
        <v>1283</v>
      </c>
      <c r="I228" s="971" t="s">
        <v>745</v>
      </c>
      <c r="J228" s="971" t="s">
        <v>2544</v>
      </c>
      <c r="K228" s="969" t="s">
        <v>2508</v>
      </c>
      <c r="L228" s="970" t="s">
        <v>416</v>
      </c>
      <c r="M228" s="1049" t="s">
        <v>1169</v>
      </c>
      <c r="N228" s="1049" t="s">
        <v>1178</v>
      </c>
      <c r="O228" s="1207" t="s">
        <v>3982</v>
      </c>
      <c r="P228" s="530" t="s">
        <v>2172</v>
      </c>
      <c r="Q228" s="291"/>
      <c r="R228" s="170"/>
      <c r="S228" s="387"/>
      <c r="T228" s="491" t="s">
        <v>2382</v>
      </c>
      <c r="U228" s="491" t="s">
        <v>1871</v>
      </c>
      <c r="W228" s="427" t="s">
        <v>581</v>
      </c>
      <c r="X228" s="427" t="s">
        <v>3276</v>
      </c>
      <c r="Z228" s="427"/>
      <c r="AA228" s="158"/>
      <c r="AB228" s="158"/>
      <c r="AC228" s="889"/>
      <c r="AD228" s="502"/>
      <c r="AE228" s="158"/>
      <c r="AF228" s="158"/>
      <c r="AG228" s="158"/>
      <c r="AH228" s="158"/>
      <c r="AI228" s="158"/>
      <c r="AJ228" s="158"/>
      <c r="AK228" s="158"/>
    </row>
    <row r="229" spans="2:37" ht="10.5" customHeight="1">
      <c r="B229" s="282"/>
      <c r="C229" s="377" t="s">
        <v>1424</v>
      </c>
      <c r="D229" s="439">
        <v>45600</v>
      </c>
      <c r="E229" s="282"/>
      <c r="F229" s="532"/>
      <c r="G229" s="967" t="s">
        <v>639</v>
      </c>
      <c r="H229" s="967" t="s">
        <v>1283</v>
      </c>
      <c r="I229" s="971" t="s">
        <v>2208</v>
      </c>
      <c r="J229" s="971" t="s">
        <v>2544</v>
      </c>
      <c r="K229" s="969" t="s">
        <v>1311</v>
      </c>
      <c r="L229" s="970" t="s">
        <v>416</v>
      </c>
      <c r="M229" s="1050" t="s">
        <v>1169</v>
      </c>
      <c r="N229" s="1050" t="s">
        <v>1178</v>
      </c>
      <c r="O229" s="1207" t="s">
        <v>3983</v>
      </c>
      <c r="P229" s="530" t="s">
        <v>689</v>
      </c>
      <c r="Q229" s="291"/>
      <c r="R229" s="170"/>
      <c r="S229" s="387"/>
      <c r="T229" s="491" t="s">
        <v>2384</v>
      </c>
      <c r="U229" s="491" t="s">
        <v>852</v>
      </c>
      <c r="W229" s="427" t="s">
        <v>583</v>
      </c>
      <c r="X229" s="427" t="s">
        <v>3276</v>
      </c>
      <c r="Z229" s="427"/>
      <c r="AA229" s="158"/>
      <c r="AB229" s="158"/>
      <c r="AC229" s="889"/>
      <c r="AD229" s="502"/>
      <c r="AE229" s="158"/>
      <c r="AF229" s="158"/>
      <c r="AG229" s="158"/>
      <c r="AH229" s="158"/>
      <c r="AI229" s="158"/>
      <c r="AJ229" s="158"/>
      <c r="AK229" s="158"/>
    </row>
    <row r="230" spans="2:37" ht="10.5" customHeight="1">
      <c r="B230" s="282"/>
      <c r="C230" s="377" t="s">
        <v>1428</v>
      </c>
      <c r="D230" s="439">
        <v>50800</v>
      </c>
      <c r="E230" s="282"/>
      <c r="F230" s="532"/>
      <c r="G230" s="967" t="s">
        <v>640</v>
      </c>
      <c r="H230" s="967" t="s">
        <v>1283</v>
      </c>
      <c r="I230" s="971" t="s">
        <v>745</v>
      </c>
      <c r="J230" s="971" t="s">
        <v>2544</v>
      </c>
      <c r="K230" s="969" t="s">
        <v>2508</v>
      </c>
      <c r="L230" s="970" t="s">
        <v>416</v>
      </c>
      <c r="M230" s="1049" t="s">
        <v>1169</v>
      </c>
      <c r="N230" s="1049" t="s">
        <v>1178</v>
      </c>
      <c r="O230" s="1207" t="s">
        <v>3984</v>
      </c>
      <c r="P230" s="530" t="s">
        <v>691</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1430</v>
      </c>
      <c r="D231" s="439">
        <v>58200</v>
      </c>
      <c r="E231" s="282"/>
      <c r="F231" s="532"/>
      <c r="G231" s="967" t="s">
        <v>641</v>
      </c>
      <c r="H231" s="967" t="s">
        <v>1283</v>
      </c>
      <c r="I231" s="971" t="s">
        <v>642</v>
      </c>
      <c r="J231" s="971" t="s">
        <v>2543</v>
      </c>
      <c r="K231" s="969" t="s">
        <v>1312</v>
      </c>
      <c r="L231" s="970" t="s">
        <v>415</v>
      </c>
      <c r="M231" s="1050" t="s">
        <v>2530</v>
      </c>
      <c r="N231" s="1050" t="s">
        <v>162</v>
      </c>
      <c r="O231" s="1207" t="s">
        <v>3985</v>
      </c>
      <c r="P231" s="530" t="s">
        <v>693</v>
      </c>
      <c r="Q231" s="291"/>
      <c r="R231" s="170"/>
      <c r="S231" s="387"/>
      <c r="T231" s="491" t="s">
        <v>2173</v>
      </c>
      <c r="U231" s="491" t="s">
        <v>636</v>
      </c>
      <c r="W231" s="427" t="s">
        <v>587</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1179</v>
      </c>
      <c r="H232" s="967" t="s">
        <v>1751</v>
      </c>
      <c r="I232" s="971" t="s">
        <v>745</v>
      </c>
      <c r="J232" s="971" t="s">
        <v>2544</v>
      </c>
      <c r="K232" s="969" t="s">
        <v>2508</v>
      </c>
      <c r="L232" s="970" t="s">
        <v>416</v>
      </c>
      <c r="M232" s="1049" t="s">
        <v>1169</v>
      </c>
      <c r="N232" s="1049" t="s">
        <v>1178</v>
      </c>
      <c r="O232" s="1207" t="s">
        <v>3986</v>
      </c>
      <c r="P232" s="530" t="s">
        <v>695</v>
      </c>
      <c r="Q232" s="291"/>
      <c r="R232" s="170"/>
      <c r="S232" s="387"/>
      <c r="T232" s="491" t="s">
        <v>690</v>
      </c>
      <c r="U232" s="491" t="s">
        <v>2415</v>
      </c>
      <c r="W232" s="427" t="s">
        <v>530</v>
      </c>
      <c r="X232" s="427" t="s">
        <v>3276</v>
      </c>
      <c r="Z232" s="427"/>
      <c r="AA232" s="158"/>
      <c r="AB232" s="158"/>
      <c r="AC232" s="889"/>
      <c r="AD232" s="502"/>
      <c r="AE232" s="158"/>
      <c r="AF232" s="158"/>
      <c r="AG232" s="158"/>
      <c r="AH232" s="158"/>
      <c r="AI232" s="158"/>
      <c r="AJ232" s="158"/>
      <c r="AK232" s="158"/>
    </row>
    <row r="233" spans="2:37" ht="10.5" customHeight="1">
      <c r="B233" s="282"/>
      <c r="C233" s="377" t="s">
        <v>1292</v>
      </c>
      <c r="D233" s="439">
        <v>40500</v>
      </c>
      <c r="E233" s="282"/>
      <c r="F233" s="532"/>
      <c r="G233" s="967" t="s">
        <v>643</v>
      </c>
      <c r="H233" s="967" t="s">
        <v>1283</v>
      </c>
      <c r="I233" s="968" t="s">
        <v>644</v>
      </c>
      <c r="J233" s="968" t="s">
        <v>2543</v>
      </c>
      <c r="K233" s="969" t="s">
        <v>234</v>
      </c>
      <c r="L233" s="970" t="s">
        <v>415</v>
      </c>
      <c r="M233" s="1050" t="s">
        <v>2530</v>
      </c>
      <c r="N233" s="1050" t="s">
        <v>1178</v>
      </c>
      <c r="O233" s="1207" t="s">
        <v>3987</v>
      </c>
      <c r="P233" s="530" t="s">
        <v>2164</v>
      </c>
      <c r="Q233" s="291"/>
      <c r="R233" s="170"/>
      <c r="S233" s="387"/>
      <c r="T233" s="531" t="s">
        <v>692</v>
      </c>
      <c r="U233" s="531" t="s">
        <v>1086</v>
      </c>
      <c r="W233" s="427" t="s">
        <v>727</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645</v>
      </c>
      <c r="H234" s="967" t="s">
        <v>1283</v>
      </c>
      <c r="I234" s="971" t="s">
        <v>646</v>
      </c>
      <c r="J234" s="971" t="s">
        <v>2543</v>
      </c>
      <c r="K234" s="969" t="s">
        <v>235</v>
      </c>
      <c r="L234" s="970" t="s">
        <v>415</v>
      </c>
      <c r="M234" s="1050" t="s">
        <v>2530</v>
      </c>
      <c r="N234" s="1050" t="s">
        <v>1302</v>
      </c>
      <c r="O234" s="1207" t="s">
        <v>3988</v>
      </c>
      <c r="P234" s="530" t="s">
        <v>2165</v>
      </c>
      <c r="Q234" s="291"/>
      <c r="R234" s="170"/>
      <c r="S234" s="387"/>
      <c r="T234" s="491" t="s">
        <v>694</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750</v>
      </c>
      <c r="D235" s="439">
        <v>49500</v>
      </c>
      <c r="E235" s="282"/>
      <c r="F235" s="532"/>
      <c r="G235" s="967" t="s">
        <v>647</v>
      </c>
      <c r="H235" s="967" t="s">
        <v>1751</v>
      </c>
      <c r="I235" s="968" t="s">
        <v>9</v>
      </c>
      <c r="J235" s="968" t="s">
        <v>2544</v>
      </c>
      <c r="K235" s="969" t="s">
        <v>2513</v>
      </c>
      <c r="L235" s="970" t="s">
        <v>416</v>
      </c>
      <c r="M235" s="1050" t="s">
        <v>1169</v>
      </c>
      <c r="N235" s="1050" t="s">
        <v>1298</v>
      </c>
      <c r="O235" s="1207" t="s">
        <v>3989</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1598</v>
      </c>
      <c r="D236" s="439">
        <v>50500</v>
      </c>
      <c r="E236" s="282"/>
      <c r="F236" s="532"/>
      <c r="G236" s="967" t="s">
        <v>648</v>
      </c>
      <c r="H236" s="967" t="s">
        <v>1283</v>
      </c>
      <c r="I236" s="968" t="s">
        <v>649</v>
      </c>
      <c r="J236" s="968" t="s">
        <v>2543</v>
      </c>
      <c r="K236" s="969" t="s">
        <v>236</v>
      </c>
      <c r="L236" s="970" t="s">
        <v>415</v>
      </c>
      <c r="M236" s="1050" t="s">
        <v>2530</v>
      </c>
      <c r="N236" s="1050" t="s">
        <v>1178</v>
      </c>
      <c r="O236" s="1207" t="s">
        <v>3990</v>
      </c>
      <c r="P236" s="530" t="s">
        <v>665</v>
      </c>
      <c r="Q236" s="291"/>
      <c r="R236" s="170"/>
      <c r="S236" s="387"/>
      <c r="T236" s="491" t="s">
        <v>2166</v>
      </c>
      <c r="U236" s="491" t="s">
        <v>1626</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1600</v>
      </c>
      <c r="D237" s="439">
        <v>40200</v>
      </c>
      <c r="E237" s="282"/>
      <c r="F237" s="532"/>
      <c r="G237" s="967" t="s">
        <v>650</v>
      </c>
      <c r="H237" s="967" t="s">
        <v>1184</v>
      </c>
      <c r="I237" s="968" t="s">
        <v>651</v>
      </c>
      <c r="J237" s="968" t="s">
        <v>2543</v>
      </c>
      <c r="K237" s="969" t="s">
        <v>395</v>
      </c>
      <c r="L237" s="970" t="s">
        <v>415</v>
      </c>
      <c r="M237" s="1050" t="s">
        <v>2530</v>
      </c>
      <c r="N237" s="1050" t="s">
        <v>1737</v>
      </c>
      <c r="O237" s="1207" t="s">
        <v>3991</v>
      </c>
      <c r="P237" s="530" t="s">
        <v>768</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652</v>
      </c>
      <c r="H238" s="967" t="s">
        <v>1283</v>
      </c>
      <c r="I238" s="968" t="s">
        <v>653</v>
      </c>
      <c r="J238" s="968" t="s">
        <v>2543</v>
      </c>
      <c r="K238" s="969" t="s">
        <v>396</v>
      </c>
      <c r="L238" s="970" t="s">
        <v>415</v>
      </c>
      <c r="M238" s="1050" t="s">
        <v>2530</v>
      </c>
      <c r="N238" s="1050" t="s">
        <v>162</v>
      </c>
      <c r="O238" s="1207" t="s">
        <v>3992</v>
      </c>
      <c r="P238" s="530" t="s">
        <v>2211</v>
      </c>
      <c r="Q238" s="291"/>
      <c r="R238" s="170"/>
      <c r="S238" s="387"/>
      <c r="T238" s="491" t="s">
        <v>666</v>
      </c>
      <c r="U238" s="491" t="s">
        <v>714</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1283</v>
      </c>
      <c r="I239" s="971" t="s">
        <v>745</v>
      </c>
      <c r="J239" s="971" t="s">
        <v>2544</v>
      </c>
      <c r="K239" s="969" t="s">
        <v>2508</v>
      </c>
      <c r="L239" s="970" t="s">
        <v>416</v>
      </c>
      <c r="M239" s="1049" t="s">
        <v>1169</v>
      </c>
      <c r="N239" s="1049" t="s">
        <v>1178</v>
      </c>
      <c r="O239" s="1207" t="s">
        <v>3993</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1283</v>
      </c>
      <c r="I240" s="968" t="s">
        <v>120</v>
      </c>
      <c r="J240" s="968" t="s">
        <v>2543</v>
      </c>
      <c r="K240" s="969" t="s">
        <v>397</v>
      </c>
      <c r="L240" s="970" t="s">
        <v>415</v>
      </c>
      <c r="M240" s="1050" t="s">
        <v>2530</v>
      </c>
      <c r="N240" s="1050" t="s">
        <v>162</v>
      </c>
      <c r="O240" s="1207" t="s">
        <v>3994</v>
      </c>
      <c r="P240" s="530" t="s">
        <v>43</v>
      </c>
      <c r="Q240" s="291"/>
      <c r="R240" s="170"/>
      <c r="S240" s="387"/>
      <c r="T240" s="491" t="s">
        <v>2270</v>
      </c>
      <c r="U240" s="491" t="s">
        <v>856</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1283</v>
      </c>
      <c r="I241" s="968" t="s">
        <v>1194</v>
      </c>
      <c r="J241" s="968" t="s">
        <v>2544</v>
      </c>
      <c r="K241" s="969" t="s">
        <v>398</v>
      </c>
      <c r="L241" s="970" t="s">
        <v>416</v>
      </c>
      <c r="M241" s="1050" t="s">
        <v>1169</v>
      </c>
      <c r="N241" s="1050" t="s">
        <v>1178</v>
      </c>
      <c r="O241" s="1207" t="s">
        <v>3995</v>
      </c>
      <c r="P241" s="530" t="s">
        <v>614</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1069</v>
      </c>
      <c r="D242" s="439">
        <v>56600</v>
      </c>
      <c r="E242" s="282"/>
      <c r="F242" s="532"/>
      <c r="G242" s="972" t="s">
        <v>307</v>
      </c>
      <c r="H242" s="967" t="s">
        <v>1283</v>
      </c>
      <c r="I242" s="968" t="s">
        <v>308</v>
      </c>
      <c r="J242" s="968" t="s">
        <v>2543</v>
      </c>
      <c r="K242" s="969" t="s">
        <v>399</v>
      </c>
      <c r="L242" s="970" t="s">
        <v>415</v>
      </c>
      <c r="M242" s="1050" t="s">
        <v>2530</v>
      </c>
      <c r="N242" s="1050" t="s">
        <v>1292</v>
      </c>
      <c r="O242" s="1207" t="s">
        <v>3996</v>
      </c>
      <c r="P242" s="530" t="s">
        <v>299</v>
      </c>
      <c r="Q242" s="291"/>
      <c r="R242" s="170"/>
      <c r="S242" s="387"/>
      <c r="T242" s="491" t="s">
        <v>615</v>
      </c>
      <c r="U242" s="491" t="s">
        <v>2523</v>
      </c>
      <c r="W242" s="427" t="s">
        <v>851</v>
      </c>
      <c r="X242" s="427" t="s">
        <v>3276</v>
      </c>
      <c r="Z242" s="427"/>
      <c r="AA242" s="158"/>
      <c r="AB242" s="158"/>
      <c r="AC242" s="889"/>
      <c r="AD242" s="502"/>
      <c r="AE242" s="158"/>
      <c r="AF242" s="158"/>
      <c r="AG242" s="158"/>
      <c r="AH242" s="158"/>
      <c r="AI242" s="158"/>
      <c r="AJ242" s="158"/>
      <c r="AK242" s="158"/>
    </row>
    <row r="243" spans="2:37" ht="10.5" customHeight="1">
      <c r="B243" s="282"/>
      <c r="C243" s="377" t="s">
        <v>1072</v>
      </c>
      <c r="D243" s="439">
        <v>53900</v>
      </c>
      <c r="E243" s="282"/>
      <c r="F243" s="532"/>
      <c r="G243" s="967" t="s">
        <v>309</v>
      </c>
      <c r="H243" s="967" t="s">
        <v>1283</v>
      </c>
      <c r="I243" s="971" t="s">
        <v>747</v>
      </c>
      <c r="J243" s="971" t="s">
        <v>2544</v>
      </c>
      <c r="K243" s="969" t="s">
        <v>400</v>
      </c>
      <c r="L243" s="970" t="s">
        <v>416</v>
      </c>
      <c r="M243" s="1049" t="s">
        <v>2530</v>
      </c>
      <c r="N243" s="1049" t="s">
        <v>1178</v>
      </c>
      <c r="O243" s="1207" t="s">
        <v>3997</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1075</v>
      </c>
      <c r="D244" s="439">
        <v>51100</v>
      </c>
      <c r="E244" s="282"/>
      <c r="F244" s="532"/>
      <c r="G244" s="967" t="s">
        <v>310</v>
      </c>
      <c r="H244" s="967" t="s">
        <v>1184</v>
      </c>
      <c r="I244" s="971" t="s">
        <v>157</v>
      </c>
      <c r="J244" s="971" t="s">
        <v>2544</v>
      </c>
      <c r="K244" s="969" t="s">
        <v>1639</v>
      </c>
      <c r="L244" s="970" t="s">
        <v>416</v>
      </c>
      <c r="M244" s="1049" t="s">
        <v>2530</v>
      </c>
      <c r="N244" s="1049" t="s">
        <v>157</v>
      </c>
      <c r="O244" s="1207" t="s">
        <v>3998</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1077</v>
      </c>
      <c r="D245" s="439">
        <v>49800</v>
      </c>
      <c r="E245" s="282"/>
      <c r="F245" s="532"/>
      <c r="G245" s="967" t="s">
        <v>311</v>
      </c>
      <c r="H245" s="967" t="s">
        <v>1283</v>
      </c>
      <c r="I245" s="968" t="s">
        <v>312</v>
      </c>
      <c r="J245" s="968" t="s">
        <v>2543</v>
      </c>
      <c r="K245" s="969" t="s">
        <v>401</v>
      </c>
      <c r="L245" s="970" t="s">
        <v>415</v>
      </c>
      <c r="M245" s="1050" t="s">
        <v>2530</v>
      </c>
      <c r="N245" s="1050" t="s">
        <v>162</v>
      </c>
      <c r="O245" s="1207" t="s">
        <v>3999</v>
      </c>
      <c r="P245" s="530" t="s">
        <v>2330</v>
      </c>
      <c r="Q245" s="291"/>
      <c r="R245" s="170"/>
      <c r="S245" s="387"/>
      <c r="T245" s="491" t="s">
        <v>2329</v>
      </c>
      <c r="U245" s="491" t="s">
        <v>1625</v>
      </c>
      <c r="W245" s="427" t="s">
        <v>698</v>
      </c>
      <c r="X245" s="427" t="s">
        <v>3276</v>
      </c>
      <c r="Z245" s="427"/>
      <c r="AA245" s="158"/>
      <c r="AB245" s="158"/>
      <c r="AC245" s="889"/>
      <c r="AD245" s="502"/>
      <c r="AE245" s="158"/>
      <c r="AF245" s="158"/>
      <c r="AG245" s="158"/>
      <c r="AH245" s="158"/>
      <c r="AI245" s="158"/>
      <c r="AJ245" s="158"/>
      <c r="AK245" s="158"/>
    </row>
    <row r="246" spans="2:37" ht="10.5" customHeight="1">
      <c r="B246" s="282"/>
      <c r="C246" s="377" t="s">
        <v>1079</v>
      </c>
      <c r="D246" s="439">
        <v>60100</v>
      </c>
      <c r="E246" s="282"/>
      <c r="F246" s="532"/>
      <c r="G246" s="967" t="s">
        <v>313</v>
      </c>
      <c r="H246" s="967" t="s">
        <v>1184</v>
      </c>
      <c r="I246" s="971" t="s">
        <v>745</v>
      </c>
      <c r="J246" s="971" t="s">
        <v>2544</v>
      </c>
      <c r="K246" s="969" t="s">
        <v>2508</v>
      </c>
      <c r="L246" s="970" t="s">
        <v>416</v>
      </c>
      <c r="M246" s="1049" t="s">
        <v>1169</v>
      </c>
      <c r="N246" s="1049" t="s">
        <v>1178</v>
      </c>
      <c r="O246" s="1207" t="s">
        <v>4000</v>
      </c>
      <c r="P246" s="530" t="s">
        <v>2331</v>
      </c>
      <c r="Q246" s="291"/>
      <c r="R246" s="170"/>
      <c r="S246" s="387"/>
      <c r="T246" s="491" t="s">
        <v>2745</v>
      </c>
      <c r="U246" s="491" t="s">
        <v>609</v>
      </c>
      <c r="W246" s="427" t="s">
        <v>1117</v>
      </c>
      <c r="X246" s="427" t="s">
        <v>3276</v>
      </c>
      <c r="Z246" s="427"/>
      <c r="AA246" s="158"/>
      <c r="AB246" s="158"/>
      <c r="AC246" s="889"/>
      <c r="AD246" s="502"/>
      <c r="AE246" s="158"/>
      <c r="AF246" s="158"/>
      <c r="AG246" s="158"/>
      <c r="AH246" s="158"/>
      <c r="AI246" s="158"/>
      <c r="AJ246" s="158"/>
      <c r="AK246" s="158"/>
    </row>
    <row r="247" spans="2:37" ht="10.5" customHeight="1">
      <c r="B247" s="282"/>
      <c r="C247" s="377" t="s">
        <v>1081</v>
      </c>
      <c r="D247" s="439">
        <v>38300</v>
      </c>
      <c r="E247" s="282"/>
      <c r="F247" s="532"/>
      <c r="G247" s="967" t="s">
        <v>314</v>
      </c>
      <c r="H247" s="967" t="s">
        <v>1283</v>
      </c>
      <c r="I247" s="971" t="s">
        <v>745</v>
      </c>
      <c r="J247" s="971" t="s">
        <v>2544</v>
      </c>
      <c r="K247" s="969" t="s">
        <v>2508</v>
      </c>
      <c r="L247" s="970" t="s">
        <v>416</v>
      </c>
      <c r="M247" s="1049" t="s">
        <v>1169</v>
      </c>
      <c r="N247" s="1049" t="s">
        <v>1178</v>
      </c>
      <c r="O247" s="1207" t="s">
        <v>4001</v>
      </c>
      <c r="P247" s="530" t="s">
        <v>2299</v>
      </c>
      <c r="Q247" s="291"/>
      <c r="R247" s="170"/>
      <c r="S247" s="387"/>
      <c r="T247" s="491" t="s">
        <v>610</v>
      </c>
      <c r="U247" s="491" t="s">
        <v>1299</v>
      </c>
      <c r="W247" s="427" t="s">
        <v>1119</v>
      </c>
      <c r="X247" s="427" t="s">
        <v>3276</v>
      </c>
      <c r="Z247" s="427"/>
      <c r="AA247" s="158"/>
      <c r="AB247" s="158"/>
      <c r="AC247" s="889"/>
      <c r="AD247" s="502"/>
      <c r="AE247" s="158"/>
      <c r="AF247" s="158"/>
      <c r="AG247" s="158"/>
      <c r="AH247" s="158"/>
      <c r="AI247" s="158"/>
      <c r="AJ247" s="158"/>
      <c r="AK247" s="158"/>
    </row>
    <row r="248" spans="2:37" ht="10.5" customHeight="1">
      <c r="B248" s="282"/>
      <c r="C248" s="377" t="s">
        <v>1083</v>
      </c>
      <c r="D248" s="439">
        <v>56800</v>
      </c>
      <c r="E248" s="282"/>
      <c r="F248" s="532"/>
      <c r="G248" s="967" t="s">
        <v>315</v>
      </c>
      <c r="H248" s="967" t="s">
        <v>1283</v>
      </c>
      <c r="I248" s="971" t="s">
        <v>1666</v>
      </c>
      <c r="J248" s="971" t="s">
        <v>2544</v>
      </c>
      <c r="K248" s="969" t="s">
        <v>402</v>
      </c>
      <c r="L248" s="970" t="s">
        <v>416</v>
      </c>
      <c r="M248" s="1050" t="s">
        <v>1169</v>
      </c>
      <c r="N248" s="1050" t="s">
        <v>1292</v>
      </c>
      <c r="O248" s="1207" t="s">
        <v>4002</v>
      </c>
      <c r="P248" s="530" t="s">
        <v>8</v>
      </c>
      <c r="Q248" s="291"/>
      <c r="R248" s="170"/>
      <c r="S248" s="387"/>
      <c r="T248" s="491" t="s">
        <v>1296</v>
      </c>
      <c r="U248" s="491" t="s">
        <v>638</v>
      </c>
      <c r="W248" s="427" t="s">
        <v>1121</v>
      </c>
      <c r="X248" s="427" t="s">
        <v>3276</v>
      </c>
      <c r="Z248" s="427"/>
      <c r="AA248" s="158"/>
      <c r="AB248" s="158"/>
      <c r="AC248" s="889"/>
      <c r="AD248" s="502"/>
      <c r="AE248" s="158"/>
      <c r="AF248" s="158"/>
      <c r="AG248" s="158"/>
      <c r="AH248" s="158"/>
      <c r="AI248" s="158"/>
      <c r="AJ248" s="158"/>
      <c r="AK248" s="158"/>
    </row>
    <row r="249" spans="2:37" ht="10.5" customHeight="1">
      <c r="B249" s="282"/>
      <c r="C249" s="376" t="s">
        <v>1085</v>
      </c>
      <c r="D249" s="439">
        <v>37800</v>
      </c>
      <c r="E249" s="282"/>
      <c r="F249" s="532"/>
      <c r="G249" s="967" t="s">
        <v>316</v>
      </c>
      <c r="H249" s="967" t="s">
        <v>1184</v>
      </c>
      <c r="I249" s="968" t="s">
        <v>317</v>
      </c>
      <c r="J249" s="968" t="s">
        <v>2543</v>
      </c>
      <c r="K249" s="969" t="s">
        <v>629</v>
      </c>
      <c r="L249" s="970" t="s">
        <v>415</v>
      </c>
      <c r="M249" s="1050" t="s">
        <v>2530</v>
      </c>
      <c r="N249" s="1050" t="s">
        <v>1737</v>
      </c>
      <c r="O249" s="1207" t="s">
        <v>4003</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1283</v>
      </c>
      <c r="I250" s="968" t="s">
        <v>319</v>
      </c>
      <c r="J250" s="968" t="s">
        <v>2543</v>
      </c>
      <c r="K250" s="969" t="s">
        <v>630</v>
      </c>
      <c r="L250" s="970" t="s">
        <v>415</v>
      </c>
      <c r="M250" s="1050" t="s">
        <v>2530</v>
      </c>
      <c r="N250" s="1050" t="s">
        <v>1178</v>
      </c>
      <c r="O250" s="1207" t="s">
        <v>4004</v>
      </c>
      <c r="P250" s="530" t="s">
        <v>54</v>
      </c>
      <c r="Q250" s="291"/>
      <c r="R250" s="170"/>
      <c r="S250" s="387"/>
      <c r="T250" s="491" t="s">
        <v>9</v>
      </c>
      <c r="U250" s="491" t="s">
        <v>647</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1298</v>
      </c>
      <c r="D251" s="439">
        <v>75400</v>
      </c>
      <c r="E251" s="282"/>
      <c r="F251" s="532"/>
      <c r="G251" s="967" t="s">
        <v>320</v>
      </c>
      <c r="H251" s="967" t="s">
        <v>1283</v>
      </c>
      <c r="I251" s="971" t="s">
        <v>745</v>
      </c>
      <c r="J251" s="971" t="s">
        <v>2544</v>
      </c>
      <c r="K251" s="969" t="s">
        <v>2508</v>
      </c>
      <c r="L251" s="970" t="s">
        <v>416</v>
      </c>
      <c r="M251" s="1049" t="s">
        <v>1169</v>
      </c>
      <c r="N251" s="1049" t="s">
        <v>1178</v>
      </c>
      <c r="O251" s="1207" t="s">
        <v>4005</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1184</v>
      </c>
      <c r="I252" s="968" t="s">
        <v>322</v>
      </c>
      <c r="J252" s="968" t="s">
        <v>2543</v>
      </c>
      <c r="K252" s="969" t="s">
        <v>631</v>
      </c>
      <c r="L252" s="970" t="s">
        <v>415</v>
      </c>
      <c r="M252" s="1050" t="s">
        <v>2530</v>
      </c>
      <c r="N252" s="1050" t="s">
        <v>1653</v>
      </c>
      <c r="O252" s="1207" t="s">
        <v>4006</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1184</v>
      </c>
      <c r="I253" s="968" t="s">
        <v>324</v>
      </c>
      <c r="J253" s="968" t="s">
        <v>2543</v>
      </c>
      <c r="K253" s="969" t="s">
        <v>259</v>
      </c>
      <c r="L253" s="970" t="s">
        <v>415</v>
      </c>
      <c r="M253" s="1050" t="s">
        <v>2530</v>
      </c>
      <c r="N253" s="1050" t="s">
        <v>1302</v>
      </c>
      <c r="O253" s="1207" t="s">
        <v>4007</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1184</v>
      </c>
      <c r="I254" s="968" t="s">
        <v>326</v>
      </c>
      <c r="J254" s="968" t="s">
        <v>2543</v>
      </c>
      <c r="K254" s="969" t="s">
        <v>260</v>
      </c>
      <c r="L254" s="970" t="s">
        <v>415</v>
      </c>
      <c r="M254" s="1050" t="s">
        <v>2530</v>
      </c>
      <c r="N254" s="1050" t="s">
        <v>1302</v>
      </c>
      <c r="O254" s="1207" t="s">
        <v>4008</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1184</v>
      </c>
      <c r="I255" s="968" t="s">
        <v>328</v>
      </c>
      <c r="J255" s="968" t="s">
        <v>2543</v>
      </c>
      <c r="K255" s="969" t="s">
        <v>261</v>
      </c>
      <c r="L255" s="970" t="s">
        <v>415</v>
      </c>
      <c r="M255" s="1050" t="s">
        <v>2530</v>
      </c>
      <c r="N255" s="1050" t="s">
        <v>1292</v>
      </c>
      <c r="O255" s="1207" t="s">
        <v>4009</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1184</v>
      </c>
      <c r="I256" s="971" t="s">
        <v>1292</v>
      </c>
      <c r="J256" s="971" t="s">
        <v>2544</v>
      </c>
      <c r="K256" s="969" t="s">
        <v>2511</v>
      </c>
      <c r="L256" s="970" t="s">
        <v>416</v>
      </c>
      <c r="M256" s="1049" t="s">
        <v>2530</v>
      </c>
      <c r="N256" s="1049" t="s">
        <v>1292</v>
      </c>
      <c r="O256" s="1207" t="s">
        <v>4010</v>
      </c>
      <c r="P256" s="530" t="s">
        <v>2229</v>
      </c>
      <c r="Q256" s="291"/>
      <c r="R256" s="170"/>
      <c r="S256" s="387"/>
      <c r="T256" s="491" t="s">
        <v>348</v>
      </c>
      <c r="U256" s="491" t="s">
        <v>930</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1283</v>
      </c>
      <c r="I257" s="971" t="s">
        <v>748</v>
      </c>
      <c r="J257" s="971" t="s">
        <v>2544</v>
      </c>
      <c r="K257" s="969" t="s">
        <v>262</v>
      </c>
      <c r="L257" s="970" t="s">
        <v>416</v>
      </c>
      <c r="M257" s="1049" t="s">
        <v>2530</v>
      </c>
      <c r="N257" s="1049" t="s">
        <v>1178</v>
      </c>
      <c r="O257" s="1207" t="s">
        <v>4011</v>
      </c>
      <c r="P257" s="530" t="s">
        <v>2231</v>
      </c>
      <c r="Q257" s="291"/>
      <c r="R257" s="170"/>
      <c r="S257" s="387"/>
      <c r="T257" s="491" t="s">
        <v>350</v>
      </c>
      <c r="U257" s="491" t="s">
        <v>1068</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1422</v>
      </c>
      <c r="H258" s="967" t="s">
        <v>1184</v>
      </c>
      <c r="I258" s="968" t="s">
        <v>1653</v>
      </c>
      <c r="J258" s="968" t="s">
        <v>2544</v>
      </c>
      <c r="K258" s="969" t="s">
        <v>2514</v>
      </c>
      <c r="L258" s="970" t="s">
        <v>416</v>
      </c>
      <c r="M258" s="1049" t="s">
        <v>2530</v>
      </c>
      <c r="N258" s="1049" t="s">
        <v>1653</v>
      </c>
      <c r="O258" s="1207" t="s">
        <v>4012</v>
      </c>
      <c r="P258" s="530" t="s">
        <v>2232</v>
      </c>
      <c r="Q258" s="291"/>
      <c r="R258" s="170"/>
      <c r="S258" s="387"/>
      <c r="T258" s="491" t="s">
        <v>611</v>
      </c>
      <c r="U258" s="491" t="s">
        <v>1423</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1423</v>
      </c>
      <c r="H259" s="967" t="s">
        <v>1283</v>
      </c>
      <c r="I259" s="968" t="s">
        <v>1424</v>
      </c>
      <c r="J259" s="968" t="s">
        <v>2543</v>
      </c>
      <c r="K259" s="969" t="s">
        <v>263</v>
      </c>
      <c r="L259" s="970" t="s">
        <v>415</v>
      </c>
      <c r="M259" s="1050" t="s">
        <v>2530</v>
      </c>
      <c r="N259" s="1050" t="s">
        <v>1292</v>
      </c>
      <c r="O259" s="1207" t="s">
        <v>4013</v>
      </c>
      <c r="P259" s="530" t="s">
        <v>2233</v>
      </c>
      <c r="Q259" s="291"/>
      <c r="R259" s="170"/>
      <c r="S259" s="387"/>
      <c r="T259" s="491" t="s">
        <v>2230</v>
      </c>
      <c r="U259" s="491" t="s">
        <v>650</v>
      </c>
      <c r="W259" s="427" t="s">
        <v>655</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1425</v>
      </c>
      <c r="H260" s="967" t="s">
        <v>1184</v>
      </c>
      <c r="I260" s="971" t="s">
        <v>1737</v>
      </c>
      <c r="J260" s="971" t="s">
        <v>2544</v>
      </c>
      <c r="K260" s="969" t="s">
        <v>1138</v>
      </c>
      <c r="L260" s="970" t="s">
        <v>416</v>
      </c>
      <c r="M260" s="1049" t="s">
        <v>2530</v>
      </c>
      <c r="N260" s="1049" t="s">
        <v>1737</v>
      </c>
      <c r="O260" s="1207" t="s">
        <v>4014</v>
      </c>
      <c r="P260" s="530" t="s">
        <v>1525</v>
      </c>
      <c r="Q260" s="291"/>
      <c r="R260" s="170"/>
      <c r="S260" s="387"/>
      <c r="T260" s="491" t="s">
        <v>1304</v>
      </c>
      <c r="U260" s="491" t="s">
        <v>648</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848</v>
      </c>
      <c r="D261" s="439">
        <v>33900</v>
      </c>
      <c r="E261" s="282"/>
      <c r="F261" s="532"/>
      <c r="G261" s="967" t="s">
        <v>1426</v>
      </c>
      <c r="H261" s="967" t="s">
        <v>1184</v>
      </c>
      <c r="I261" s="968" t="s">
        <v>749</v>
      </c>
      <c r="J261" s="968" t="s">
        <v>2544</v>
      </c>
      <c r="K261" s="969" t="s">
        <v>264</v>
      </c>
      <c r="L261" s="970" t="s">
        <v>416</v>
      </c>
      <c r="M261" s="1050" t="s">
        <v>1169</v>
      </c>
      <c r="N261" s="1050" t="s">
        <v>1298</v>
      </c>
      <c r="O261" s="1207" t="s">
        <v>4015</v>
      </c>
      <c r="P261" s="530" t="s">
        <v>1527</v>
      </c>
      <c r="Q261" s="291"/>
      <c r="R261" s="170"/>
      <c r="S261" s="387"/>
      <c r="T261" s="491" t="s">
        <v>2746</v>
      </c>
      <c r="U261" s="491" t="s">
        <v>650</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850</v>
      </c>
      <c r="D262" s="439">
        <v>32400</v>
      </c>
      <c r="E262" s="282"/>
      <c r="F262" s="532"/>
      <c r="G262" s="967" t="s">
        <v>1427</v>
      </c>
      <c r="H262" s="967" t="s">
        <v>1283</v>
      </c>
      <c r="I262" s="968" t="s">
        <v>1428</v>
      </c>
      <c r="J262" s="968" t="s">
        <v>2544</v>
      </c>
      <c r="K262" s="969" t="s">
        <v>3553</v>
      </c>
      <c r="L262" s="970" t="s">
        <v>416</v>
      </c>
      <c r="M262" s="1050" t="s">
        <v>2530</v>
      </c>
      <c r="N262" s="1050" t="s">
        <v>1302</v>
      </c>
      <c r="O262" s="1207" t="s">
        <v>4016</v>
      </c>
      <c r="P262" s="530" t="s">
        <v>1529</v>
      </c>
      <c r="Q262" s="291"/>
      <c r="R262" s="170"/>
      <c r="S262" s="387"/>
      <c r="T262" s="491" t="s">
        <v>2234</v>
      </c>
      <c r="U262" s="491" t="s">
        <v>101</v>
      </c>
      <c r="W262" s="427" t="s">
        <v>640</v>
      </c>
      <c r="X262" s="427" t="s">
        <v>3276</v>
      </c>
      <c r="Z262" s="427"/>
      <c r="AA262" s="158"/>
      <c r="AB262" s="158"/>
      <c r="AC262" s="889"/>
      <c r="AD262" s="502"/>
      <c r="AE262" s="158"/>
      <c r="AF262" s="158"/>
      <c r="AG262" s="158"/>
      <c r="AH262" s="158"/>
      <c r="AI262" s="158"/>
      <c r="AJ262" s="158"/>
      <c r="AK262" s="158"/>
    </row>
    <row r="263" spans="2:37" ht="10.5" customHeight="1">
      <c r="B263" s="282"/>
      <c r="C263" s="377" t="s">
        <v>1627</v>
      </c>
      <c r="D263" s="439">
        <v>49200</v>
      </c>
      <c r="E263" s="282"/>
      <c r="F263" s="532"/>
      <c r="G263" s="967" t="s">
        <v>1429</v>
      </c>
      <c r="H263" s="967" t="s">
        <v>1184</v>
      </c>
      <c r="I263" s="968" t="s">
        <v>1430</v>
      </c>
      <c r="J263" s="968" t="s">
        <v>2544</v>
      </c>
      <c r="K263" s="969" t="s">
        <v>674</v>
      </c>
      <c r="L263" s="970" t="s">
        <v>416</v>
      </c>
      <c r="M263" s="1049" t="s">
        <v>2530</v>
      </c>
      <c r="N263" s="1049" t="s">
        <v>1298</v>
      </c>
      <c r="O263" s="1207" t="s">
        <v>4017</v>
      </c>
      <c r="P263" s="530" t="s">
        <v>1531</v>
      </c>
      <c r="Q263" s="291"/>
      <c r="R263" s="170"/>
      <c r="S263" s="387"/>
      <c r="T263" s="491" t="s">
        <v>1526</v>
      </c>
      <c r="U263" s="491" t="s">
        <v>1599</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1184</v>
      </c>
      <c r="I264" s="968" t="s">
        <v>1653</v>
      </c>
      <c r="J264" s="968" t="s">
        <v>2544</v>
      </c>
      <c r="K264" s="969" t="s">
        <v>2514</v>
      </c>
      <c r="L264" s="970" t="s">
        <v>416</v>
      </c>
      <c r="M264" s="1050" t="s">
        <v>1169</v>
      </c>
      <c r="N264" s="1050" t="s">
        <v>1653</v>
      </c>
      <c r="O264" s="1207" t="s">
        <v>4018</v>
      </c>
      <c r="P264" s="530" t="s">
        <v>1533</v>
      </c>
      <c r="Q264" s="291"/>
      <c r="R264" s="170"/>
      <c r="S264" s="387"/>
      <c r="T264" s="491" t="s">
        <v>2496</v>
      </c>
      <c r="U264" s="491" t="s">
        <v>609</v>
      </c>
      <c r="W264" s="427" t="s">
        <v>641</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1283</v>
      </c>
      <c r="I265" s="971" t="s">
        <v>173</v>
      </c>
      <c r="J265" s="971" t="s">
        <v>2543</v>
      </c>
      <c r="K265" s="969" t="s">
        <v>675</v>
      </c>
      <c r="L265" s="970" t="s">
        <v>415</v>
      </c>
      <c r="M265" s="1050" t="s">
        <v>2530</v>
      </c>
      <c r="N265" s="1050" t="s">
        <v>1178</v>
      </c>
      <c r="O265" s="1207" t="s">
        <v>4019</v>
      </c>
      <c r="P265" s="530" t="s">
        <v>1698</v>
      </c>
      <c r="Q265" s="291"/>
      <c r="R265" s="170"/>
      <c r="S265" s="387"/>
      <c r="T265" s="491" t="s">
        <v>1528</v>
      </c>
      <c r="U265" s="491" t="s">
        <v>641</v>
      </c>
      <c r="W265" s="427" t="s">
        <v>766</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1292</v>
      </c>
      <c r="H266" s="967" t="s">
        <v>1184</v>
      </c>
      <c r="I266" s="968" t="s">
        <v>174</v>
      </c>
      <c r="J266" s="968" t="s">
        <v>2543</v>
      </c>
      <c r="K266" s="969" t="s">
        <v>676</v>
      </c>
      <c r="L266" s="970" t="s">
        <v>415</v>
      </c>
      <c r="M266" s="1050" t="s">
        <v>2530</v>
      </c>
      <c r="N266" s="1050" t="s">
        <v>1292</v>
      </c>
      <c r="O266" s="1207" t="s">
        <v>4020</v>
      </c>
      <c r="P266" s="530" t="s">
        <v>1700</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1283</v>
      </c>
      <c r="I267" s="968" t="s">
        <v>1993</v>
      </c>
      <c r="J267" s="968" t="s">
        <v>2544</v>
      </c>
      <c r="K267" s="969" t="s">
        <v>601</v>
      </c>
      <c r="L267" s="970" t="s">
        <v>416</v>
      </c>
      <c r="M267" s="1049" t="s">
        <v>2530</v>
      </c>
      <c r="N267" s="1049" t="s">
        <v>162</v>
      </c>
      <c r="O267" s="1207" t="s">
        <v>4021</v>
      </c>
      <c r="P267" s="530" t="s">
        <v>1702</v>
      </c>
      <c r="Q267" s="291"/>
      <c r="R267" s="170"/>
      <c r="S267" s="387"/>
      <c r="T267" s="491" t="s">
        <v>1530</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1184</v>
      </c>
      <c r="I268" s="971" t="s">
        <v>157</v>
      </c>
      <c r="J268" s="971" t="s">
        <v>2544</v>
      </c>
      <c r="K268" s="969" t="s">
        <v>1639</v>
      </c>
      <c r="L268" s="970" t="s">
        <v>416</v>
      </c>
      <c r="M268" s="1049" t="s">
        <v>2530</v>
      </c>
      <c r="N268" s="1049" t="s">
        <v>157</v>
      </c>
      <c r="O268" s="1207" t="s">
        <v>4022</v>
      </c>
      <c r="P268" s="530" t="s">
        <v>1000</v>
      </c>
      <c r="Q268" s="291"/>
      <c r="R268" s="170"/>
      <c r="S268" s="387"/>
      <c r="T268" s="491" t="s">
        <v>1532</v>
      </c>
      <c r="U268" s="491" t="s">
        <v>1285</v>
      </c>
      <c r="W268" s="427" t="s">
        <v>1194</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1283</v>
      </c>
      <c r="I269" s="971" t="s">
        <v>746</v>
      </c>
      <c r="J269" s="971" t="s">
        <v>2544</v>
      </c>
      <c r="K269" s="969" t="s">
        <v>2529</v>
      </c>
      <c r="L269" s="970" t="s">
        <v>416</v>
      </c>
      <c r="M269" s="1049" t="s">
        <v>2530</v>
      </c>
      <c r="N269" s="1049" t="s">
        <v>1302</v>
      </c>
      <c r="O269" s="1207" t="s">
        <v>4023</v>
      </c>
      <c r="P269" s="530" t="s">
        <v>1001</v>
      </c>
      <c r="Q269" s="291"/>
      <c r="R269" s="170"/>
      <c r="S269" s="387"/>
      <c r="T269" s="491" t="s">
        <v>1534</v>
      </c>
      <c r="U269" s="491" t="s">
        <v>175</v>
      </c>
      <c r="W269" s="427" t="s">
        <v>661</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1184</v>
      </c>
      <c r="I270" s="968" t="s">
        <v>9</v>
      </c>
      <c r="J270" s="968" t="s">
        <v>2544</v>
      </c>
      <c r="K270" s="969" t="s">
        <v>2513</v>
      </c>
      <c r="L270" s="970" t="s">
        <v>416</v>
      </c>
      <c r="M270" s="1049" t="s">
        <v>2530</v>
      </c>
      <c r="N270" s="1049" t="s">
        <v>1298</v>
      </c>
      <c r="O270" s="1207" t="s">
        <v>4024</v>
      </c>
      <c r="P270" s="530" t="s">
        <v>231</v>
      </c>
      <c r="Q270" s="291"/>
      <c r="R270" s="170"/>
      <c r="S270" s="387"/>
      <c r="T270" s="491" t="s">
        <v>1699</v>
      </c>
      <c r="U270" s="491" t="s">
        <v>641</v>
      </c>
      <c r="W270" s="427" t="s">
        <v>648</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1184</v>
      </c>
      <c r="I271" s="971" t="s">
        <v>750</v>
      </c>
      <c r="J271" s="971" t="s">
        <v>2544</v>
      </c>
      <c r="K271" s="969" t="s">
        <v>677</v>
      </c>
      <c r="L271" s="970" t="s">
        <v>416</v>
      </c>
      <c r="M271" s="1049" t="s">
        <v>2530</v>
      </c>
      <c r="N271" s="1049" t="s">
        <v>1178</v>
      </c>
      <c r="O271" s="1207" t="s">
        <v>4025</v>
      </c>
      <c r="P271" s="530" t="s">
        <v>233</v>
      </c>
      <c r="Q271" s="291"/>
      <c r="R271" s="170"/>
      <c r="S271" s="387"/>
      <c r="T271" s="491" t="s">
        <v>1701</v>
      </c>
      <c r="U271" s="491" t="s">
        <v>714</v>
      </c>
      <c r="W271" s="427" t="s">
        <v>958</v>
      </c>
      <c r="X271" s="427" t="s">
        <v>3276</v>
      </c>
      <c r="Z271" s="427"/>
      <c r="AA271" s="158"/>
      <c r="AB271" s="158"/>
      <c r="AC271" s="889"/>
      <c r="AD271" s="502"/>
      <c r="AE271" s="158"/>
      <c r="AF271" s="158"/>
      <c r="AG271" s="158"/>
      <c r="AH271" s="158"/>
      <c r="AI271" s="158"/>
      <c r="AJ271" s="158"/>
      <c r="AK271" s="158"/>
    </row>
    <row r="272" spans="2:37" ht="10.5" customHeight="1">
      <c r="B272" s="282"/>
      <c r="C272" s="376" t="s">
        <v>1653</v>
      </c>
      <c r="D272" s="439">
        <v>54200</v>
      </c>
      <c r="E272" s="282"/>
      <c r="F272" s="532"/>
      <c r="G272" s="967" t="s">
        <v>1597</v>
      </c>
      <c r="H272" s="967" t="s">
        <v>1184</v>
      </c>
      <c r="I272" s="968" t="s">
        <v>1598</v>
      </c>
      <c r="J272" s="968" t="s">
        <v>2543</v>
      </c>
      <c r="K272" s="969" t="s">
        <v>678</v>
      </c>
      <c r="L272" s="970" t="s">
        <v>415</v>
      </c>
      <c r="M272" s="1050" t="s">
        <v>2530</v>
      </c>
      <c r="N272" s="1050" t="s">
        <v>1737</v>
      </c>
      <c r="O272" s="1207" t="s">
        <v>4026</v>
      </c>
      <c r="P272" s="530" t="s">
        <v>1236</v>
      </c>
      <c r="Q272" s="291"/>
      <c r="R272" s="170"/>
      <c r="S272" s="387"/>
      <c r="T272" s="491" t="s">
        <v>999</v>
      </c>
      <c r="U272" s="491" t="s">
        <v>1286</v>
      </c>
      <c r="W272" s="427" t="s">
        <v>962</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1599</v>
      </c>
      <c r="H273" s="967" t="s">
        <v>1184</v>
      </c>
      <c r="I273" s="968" t="s">
        <v>1600</v>
      </c>
      <c r="J273" s="968" t="s">
        <v>2543</v>
      </c>
      <c r="K273" s="969" t="s">
        <v>679</v>
      </c>
      <c r="L273" s="970" t="s">
        <v>415</v>
      </c>
      <c r="M273" s="1050" t="s">
        <v>2530</v>
      </c>
      <c r="N273" s="1050" t="s">
        <v>1737</v>
      </c>
      <c r="O273" s="1207" t="s">
        <v>4027</v>
      </c>
      <c r="P273" s="530" t="s">
        <v>2009</v>
      </c>
      <c r="Q273" s="291"/>
      <c r="R273" s="170"/>
      <c r="S273" s="387"/>
      <c r="T273" s="491" t="s">
        <v>1002</v>
      </c>
      <c r="U273" s="491" t="s">
        <v>639</v>
      </c>
      <c r="W273" s="427" t="s">
        <v>964</v>
      </c>
      <c r="X273" s="427" t="s">
        <v>3276</v>
      </c>
      <c r="Z273" s="427"/>
      <c r="AA273" s="158"/>
      <c r="AB273" s="158"/>
      <c r="AC273" s="889"/>
      <c r="AD273" s="502"/>
      <c r="AE273" s="158"/>
      <c r="AF273" s="158"/>
      <c r="AG273" s="158"/>
      <c r="AH273" s="158"/>
      <c r="AI273" s="158"/>
      <c r="AJ273" s="158"/>
      <c r="AK273" s="158"/>
    </row>
    <row r="274" spans="2:37" ht="10.5" customHeight="1">
      <c r="B274" s="282"/>
      <c r="C274" s="376" t="s">
        <v>1666</v>
      </c>
      <c r="D274" s="439">
        <v>75300</v>
      </c>
      <c r="E274" s="282"/>
      <c r="F274" s="532"/>
      <c r="G274" s="967" t="s">
        <v>1601</v>
      </c>
      <c r="H274" s="967" t="s">
        <v>1283</v>
      </c>
      <c r="I274" s="971" t="s">
        <v>1992</v>
      </c>
      <c r="J274" s="971" t="s">
        <v>2544</v>
      </c>
      <c r="K274" s="969" t="s">
        <v>680</v>
      </c>
      <c r="L274" s="970" t="s">
        <v>416</v>
      </c>
      <c r="M274" s="1049" t="s">
        <v>2530</v>
      </c>
      <c r="N274" s="1049" t="s">
        <v>1178</v>
      </c>
      <c r="O274" s="1207" t="s">
        <v>4028</v>
      </c>
      <c r="P274" s="530" t="s">
        <v>2011</v>
      </c>
      <c r="Q274" s="291"/>
      <c r="R274" s="170"/>
      <c r="S274" s="387"/>
      <c r="T274" s="491" t="s">
        <v>232</v>
      </c>
      <c r="U274" s="491" t="s">
        <v>2461</v>
      </c>
      <c r="W274" s="427" t="s">
        <v>556</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1184</v>
      </c>
      <c r="I275" s="968" t="s">
        <v>181</v>
      </c>
      <c r="J275" s="968" t="s">
        <v>2543</v>
      </c>
      <c r="K275" s="969" t="s">
        <v>681</v>
      </c>
      <c r="L275" s="970" t="s">
        <v>415</v>
      </c>
      <c r="M275" s="1050" t="s">
        <v>2530</v>
      </c>
      <c r="N275" s="1050" t="s">
        <v>1298</v>
      </c>
      <c r="O275" s="1207" t="s">
        <v>4029</v>
      </c>
      <c r="P275" s="530" t="s">
        <v>2013</v>
      </c>
      <c r="Q275" s="291"/>
      <c r="R275" s="170"/>
      <c r="S275" s="387"/>
      <c r="T275" s="531" t="s">
        <v>2748</v>
      </c>
      <c r="U275" s="531" t="s">
        <v>852</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1283</v>
      </c>
      <c r="I276" s="971" t="s">
        <v>2516</v>
      </c>
      <c r="J276" s="968" t="s">
        <v>2544</v>
      </c>
      <c r="K276" s="969" t="s">
        <v>3552</v>
      </c>
      <c r="L276" s="970" t="s">
        <v>416</v>
      </c>
      <c r="M276" s="1050" t="s">
        <v>2530</v>
      </c>
      <c r="N276" s="1050" t="s">
        <v>1178</v>
      </c>
      <c r="O276" s="1207" t="s">
        <v>4030</v>
      </c>
      <c r="P276" s="530" t="s">
        <v>2015</v>
      </c>
      <c r="Q276" s="291"/>
      <c r="R276" s="170"/>
      <c r="S276" s="387"/>
      <c r="T276" s="491" t="s">
        <v>1713</v>
      </c>
      <c r="U276" s="491" t="s">
        <v>1074</v>
      </c>
      <c r="W276" s="427" t="s">
        <v>1561</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1283</v>
      </c>
      <c r="I277" s="968" t="s">
        <v>2518</v>
      </c>
      <c r="J277" s="968" t="s">
        <v>2544</v>
      </c>
      <c r="K277" s="969" t="s">
        <v>1903</v>
      </c>
      <c r="L277" s="970" t="s">
        <v>416</v>
      </c>
      <c r="M277" s="1049" t="s">
        <v>2530</v>
      </c>
      <c r="N277" s="1049" t="s">
        <v>1178</v>
      </c>
      <c r="O277" s="1207" t="s">
        <v>4031</v>
      </c>
      <c r="P277" s="530" t="s">
        <v>2017</v>
      </c>
      <c r="Q277" s="291"/>
      <c r="R277" s="170"/>
      <c r="S277" s="387"/>
      <c r="T277" s="491" t="s">
        <v>2010</v>
      </c>
      <c r="U277" s="491" t="s">
        <v>315</v>
      </c>
      <c r="W277" s="427" t="s">
        <v>986</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1751</v>
      </c>
      <c r="I278" s="971" t="s">
        <v>157</v>
      </c>
      <c r="J278" s="971" t="s">
        <v>2544</v>
      </c>
      <c r="K278" s="969" t="s">
        <v>1639</v>
      </c>
      <c r="L278" s="970" t="s">
        <v>416</v>
      </c>
      <c r="M278" s="1050" t="s">
        <v>1169</v>
      </c>
      <c r="N278" s="1050" t="s">
        <v>157</v>
      </c>
      <c r="O278" s="1207" t="s">
        <v>4032</v>
      </c>
      <c r="P278" s="530" t="s">
        <v>2019</v>
      </c>
      <c r="Q278" s="291"/>
      <c r="R278" s="170"/>
      <c r="S278" s="387"/>
      <c r="T278" s="491" t="s">
        <v>2012</v>
      </c>
      <c r="U278" s="491" t="s">
        <v>313</v>
      </c>
      <c r="W278" s="427" t="s">
        <v>988</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1283</v>
      </c>
      <c r="I279" s="971" t="s">
        <v>745</v>
      </c>
      <c r="J279" s="971" t="s">
        <v>2544</v>
      </c>
      <c r="K279" s="969" t="s">
        <v>2508</v>
      </c>
      <c r="L279" s="970" t="s">
        <v>416</v>
      </c>
      <c r="M279" s="1049" t="s">
        <v>1169</v>
      </c>
      <c r="N279" s="1049" t="s">
        <v>1178</v>
      </c>
      <c r="O279" s="1207" t="s">
        <v>4033</v>
      </c>
      <c r="P279" s="530" t="s">
        <v>656</v>
      </c>
      <c r="Q279" s="291"/>
      <c r="R279" s="170"/>
      <c r="S279" s="387"/>
      <c r="T279" s="491" t="s">
        <v>2014</v>
      </c>
      <c r="U279" s="491" t="s">
        <v>609</v>
      </c>
      <c r="W279" s="427" t="s">
        <v>1636</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1283</v>
      </c>
      <c r="I280" s="968" t="s">
        <v>1993</v>
      </c>
      <c r="J280" s="968" t="s">
        <v>2544</v>
      </c>
      <c r="K280" s="969" t="s">
        <v>601</v>
      </c>
      <c r="L280" s="970" t="s">
        <v>416</v>
      </c>
      <c r="M280" s="1049" t="s">
        <v>2530</v>
      </c>
      <c r="N280" s="1049" t="s">
        <v>162</v>
      </c>
      <c r="O280" s="1207" t="s">
        <v>4034</v>
      </c>
      <c r="P280" s="530" t="s">
        <v>2267</v>
      </c>
      <c r="Q280" s="291"/>
      <c r="R280" s="170"/>
      <c r="S280" s="387"/>
      <c r="T280" s="491" t="s">
        <v>2016</v>
      </c>
      <c r="U280" s="491" t="s">
        <v>2517</v>
      </c>
      <c r="W280" s="427" t="s">
        <v>845</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1283</v>
      </c>
      <c r="I281" s="968" t="s">
        <v>1993</v>
      </c>
      <c r="J281" s="968" t="s">
        <v>2544</v>
      </c>
      <c r="K281" s="969" t="s">
        <v>601</v>
      </c>
      <c r="L281" s="970" t="s">
        <v>416</v>
      </c>
      <c r="M281" s="1049" t="s">
        <v>2530</v>
      </c>
      <c r="N281" s="1049" t="s">
        <v>162</v>
      </c>
      <c r="O281" s="1207" t="s">
        <v>4035</v>
      </c>
      <c r="P281" s="530" t="s">
        <v>2268</v>
      </c>
      <c r="Q281" s="291"/>
      <c r="R281" s="170"/>
      <c r="S281" s="387"/>
      <c r="T281" s="491" t="s">
        <v>4237</v>
      </c>
      <c r="U281" s="491" t="s">
        <v>1179</v>
      </c>
      <c r="W281" s="427" t="s">
        <v>1696</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1283</v>
      </c>
      <c r="I282" s="971" t="s">
        <v>745</v>
      </c>
      <c r="J282" s="971" t="s">
        <v>2544</v>
      </c>
      <c r="K282" s="969" t="s">
        <v>2508</v>
      </c>
      <c r="L282" s="970" t="s">
        <v>416</v>
      </c>
      <c r="M282" s="1049" t="s">
        <v>1169</v>
      </c>
      <c r="N282" s="1049" t="s">
        <v>1178</v>
      </c>
      <c r="O282" s="1207" t="s">
        <v>4036</v>
      </c>
      <c r="P282" s="530" t="s">
        <v>1219</v>
      </c>
      <c r="Q282" s="291"/>
      <c r="R282" s="170"/>
      <c r="S282" s="387"/>
      <c r="T282" s="491" t="s">
        <v>2497</v>
      </c>
      <c r="U282" s="491" t="s">
        <v>1958</v>
      </c>
      <c r="W282" s="427" t="s">
        <v>612</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1068</v>
      </c>
      <c r="H283" s="967" t="s">
        <v>1283</v>
      </c>
      <c r="I283" s="971" t="s">
        <v>1069</v>
      </c>
      <c r="J283" s="971" t="s">
        <v>2544</v>
      </c>
      <c r="K283" s="969" t="s">
        <v>1904</v>
      </c>
      <c r="L283" s="970" t="s">
        <v>416</v>
      </c>
      <c r="M283" s="1050" t="s">
        <v>2530</v>
      </c>
      <c r="N283" s="1050" t="s">
        <v>1292</v>
      </c>
      <c r="O283" s="1207" t="s">
        <v>4037</v>
      </c>
      <c r="P283" s="530" t="s">
        <v>1221</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1070</v>
      </c>
      <c r="H284" s="967" t="s">
        <v>1283</v>
      </c>
      <c r="I284" s="971" t="s">
        <v>745</v>
      </c>
      <c r="J284" s="971" t="s">
        <v>2544</v>
      </c>
      <c r="K284" s="969" t="s">
        <v>2508</v>
      </c>
      <c r="L284" s="970" t="s">
        <v>416</v>
      </c>
      <c r="M284" s="1049" t="s">
        <v>1169</v>
      </c>
      <c r="N284" s="1049" t="s">
        <v>1178</v>
      </c>
      <c r="O284" s="1207" t="s">
        <v>4038</v>
      </c>
      <c r="P284" s="530" t="s">
        <v>1223</v>
      </c>
      <c r="Q284" s="291"/>
      <c r="R284" s="170"/>
      <c r="S284" s="387"/>
      <c r="T284" s="491" t="s">
        <v>2749</v>
      </c>
      <c r="U284" s="491" t="s">
        <v>643</v>
      </c>
      <c r="W284" s="427" t="s">
        <v>1010</v>
      </c>
      <c r="X284" s="427" t="s">
        <v>3276</v>
      </c>
      <c r="Z284" s="158"/>
      <c r="AA284" s="158"/>
      <c r="AB284" s="158"/>
      <c r="AC284" s="889"/>
      <c r="AD284" s="502"/>
      <c r="AE284" s="158"/>
      <c r="AF284" s="158"/>
      <c r="AG284" s="158"/>
      <c r="AH284" s="158"/>
      <c r="AI284" s="158"/>
      <c r="AJ284" s="158"/>
      <c r="AK284" s="158"/>
    </row>
    <row r="285" spans="2:37" ht="10.5" customHeight="1">
      <c r="F285" s="532"/>
      <c r="G285" s="967" t="s">
        <v>1071</v>
      </c>
      <c r="H285" s="967" t="s">
        <v>1184</v>
      </c>
      <c r="I285" s="968" t="s">
        <v>1072</v>
      </c>
      <c r="J285" s="968" t="s">
        <v>2543</v>
      </c>
      <c r="K285" s="969" t="s">
        <v>1905</v>
      </c>
      <c r="L285" s="970" t="s">
        <v>415</v>
      </c>
      <c r="M285" s="1050" t="s">
        <v>2530</v>
      </c>
      <c r="N285" s="1050" t="s">
        <v>1653</v>
      </c>
      <c r="O285" s="1207" t="s">
        <v>4039</v>
      </c>
      <c r="P285" s="530" t="s">
        <v>1224</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1073</v>
      </c>
      <c r="H286" s="967" t="s">
        <v>1283</v>
      </c>
      <c r="I286" s="971" t="s">
        <v>745</v>
      </c>
      <c r="J286" s="971" t="s">
        <v>2544</v>
      </c>
      <c r="K286" s="969" t="s">
        <v>2508</v>
      </c>
      <c r="L286" s="970" t="s">
        <v>416</v>
      </c>
      <c r="M286" s="1049" t="s">
        <v>1169</v>
      </c>
      <c r="N286" s="1049" t="s">
        <v>1178</v>
      </c>
      <c r="O286" s="1207" t="s">
        <v>4040</v>
      </c>
      <c r="P286" s="530" t="s">
        <v>1226</v>
      </c>
      <c r="Q286" s="291"/>
      <c r="R286" s="170"/>
      <c r="S286" s="387"/>
      <c r="T286" s="491" t="s">
        <v>657</v>
      </c>
      <c r="U286" s="491" t="s">
        <v>1958</v>
      </c>
      <c r="W286" s="427" t="s">
        <v>481</v>
      </c>
      <c r="X286" s="427" t="s">
        <v>3276</v>
      </c>
      <c r="Z286" s="158"/>
      <c r="AA286" s="158"/>
      <c r="AB286" s="158"/>
      <c r="AC286" s="889"/>
      <c r="AD286" s="502"/>
      <c r="AE286" s="158"/>
      <c r="AF286" s="158"/>
      <c r="AG286" s="158"/>
      <c r="AH286" s="158"/>
      <c r="AI286" s="158"/>
      <c r="AJ286" s="158"/>
      <c r="AK286" s="158"/>
    </row>
    <row r="287" spans="2:37" ht="10.5" customHeight="1">
      <c r="F287" s="532"/>
      <c r="G287" s="967" t="s">
        <v>1074</v>
      </c>
      <c r="H287" s="967" t="s">
        <v>1283</v>
      </c>
      <c r="I287" s="968" t="s">
        <v>1075</v>
      </c>
      <c r="J287" s="968" t="s">
        <v>2543</v>
      </c>
      <c r="K287" s="969" t="s">
        <v>1906</v>
      </c>
      <c r="L287" s="970" t="s">
        <v>415</v>
      </c>
      <c r="M287" s="1050" t="s">
        <v>2530</v>
      </c>
      <c r="N287" s="1050" t="s">
        <v>1178</v>
      </c>
      <c r="O287" s="1207" t="s">
        <v>4041</v>
      </c>
      <c r="P287" s="530" t="s">
        <v>2427</v>
      </c>
      <c r="Q287" s="291"/>
      <c r="R287" s="170"/>
      <c r="S287" s="387"/>
      <c r="T287" s="491" t="s">
        <v>2269</v>
      </c>
      <c r="U287" s="491" t="s">
        <v>119</v>
      </c>
      <c r="W287" s="427" t="s">
        <v>1607</v>
      </c>
      <c r="X287" s="427" t="s">
        <v>3276</v>
      </c>
      <c r="Z287" s="158"/>
      <c r="AA287" s="158"/>
      <c r="AB287" s="158"/>
      <c r="AC287" s="889"/>
      <c r="AD287" s="502"/>
      <c r="AE287" s="158"/>
      <c r="AF287" s="158"/>
      <c r="AG287" s="158"/>
      <c r="AH287" s="158"/>
      <c r="AI287" s="158"/>
      <c r="AJ287" s="158"/>
      <c r="AK287" s="158"/>
    </row>
    <row r="288" spans="2:37" ht="10.5" customHeight="1">
      <c r="F288" s="532"/>
      <c r="G288" s="967" t="s">
        <v>1076</v>
      </c>
      <c r="H288" s="967" t="s">
        <v>1184</v>
      </c>
      <c r="I288" s="971" t="s">
        <v>1077</v>
      </c>
      <c r="J288" s="971" t="s">
        <v>2544</v>
      </c>
      <c r="K288" s="969" t="s">
        <v>1907</v>
      </c>
      <c r="L288" s="970" t="s">
        <v>416</v>
      </c>
      <c r="M288" s="1050" t="s">
        <v>2530</v>
      </c>
      <c r="N288" s="1050" t="s">
        <v>1292</v>
      </c>
      <c r="O288" s="1207" t="s">
        <v>4042</v>
      </c>
      <c r="P288" s="530" t="s">
        <v>80</v>
      </c>
      <c r="Q288" s="291"/>
      <c r="R288" s="170"/>
      <c r="S288" s="387"/>
      <c r="T288" s="491" t="s">
        <v>1220</v>
      </c>
      <c r="U288" s="491" t="s">
        <v>609</v>
      </c>
      <c r="W288" s="427" t="s">
        <v>920</v>
      </c>
      <c r="X288" s="427" t="s">
        <v>3276</v>
      </c>
      <c r="Z288" s="158"/>
      <c r="AA288" s="158"/>
      <c r="AB288" s="158"/>
      <c r="AC288" s="889"/>
      <c r="AD288" s="502"/>
      <c r="AE288" s="158"/>
      <c r="AF288" s="158"/>
      <c r="AG288" s="158"/>
      <c r="AH288" s="158"/>
      <c r="AI288" s="158"/>
      <c r="AJ288" s="158"/>
      <c r="AK288" s="158"/>
    </row>
    <row r="289" spans="6:37" ht="10.5" customHeight="1">
      <c r="F289" s="532"/>
      <c r="G289" s="967" t="s">
        <v>1078</v>
      </c>
      <c r="H289" s="967" t="s">
        <v>1283</v>
      </c>
      <c r="I289" s="971" t="s">
        <v>1079</v>
      </c>
      <c r="J289" s="971" t="s">
        <v>2543</v>
      </c>
      <c r="K289" s="969" t="s">
        <v>1908</v>
      </c>
      <c r="L289" s="970" t="s">
        <v>415</v>
      </c>
      <c r="M289" s="1050" t="s">
        <v>2530</v>
      </c>
      <c r="N289" s="1050" t="s">
        <v>1178</v>
      </c>
      <c r="O289" s="1207" t="s">
        <v>4043</v>
      </c>
      <c r="P289" s="530" t="s">
        <v>81</v>
      </c>
      <c r="Q289" s="291"/>
      <c r="R289" s="170"/>
      <c r="S289" s="387"/>
      <c r="T289" s="491" t="s">
        <v>1222</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1080</v>
      </c>
      <c r="H290" s="967" t="s">
        <v>1184</v>
      </c>
      <c r="I290" s="968" t="s">
        <v>1081</v>
      </c>
      <c r="J290" s="968" t="s">
        <v>2543</v>
      </c>
      <c r="K290" s="969" t="s">
        <v>1739</v>
      </c>
      <c r="L290" s="970" t="s">
        <v>415</v>
      </c>
      <c r="M290" s="1050" t="s">
        <v>2530</v>
      </c>
      <c r="N290" s="1050" t="s">
        <v>157</v>
      </c>
      <c r="O290" s="1207" t="s">
        <v>4044</v>
      </c>
      <c r="P290" s="530" t="s">
        <v>82</v>
      </c>
      <c r="Q290" s="291"/>
      <c r="R290" s="170"/>
      <c r="S290" s="387"/>
      <c r="T290" s="491" t="s">
        <v>2417</v>
      </c>
      <c r="U290" s="491" t="s">
        <v>1082</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1082</v>
      </c>
      <c r="H291" s="967" t="s">
        <v>1283</v>
      </c>
      <c r="I291" s="968" t="s">
        <v>1083</v>
      </c>
      <c r="J291" s="968" t="s">
        <v>2543</v>
      </c>
      <c r="K291" s="969" t="s">
        <v>1740</v>
      </c>
      <c r="L291" s="970" t="s">
        <v>415</v>
      </c>
      <c r="M291" s="1050" t="s">
        <v>2530</v>
      </c>
      <c r="N291" s="1050" t="s">
        <v>162</v>
      </c>
      <c r="O291" s="1207" t="s">
        <v>4045</v>
      </c>
      <c r="P291" s="530" t="s">
        <v>84</v>
      </c>
      <c r="Q291" s="291"/>
      <c r="R291" s="170"/>
      <c r="S291" s="387"/>
      <c r="T291" s="491" t="s">
        <v>1225</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1084</v>
      </c>
      <c r="H292" s="967" t="s">
        <v>1184</v>
      </c>
      <c r="I292" s="968" t="s">
        <v>1085</v>
      </c>
      <c r="J292" s="968" t="s">
        <v>2543</v>
      </c>
      <c r="K292" s="969" t="s">
        <v>1741</v>
      </c>
      <c r="L292" s="970" t="s">
        <v>415</v>
      </c>
      <c r="M292" s="1050" t="s">
        <v>2530</v>
      </c>
      <c r="N292" s="1050" t="s">
        <v>1737</v>
      </c>
      <c r="O292" s="1207" t="s">
        <v>4046</v>
      </c>
      <c r="P292" s="530" t="s">
        <v>1200</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1086</v>
      </c>
      <c r="H293" s="967" t="s">
        <v>1751</v>
      </c>
      <c r="I293" s="971" t="s">
        <v>746</v>
      </c>
      <c r="J293" s="971" t="s">
        <v>2544</v>
      </c>
      <c r="K293" s="969" t="s">
        <v>2529</v>
      </c>
      <c r="L293" s="970" t="s">
        <v>416</v>
      </c>
      <c r="M293" s="1050" t="s">
        <v>1169</v>
      </c>
      <c r="N293" s="1050" t="s">
        <v>1302</v>
      </c>
      <c r="O293" s="1207" t="s">
        <v>4047</v>
      </c>
      <c r="P293" s="530" t="s">
        <v>1202</v>
      </c>
      <c r="Q293" s="291"/>
      <c r="R293" s="170"/>
      <c r="S293" s="387"/>
      <c r="T293" s="491" t="s">
        <v>79</v>
      </c>
      <c r="U293" s="491" t="s">
        <v>192</v>
      </c>
      <c r="W293" s="427" t="s">
        <v>1711</v>
      </c>
      <c r="X293" s="427" t="s">
        <v>3276</v>
      </c>
      <c r="AA293" s="27"/>
      <c r="AB293" s="27"/>
      <c r="AC293" s="889"/>
      <c r="AD293" s="502"/>
    </row>
    <row r="294" spans="6:37" ht="10.5" customHeight="1">
      <c r="F294" s="532"/>
      <c r="G294" s="967" t="s">
        <v>1087</v>
      </c>
      <c r="H294" s="967" t="s">
        <v>1283</v>
      </c>
      <c r="I294" s="971" t="s">
        <v>745</v>
      </c>
      <c r="J294" s="971" t="s">
        <v>2544</v>
      </c>
      <c r="K294" s="969" t="s">
        <v>2508</v>
      </c>
      <c r="L294" s="970" t="s">
        <v>416</v>
      </c>
      <c r="M294" s="1049" t="s">
        <v>1169</v>
      </c>
      <c r="N294" s="1049" t="s">
        <v>1178</v>
      </c>
      <c r="O294" s="1207" t="s">
        <v>4048</v>
      </c>
      <c r="P294" s="530" t="s">
        <v>1204</v>
      </c>
      <c r="Q294" s="291"/>
      <c r="R294" s="170"/>
      <c r="S294" s="387"/>
      <c r="T294" s="491" t="s">
        <v>83</v>
      </c>
      <c r="U294" s="491" t="s">
        <v>2131</v>
      </c>
      <c r="W294" s="427" t="s">
        <v>672</v>
      </c>
      <c r="X294" s="427" t="s">
        <v>3276</v>
      </c>
      <c r="AA294" s="27"/>
      <c r="AB294" s="27"/>
      <c r="AC294" s="889"/>
      <c r="AD294" s="502"/>
    </row>
    <row r="295" spans="6:37" ht="10.5" customHeight="1">
      <c r="F295" s="532"/>
      <c r="G295" s="967" t="s">
        <v>1088</v>
      </c>
      <c r="H295" s="967" t="s">
        <v>1184</v>
      </c>
      <c r="I295" s="968" t="s">
        <v>2115</v>
      </c>
      <c r="J295" s="968" t="s">
        <v>2543</v>
      </c>
      <c r="K295" s="969" t="s">
        <v>1742</v>
      </c>
      <c r="L295" s="970" t="s">
        <v>415</v>
      </c>
      <c r="M295" s="1050" t="s">
        <v>2530</v>
      </c>
      <c r="N295" s="1050" t="s">
        <v>157</v>
      </c>
      <c r="O295" s="1207" t="s">
        <v>4049</v>
      </c>
      <c r="P295" s="530" t="s">
        <v>1206</v>
      </c>
      <c r="Q295" s="291"/>
      <c r="R295" s="170"/>
      <c r="S295" s="387"/>
      <c r="T295" s="491" t="s">
        <v>85</v>
      </c>
      <c r="U295" s="491" t="s">
        <v>1293</v>
      </c>
      <c r="W295" s="427" t="s">
        <v>2291</v>
      </c>
      <c r="X295" s="427" t="s">
        <v>3276</v>
      </c>
      <c r="AA295" s="27"/>
      <c r="AB295" s="27"/>
      <c r="AC295" s="889"/>
      <c r="AD295" s="502"/>
    </row>
    <row r="296" spans="6:37" ht="10.5" customHeight="1">
      <c r="F296" s="532"/>
      <c r="G296" s="967" t="s">
        <v>2116</v>
      </c>
      <c r="H296" s="967" t="s">
        <v>1184</v>
      </c>
      <c r="I296" s="968" t="s">
        <v>2117</v>
      </c>
      <c r="J296" s="968" t="s">
        <v>2543</v>
      </c>
      <c r="K296" s="969" t="s">
        <v>1743</v>
      </c>
      <c r="L296" s="970" t="s">
        <v>415</v>
      </c>
      <c r="M296" s="1050" t="s">
        <v>2530</v>
      </c>
      <c r="N296" s="1050" t="s">
        <v>1298</v>
      </c>
      <c r="O296" s="1207" t="s">
        <v>4050</v>
      </c>
      <c r="P296" s="530" t="s">
        <v>1208</v>
      </c>
      <c r="Q296" s="291"/>
      <c r="R296" s="170"/>
      <c r="S296" s="387"/>
      <c r="T296" s="491" t="s">
        <v>1201</v>
      </c>
      <c r="U296" s="491" t="s">
        <v>1901</v>
      </c>
      <c r="W296" s="427" t="s">
        <v>466</v>
      </c>
      <c r="X296" s="427" t="s">
        <v>3276</v>
      </c>
      <c r="AA296" s="27"/>
      <c r="AB296" s="27"/>
      <c r="AC296" s="889"/>
      <c r="AD296" s="502"/>
    </row>
    <row r="297" spans="6:37" ht="10.5" customHeight="1">
      <c r="F297" s="532"/>
      <c r="G297" s="967" t="s">
        <v>1574</v>
      </c>
      <c r="H297" s="967" t="s">
        <v>1574</v>
      </c>
      <c r="I297" s="967" t="s">
        <v>1574</v>
      </c>
      <c r="J297" s="968"/>
      <c r="K297" s="969"/>
      <c r="L297" s="970"/>
      <c r="M297" s="967" t="s">
        <v>1574</v>
      </c>
      <c r="N297" s="967" t="s">
        <v>1574</v>
      </c>
      <c r="O297" s="1207" t="s">
        <v>4051</v>
      </c>
      <c r="P297" s="530" t="s">
        <v>1210</v>
      </c>
      <c r="Q297" s="291"/>
      <c r="R297" s="170"/>
      <c r="S297" s="387"/>
      <c r="T297" s="491" t="s">
        <v>1203</v>
      </c>
      <c r="U297" s="491" t="s">
        <v>175</v>
      </c>
      <c r="W297" s="427" t="s">
        <v>3269</v>
      </c>
      <c r="X297" s="427" t="s">
        <v>3276</v>
      </c>
      <c r="AA297" s="27"/>
      <c r="AB297" s="27"/>
      <c r="AC297" s="889"/>
      <c r="AD297" s="502"/>
    </row>
    <row r="298" spans="6:37" ht="10.5" customHeight="1">
      <c r="F298" s="532"/>
      <c r="G298" s="967" t="s">
        <v>2118</v>
      </c>
      <c r="H298" s="967" t="s">
        <v>1184</v>
      </c>
      <c r="I298" s="971" t="s">
        <v>2119</v>
      </c>
      <c r="J298" s="968" t="s">
        <v>2543</v>
      </c>
      <c r="K298" s="969" t="s">
        <v>447</v>
      </c>
      <c r="L298" s="970" t="s">
        <v>415</v>
      </c>
      <c r="M298" s="1050" t="s">
        <v>2530</v>
      </c>
      <c r="N298" s="1050" t="s">
        <v>1737</v>
      </c>
      <c r="O298" s="1207" t="s">
        <v>4052</v>
      </c>
      <c r="P298" s="530" t="s">
        <v>869</v>
      </c>
      <c r="Q298" s="291"/>
      <c r="R298" s="170"/>
      <c r="S298" s="387"/>
      <c r="T298" s="531" t="s">
        <v>1205</v>
      </c>
      <c r="U298" s="531" t="s">
        <v>1084</v>
      </c>
      <c r="W298" s="427" t="s">
        <v>3270</v>
      </c>
      <c r="X298" s="427" t="s">
        <v>3276</v>
      </c>
      <c r="AA298" s="27"/>
      <c r="AB298" s="27"/>
      <c r="AC298" s="889"/>
      <c r="AD298" s="502"/>
    </row>
    <row r="299" spans="6:37" ht="10.5" customHeight="1">
      <c r="F299" s="532"/>
      <c r="G299" s="967" t="s">
        <v>2120</v>
      </c>
      <c r="H299" s="967" t="s">
        <v>1184</v>
      </c>
      <c r="I299" s="971" t="s">
        <v>745</v>
      </c>
      <c r="J299" s="971" t="s">
        <v>2544</v>
      </c>
      <c r="K299" s="969" t="s">
        <v>2508</v>
      </c>
      <c r="L299" s="970" t="s">
        <v>416</v>
      </c>
      <c r="M299" s="1049" t="s">
        <v>1169</v>
      </c>
      <c r="N299" s="1050" t="s">
        <v>1178</v>
      </c>
      <c r="O299" s="1207" t="s">
        <v>4053</v>
      </c>
      <c r="P299" s="530" t="s">
        <v>870</v>
      </c>
      <c r="Q299" s="291"/>
      <c r="R299" s="170"/>
      <c r="S299" s="387"/>
      <c r="T299" s="491" t="s">
        <v>1207</v>
      </c>
      <c r="U299" s="491" t="s">
        <v>1179</v>
      </c>
      <c r="W299" s="427" t="s">
        <v>76</v>
      </c>
      <c r="X299" s="427" t="s">
        <v>3276</v>
      </c>
      <c r="AA299" s="27"/>
      <c r="AB299" s="27"/>
      <c r="AC299" s="890"/>
      <c r="AD299" s="502"/>
    </row>
    <row r="300" spans="6:37" ht="10.5" customHeight="1">
      <c r="F300" s="532"/>
      <c r="G300" s="967" t="s">
        <v>2121</v>
      </c>
      <c r="H300" s="967" t="s">
        <v>1283</v>
      </c>
      <c r="I300" s="971" t="s">
        <v>2122</v>
      </c>
      <c r="J300" s="971" t="s">
        <v>2543</v>
      </c>
      <c r="K300" s="969" t="s">
        <v>216</v>
      </c>
      <c r="L300" s="970" t="s">
        <v>415</v>
      </c>
      <c r="M300" s="1050" t="s">
        <v>2530</v>
      </c>
      <c r="N300" s="1049" t="s">
        <v>162</v>
      </c>
      <c r="O300" s="1207" t="s">
        <v>4054</v>
      </c>
      <c r="P300" s="530" t="s">
        <v>872</v>
      </c>
      <c r="Q300" s="291"/>
      <c r="R300" s="170"/>
      <c r="S300" s="387"/>
      <c r="T300" s="491" t="s">
        <v>1209</v>
      </c>
      <c r="U300" s="491" t="s">
        <v>2131</v>
      </c>
      <c r="W300" s="427" t="s">
        <v>2349</v>
      </c>
      <c r="X300" s="427" t="s">
        <v>3276</v>
      </c>
      <c r="AA300" s="27"/>
      <c r="AB300" s="27"/>
      <c r="AC300" s="889"/>
      <c r="AD300" s="502"/>
    </row>
    <row r="301" spans="6:37" ht="10.5" customHeight="1">
      <c r="F301" s="532"/>
      <c r="G301" s="967" t="s">
        <v>2123</v>
      </c>
      <c r="H301" s="967" t="s">
        <v>1184</v>
      </c>
      <c r="I301" s="968" t="s">
        <v>2124</v>
      </c>
      <c r="J301" s="971" t="s">
        <v>2543</v>
      </c>
      <c r="K301" s="969" t="s">
        <v>1392</v>
      </c>
      <c r="L301" s="970" t="s">
        <v>415</v>
      </c>
      <c r="M301" s="1050" t="s">
        <v>2530</v>
      </c>
      <c r="N301" s="1050" t="s">
        <v>157</v>
      </c>
      <c r="O301" s="1207" t="s">
        <v>4055</v>
      </c>
      <c r="P301" s="530" t="s">
        <v>874</v>
      </c>
      <c r="Q301" s="291"/>
      <c r="R301" s="170"/>
      <c r="S301" s="387"/>
      <c r="T301" s="491" t="s">
        <v>2423</v>
      </c>
      <c r="U301" s="491" t="s">
        <v>1597</v>
      </c>
      <c r="W301" s="427" t="s">
        <v>595</v>
      </c>
      <c r="X301" s="427" t="s">
        <v>3276</v>
      </c>
      <c r="AA301" s="27"/>
      <c r="AB301" s="27"/>
      <c r="AC301" s="889"/>
      <c r="AD301" s="502"/>
    </row>
    <row r="302" spans="6:37" ht="10.5" customHeight="1">
      <c r="F302" s="532"/>
      <c r="G302" s="967" t="s">
        <v>2125</v>
      </c>
      <c r="H302" s="967" t="s">
        <v>1751</v>
      </c>
      <c r="I302" s="968" t="s">
        <v>2126</v>
      </c>
      <c r="J302" s="968" t="s">
        <v>2543</v>
      </c>
      <c r="K302" s="969" t="s">
        <v>1393</v>
      </c>
      <c r="L302" s="970" t="s">
        <v>415</v>
      </c>
      <c r="M302" s="1050" t="s">
        <v>2530</v>
      </c>
      <c r="N302" s="1050" t="s">
        <v>1737</v>
      </c>
      <c r="O302" s="1207" t="s">
        <v>4056</v>
      </c>
      <c r="P302" s="530" t="s">
        <v>2086</v>
      </c>
      <c r="Q302" s="291"/>
      <c r="R302" s="170"/>
      <c r="S302" s="387"/>
      <c r="T302" s="491" t="s">
        <v>157</v>
      </c>
      <c r="U302" s="491" t="s">
        <v>2519</v>
      </c>
      <c r="W302" s="427" t="s">
        <v>944</v>
      </c>
      <c r="X302" s="427" t="s">
        <v>3276</v>
      </c>
      <c r="AA302" s="27"/>
      <c r="AB302" s="27"/>
      <c r="AC302" s="889"/>
      <c r="AD302" s="502"/>
    </row>
    <row r="303" spans="6:37" ht="10.5" customHeight="1">
      <c r="F303" s="532"/>
      <c r="G303" s="967" t="s">
        <v>2127</v>
      </c>
      <c r="H303" s="967" t="s">
        <v>1184</v>
      </c>
      <c r="I303" s="968" t="s">
        <v>2128</v>
      </c>
      <c r="J303" s="968" t="s">
        <v>2543</v>
      </c>
      <c r="K303" s="969" t="s">
        <v>1394</v>
      </c>
      <c r="L303" s="970" t="s">
        <v>415</v>
      </c>
      <c r="M303" s="1050" t="s">
        <v>2530</v>
      </c>
      <c r="N303" s="1050" t="s">
        <v>157</v>
      </c>
      <c r="O303" s="1207" t="s">
        <v>4057</v>
      </c>
      <c r="P303" s="530" t="s">
        <v>2087</v>
      </c>
      <c r="Q303" s="291"/>
      <c r="R303" s="170"/>
      <c r="S303" s="387"/>
      <c r="T303" s="491" t="s">
        <v>871</v>
      </c>
      <c r="U303" s="491" t="s">
        <v>175</v>
      </c>
      <c r="W303" s="427" t="s">
        <v>1460</v>
      </c>
      <c r="X303" s="427" t="s">
        <v>3276</v>
      </c>
      <c r="AA303" s="27"/>
      <c r="AB303" s="27"/>
      <c r="AC303" s="889"/>
      <c r="AD303" s="502"/>
    </row>
    <row r="304" spans="6:37" ht="10.5" customHeight="1">
      <c r="F304" s="532"/>
      <c r="G304" s="967" t="s">
        <v>2129</v>
      </c>
      <c r="H304" s="967" t="s">
        <v>1283</v>
      </c>
      <c r="I304" s="968" t="s">
        <v>2130</v>
      </c>
      <c r="J304" s="968" t="s">
        <v>2543</v>
      </c>
      <c r="K304" s="969" t="s">
        <v>1963</v>
      </c>
      <c r="L304" s="970" t="s">
        <v>415</v>
      </c>
      <c r="M304" s="1050" t="s">
        <v>2530</v>
      </c>
      <c r="N304" s="1050" t="s">
        <v>162</v>
      </c>
      <c r="O304" s="1207" t="s">
        <v>4058</v>
      </c>
      <c r="P304" s="530" t="s">
        <v>2005</v>
      </c>
      <c r="Q304" s="291"/>
      <c r="R304" s="170"/>
      <c r="S304" s="387"/>
      <c r="T304" s="531" t="s">
        <v>873</v>
      </c>
      <c r="U304" s="531" t="s">
        <v>318</v>
      </c>
      <c r="W304" s="427" t="s">
        <v>2276</v>
      </c>
      <c r="X304" s="427" t="s">
        <v>3276</v>
      </c>
      <c r="AA304" s="27"/>
      <c r="AB304" s="27"/>
      <c r="AC304" s="889"/>
      <c r="AD304" s="502"/>
    </row>
    <row r="305" spans="6:30" ht="10.5" customHeight="1">
      <c r="F305" s="532"/>
      <c r="G305" s="967" t="s">
        <v>2131</v>
      </c>
      <c r="H305" s="967" t="s">
        <v>1184</v>
      </c>
      <c r="I305" s="968" t="s">
        <v>2132</v>
      </c>
      <c r="J305" s="968" t="s">
        <v>2543</v>
      </c>
      <c r="K305" s="969" t="s">
        <v>1964</v>
      </c>
      <c r="L305" s="970" t="s">
        <v>415</v>
      </c>
      <c r="M305" s="1050" t="s">
        <v>2530</v>
      </c>
      <c r="N305" s="1050" t="s">
        <v>1298</v>
      </c>
      <c r="O305" s="1207" t="s">
        <v>4059</v>
      </c>
      <c r="P305" s="530" t="s">
        <v>2007</v>
      </c>
      <c r="Q305" s="291"/>
      <c r="R305" s="170"/>
      <c r="S305" s="387"/>
      <c r="T305" s="491" t="s">
        <v>875</v>
      </c>
      <c r="U305" s="491" t="s">
        <v>1073</v>
      </c>
      <c r="W305" s="427" t="s">
        <v>800</v>
      </c>
      <c r="X305" s="427" t="s">
        <v>3276</v>
      </c>
      <c r="AA305" s="27"/>
      <c r="AB305" s="27"/>
      <c r="AC305" s="890"/>
      <c r="AD305" s="502"/>
    </row>
    <row r="306" spans="6:30" ht="10.5" customHeight="1">
      <c r="F306" s="532"/>
      <c r="G306" s="967" t="s">
        <v>2133</v>
      </c>
      <c r="H306" s="967" t="s">
        <v>1184</v>
      </c>
      <c r="I306" s="968" t="s">
        <v>848</v>
      </c>
      <c r="J306" s="968" t="s">
        <v>2543</v>
      </c>
      <c r="K306" s="969" t="s">
        <v>1965</v>
      </c>
      <c r="L306" s="970" t="s">
        <v>415</v>
      </c>
      <c r="M306" s="1050" t="s">
        <v>2530</v>
      </c>
      <c r="N306" s="1050" t="s">
        <v>157</v>
      </c>
      <c r="O306" s="1207" t="s">
        <v>4060</v>
      </c>
      <c r="P306" s="530" t="s">
        <v>579</v>
      </c>
      <c r="Q306" s="291"/>
      <c r="R306" s="170"/>
      <c r="S306" s="387"/>
      <c r="T306" s="491" t="s">
        <v>2498</v>
      </c>
      <c r="U306" s="491" t="s">
        <v>2417</v>
      </c>
      <c r="W306" s="427" t="s">
        <v>803</v>
      </c>
      <c r="X306" s="427" t="s">
        <v>3276</v>
      </c>
      <c r="AA306" s="27"/>
      <c r="AB306" s="27"/>
      <c r="AC306" s="889"/>
      <c r="AD306" s="502"/>
    </row>
    <row r="307" spans="6:30" ht="10.5" customHeight="1">
      <c r="F307" s="532"/>
      <c r="G307" s="967" t="s">
        <v>849</v>
      </c>
      <c r="H307" s="967" t="s">
        <v>1184</v>
      </c>
      <c r="I307" s="968" t="s">
        <v>850</v>
      </c>
      <c r="J307" s="968" t="s">
        <v>2543</v>
      </c>
      <c r="K307" s="969" t="s">
        <v>1966</v>
      </c>
      <c r="L307" s="970" t="s">
        <v>415</v>
      </c>
      <c r="M307" s="1050" t="s">
        <v>2530</v>
      </c>
      <c r="N307" s="1050" t="s">
        <v>1737</v>
      </c>
      <c r="O307" s="1207" t="s">
        <v>4061</v>
      </c>
      <c r="P307" s="530" t="s">
        <v>580</v>
      </c>
      <c r="Q307" s="291"/>
      <c r="R307" s="170"/>
      <c r="S307" s="387"/>
      <c r="T307" s="491" t="s">
        <v>2088</v>
      </c>
      <c r="U307" s="491" t="s">
        <v>1087</v>
      </c>
      <c r="W307" s="427" t="s">
        <v>1476</v>
      </c>
      <c r="X307" s="427" t="s">
        <v>3276</v>
      </c>
      <c r="AA307" s="27"/>
      <c r="AB307" s="27"/>
      <c r="AC307" s="889"/>
      <c r="AD307" s="502"/>
    </row>
    <row r="308" spans="6:30" ht="10.5" customHeight="1">
      <c r="F308" s="532"/>
      <c r="G308" s="967" t="s">
        <v>1625</v>
      </c>
      <c r="H308" s="967" t="s">
        <v>1184</v>
      </c>
      <c r="I308" s="971" t="s">
        <v>1737</v>
      </c>
      <c r="J308" s="968" t="s">
        <v>2544</v>
      </c>
      <c r="K308" s="969" t="s">
        <v>1138</v>
      </c>
      <c r="L308" s="970" t="s">
        <v>416</v>
      </c>
      <c r="M308" s="1049" t="s">
        <v>2530</v>
      </c>
      <c r="N308" s="1050" t="s">
        <v>1737</v>
      </c>
      <c r="O308" s="1207" t="s">
        <v>4062</v>
      </c>
      <c r="P308" s="530" t="s">
        <v>582</v>
      </c>
      <c r="Q308" s="291"/>
      <c r="R308" s="170"/>
      <c r="S308" s="387"/>
      <c r="T308" s="491" t="s">
        <v>2006</v>
      </c>
      <c r="U308" s="491" t="s">
        <v>1626</v>
      </c>
      <c r="W308" s="427" t="s">
        <v>474</v>
      </c>
      <c r="X308" s="427" t="s">
        <v>3276</v>
      </c>
      <c r="AA308" s="27"/>
      <c r="AB308" s="27"/>
      <c r="AC308" s="889"/>
      <c r="AD308" s="502"/>
    </row>
    <row r="309" spans="6:30" ht="10.5" customHeight="1">
      <c r="F309" s="532"/>
      <c r="G309" s="967" t="s">
        <v>1626</v>
      </c>
      <c r="H309" s="967" t="s">
        <v>1184</v>
      </c>
      <c r="I309" s="971" t="s">
        <v>1627</v>
      </c>
      <c r="J309" s="971" t="s">
        <v>2543</v>
      </c>
      <c r="K309" s="969" t="s">
        <v>1967</v>
      </c>
      <c r="L309" s="970" t="s">
        <v>415</v>
      </c>
      <c r="M309" s="1050" t="s">
        <v>2530</v>
      </c>
      <c r="N309" s="1049" t="s">
        <v>1653</v>
      </c>
      <c r="O309" s="1207" t="s">
        <v>4063</v>
      </c>
      <c r="P309" s="530" t="s">
        <v>584</v>
      </c>
      <c r="Q309" s="291"/>
      <c r="R309" s="170"/>
      <c r="S309" s="387"/>
      <c r="T309" s="491" t="s">
        <v>2008</v>
      </c>
      <c r="U309" s="491" t="s">
        <v>2465</v>
      </c>
      <c r="W309" s="427" t="s">
        <v>1365</v>
      </c>
      <c r="X309" s="427" t="s">
        <v>3276</v>
      </c>
      <c r="AA309" s="27"/>
      <c r="AB309" s="27"/>
      <c r="AC309" s="889"/>
      <c r="AD309" s="502"/>
    </row>
    <row r="310" spans="6:30" ht="10.5" customHeight="1">
      <c r="F310" s="532"/>
      <c r="G310" s="967" t="s">
        <v>1628</v>
      </c>
      <c r="H310" s="967" t="s">
        <v>1184</v>
      </c>
      <c r="I310" s="971" t="s">
        <v>1859</v>
      </c>
      <c r="J310" s="971" t="s">
        <v>2543</v>
      </c>
      <c r="K310" s="969" t="s">
        <v>1142</v>
      </c>
      <c r="L310" s="970" t="s">
        <v>415</v>
      </c>
      <c r="M310" s="1050" t="s">
        <v>2530</v>
      </c>
      <c r="N310" s="1050" t="s">
        <v>1737</v>
      </c>
      <c r="O310" s="1207" t="s">
        <v>4064</v>
      </c>
      <c r="P310" s="530" t="s">
        <v>585</v>
      </c>
      <c r="Q310" s="291"/>
      <c r="R310" s="170"/>
      <c r="S310" s="387"/>
      <c r="T310" s="491" t="s">
        <v>805</v>
      </c>
      <c r="U310" s="491" t="s">
        <v>313</v>
      </c>
      <c r="W310" s="427" t="s">
        <v>1367</v>
      </c>
      <c r="X310" s="427" t="s">
        <v>3276</v>
      </c>
      <c r="AA310" s="27"/>
      <c r="AB310" s="27"/>
      <c r="AC310" s="889"/>
      <c r="AD310" s="893"/>
    </row>
    <row r="311" spans="6:30" ht="10.5" customHeight="1">
      <c r="F311" s="532"/>
      <c r="G311" s="967" t="s">
        <v>1860</v>
      </c>
      <c r="H311" s="967" t="s">
        <v>1184</v>
      </c>
      <c r="I311" s="971" t="s">
        <v>1861</v>
      </c>
      <c r="J311" s="971" t="s">
        <v>2543</v>
      </c>
      <c r="K311" s="969" t="s">
        <v>1143</v>
      </c>
      <c r="L311" s="970" t="s">
        <v>415</v>
      </c>
      <c r="M311" s="1050" t="s">
        <v>2530</v>
      </c>
      <c r="N311" s="1050" t="s">
        <v>1298</v>
      </c>
      <c r="O311" s="1207" t="s">
        <v>4065</v>
      </c>
      <c r="P311" s="530" t="s">
        <v>586</v>
      </c>
      <c r="Q311" s="291"/>
      <c r="R311" s="170"/>
      <c r="S311" s="387"/>
      <c r="T311" s="491" t="s">
        <v>581</v>
      </c>
      <c r="U311" s="491" t="s">
        <v>119</v>
      </c>
      <c r="W311" s="427" t="s">
        <v>2425</v>
      </c>
      <c r="X311" s="427" t="s">
        <v>3276</v>
      </c>
      <c r="AA311" s="27"/>
      <c r="AB311" s="27"/>
      <c r="AC311" s="889"/>
      <c r="AD311" s="502"/>
    </row>
    <row r="312" spans="6:30" ht="10.5" customHeight="1">
      <c r="F312" s="532"/>
      <c r="G312" s="967" t="s">
        <v>1862</v>
      </c>
      <c r="H312" s="967" t="s">
        <v>1283</v>
      </c>
      <c r="I312" s="971" t="s">
        <v>1863</v>
      </c>
      <c r="J312" s="971" t="s">
        <v>2543</v>
      </c>
      <c r="K312" s="969" t="s">
        <v>1144</v>
      </c>
      <c r="L312" s="970" t="s">
        <v>415</v>
      </c>
      <c r="M312" s="1050" t="s">
        <v>2530</v>
      </c>
      <c r="N312" s="1050" t="s">
        <v>162</v>
      </c>
      <c r="O312" s="1207" t="s">
        <v>4066</v>
      </c>
      <c r="P312" s="530" t="s">
        <v>588</v>
      </c>
      <c r="Q312" s="291"/>
      <c r="R312" s="170"/>
      <c r="S312" s="387"/>
      <c r="T312" s="491" t="s">
        <v>2499</v>
      </c>
      <c r="U312" s="491" t="s">
        <v>1299</v>
      </c>
      <c r="W312" s="427" t="s">
        <v>1034</v>
      </c>
      <c r="X312" s="427" t="s">
        <v>3276</v>
      </c>
      <c r="AA312" s="27"/>
      <c r="AB312" s="27"/>
      <c r="AC312" s="889"/>
      <c r="AD312" s="502"/>
    </row>
    <row r="313" spans="6:30" ht="10.5" customHeight="1">
      <c r="F313" s="532"/>
      <c r="G313" s="967" t="s">
        <v>1864</v>
      </c>
      <c r="H313" s="967" t="s">
        <v>1184</v>
      </c>
      <c r="I313" s="971" t="s">
        <v>1865</v>
      </c>
      <c r="J313" s="971" t="s">
        <v>2543</v>
      </c>
      <c r="K313" s="969" t="s">
        <v>1145</v>
      </c>
      <c r="L313" s="970" t="s">
        <v>415</v>
      </c>
      <c r="M313" s="1050" t="s">
        <v>2530</v>
      </c>
      <c r="N313" s="1050" t="s">
        <v>1292</v>
      </c>
      <c r="O313" s="1207" t="s">
        <v>4067</v>
      </c>
      <c r="P313" s="530" t="s">
        <v>590</v>
      </c>
      <c r="Q313" s="291"/>
      <c r="R313" s="170"/>
      <c r="S313" s="387"/>
      <c r="T313" s="491" t="s">
        <v>583</v>
      </c>
      <c r="U313" s="491" t="s">
        <v>2520</v>
      </c>
      <c r="W313" s="427" t="s">
        <v>1292</v>
      </c>
      <c r="X313" s="427" t="s">
        <v>3276</v>
      </c>
      <c r="AA313" s="27"/>
      <c r="AB313" s="27"/>
      <c r="AC313" s="889"/>
      <c r="AD313" s="502"/>
    </row>
    <row r="314" spans="6:30" ht="10.5" customHeight="1">
      <c r="F314" s="532"/>
      <c r="G314" s="967" t="s">
        <v>1866</v>
      </c>
      <c r="H314" s="967" t="s">
        <v>1184</v>
      </c>
      <c r="I314" s="968" t="s">
        <v>1867</v>
      </c>
      <c r="J314" s="971" t="s">
        <v>2543</v>
      </c>
      <c r="K314" s="969" t="s">
        <v>1146</v>
      </c>
      <c r="L314" s="970" t="s">
        <v>415</v>
      </c>
      <c r="M314" s="1050" t="s">
        <v>2530</v>
      </c>
      <c r="N314" s="1050" t="s">
        <v>1178</v>
      </c>
      <c r="O314" s="1207" t="s">
        <v>4068</v>
      </c>
      <c r="P314" s="530" t="s">
        <v>531</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1184</v>
      </c>
      <c r="I315" s="971" t="s">
        <v>1869</v>
      </c>
      <c r="J315" s="968" t="s">
        <v>2543</v>
      </c>
      <c r="K315" s="969" t="s">
        <v>1147</v>
      </c>
      <c r="L315" s="970" t="s">
        <v>415</v>
      </c>
      <c r="M315" s="1050" t="s">
        <v>2530</v>
      </c>
      <c r="N315" s="1050" t="s">
        <v>1737</v>
      </c>
      <c r="O315" s="1207" t="s">
        <v>4069</v>
      </c>
      <c r="P315" s="530" t="s">
        <v>1133</v>
      </c>
      <c r="Q315" s="291"/>
      <c r="R315" s="170"/>
      <c r="S315" s="387"/>
      <c r="T315" s="491" t="s">
        <v>587</v>
      </c>
      <c r="U315" s="491" t="s">
        <v>2129</v>
      </c>
      <c r="W315" s="427" t="s">
        <v>1541</v>
      </c>
      <c r="X315" s="427" t="s">
        <v>3276</v>
      </c>
      <c r="AA315" s="27"/>
      <c r="AB315" s="27"/>
      <c r="AC315" s="889"/>
      <c r="AD315" s="502"/>
    </row>
    <row r="316" spans="6:30" ht="10.5" customHeight="1">
      <c r="F316" s="532"/>
      <c r="G316" s="967" t="s">
        <v>1870</v>
      </c>
      <c r="H316" s="967" t="s">
        <v>1184</v>
      </c>
      <c r="I316" s="971" t="s">
        <v>1292</v>
      </c>
      <c r="J316" s="971" t="s">
        <v>2544</v>
      </c>
      <c r="K316" s="969" t="s">
        <v>2511</v>
      </c>
      <c r="L316" s="970" t="s">
        <v>416</v>
      </c>
      <c r="M316" s="1049" t="s">
        <v>2530</v>
      </c>
      <c r="N316" s="1050" t="s">
        <v>1292</v>
      </c>
      <c r="O316" s="1207" t="s">
        <v>4070</v>
      </c>
      <c r="P316" s="530" t="s">
        <v>728</v>
      </c>
      <c r="Q316" s="291"/>
      <c r="R316" s="170"/>
      <c r="S316" s="387"/>
      <c r="T316" s="491" t="s">
        <v>2750</v>
      </c>
      <c r="U316" s="491" t="s">
        <v>1078</v>
      </c>
      <c r="W316" s="427" t="s">
        <v>371</v>
      </c>
      <c r="X316" s="427" t="s">
        <v>3276</v>
      </c>
      <c r="AA316" s="27"/>
      <c r="AB316" s="27"/>
      <c r="AC316" s="889"/>
      <c r="AD316" s="502"/>
    </row>
    <row r="317" spans="6:30" ht="10.5" customHeight="1">
      <c r="F317" s="532"/>
      <c r="G317" s="967" t="s">
        <v>1871</v>
      </c>
      <c r="H317" s="967" t="s">
        <v>1283</v>
      </c>
      <c r="I317" s="971" t="s">
        <v>1872</v>
      </c>
      <c r="J317" s="971" t="s">
        <v>2543</v>
      </c>
      <c r="K317" s="969" t="s">
        <v>1148</v>
      </c>
      <c r="L317" s="970" t="s">
        <v>415</v>
      </c>
      <c r="M317" s="1050" t="s">
        <v>2530</v>
      </c>
      <c r="N317" s="1049" t="s">
        <v>162</v>
      </c>
      <c r="O317" s="1207" t="s">
        <v>4071</v>
      </c>
      <c r="P317" s="530" t="s">
        <v>34</v>
      </c>
      <c r="Q317" s="291"/>
      <c r="R317" s="170"/>
      <c r="S317" s="387"/>
      <c r="T317" s="491" t="s">
        <v>589</v>
      </c>
      <c r="U317" s="491" t="s">
        <v>1601</v>
      </c>
      <c r="W317" s="427" t="s">
        <v>373</v>
      </c>
      <c r="X317" s="427" t="s">
        <v>3276</v>
      </c>
      <c r="AA317" s="27"/>
      <c r="AB317" s="27"/>
      <c r="AC317" s="889"/>
      <c r="AD317" s="502"/>
    </row>
    <row r="318" spans="6:30" ht="10.5" customHeight="1">
      <c r="F318" s="532"/>
      <c r="G318" s="967" t="s">
        <v>1956</v>
      </c>
      <c r="H318" s="967" t="s">
        <v>1184</v>
      </c>
      <c r="I318" s="968" t="s">
        <v>1957</v>
      </c>
      <c r="J318" s="971" t="s">
        <v>2543</v>
      </c>
      <c r="K318" s="969" t="s">
        <v>1149</v>
      </c>
      <c r="L318" s="970" t="s">
        <v>415</v>
      </c>
      <c r="M318" s="1050" t="s">
        <v>2530</v>
      </c>
      <c r="N318" s="1050" t="s">
        <v>1178</v>
      </c>
      <c r="O318" s="1207" t="s">
        <v>4072</v>
      </c>
      <c r="P318" s="530" t="s">
        <v>1915</v>
      </c>
      <c r="Q318" s="291"/>
      <c r="R318" s="170"/>
      <c r="S318" s="387"/>
      <c r="T318" s="491" t="s">
        <v>530</v>
      </c>
      <c r="U318" s="491" t="s">
        <v>640</v>
      </c>
      <c r="W318" s="427" t="s">
        <v>1573</v>
      </c>
      <c r="X318" s="427" t="s">
        <v>3276</v>
      </c>
      <c r="AA318" s="27"/>
      <c r="AB318" s="27"/>
      <c r="AC318" s="889"/>
      <c r="AD318" s="502"/>
    </row>
    <row r="319" spans="6:30" ht="10.5" customHeight="1">
      <c r="F319" s="532"/>
      <c r="G319" s="967" t="s">
        <v>1958</v>
      </c>
      <c r="H319" s="967" t="s">
        <v>1283</v>
      </c>
      <c r="I319" s="971" t="s">
        <v>1488</v>
      </c>
      <c r="J319" s="968" t="s">
        <v>2544</v>
      </c>
      <c r="K319" s="969" t="s">
        <v>1637</v>
      </c>
      <c r="L319" s="970" t="s">
        <v>416</v>
      </c>
      <c r="M319" s="1049" t="s">
        <v>2530</v>
      </c>
      <c r="N319" s="1050" t="s">
        <v>1488</v>
      </c>
      <c r="O319" s="1207" t="s">
        <v>4073</v>
      </c>
      <c r="P319" s="530" t="s">
        <v>1917</v>
      </c>
      <c r="Q319" s="291"/>
      <c r="R319" s="170"/>
      <c r="S319" s="387"/>
      <c r="T319" s="491" t="s">
        <v>532</v>
      </c>
      <c r="U319" s="491" t="s">
        <v>156</v>
      </c>
      <c r="W319" s="427" t="s">
        <v>1065</v>
      </c>
      <c r="X319" s="427" t="s">
        <v>3276</v>
      </c>
      <c r="AA319" s="27"/>
      <c r="AB319" s="27"/>
      <c r="AC319" s="889"/>
      <c r="AD319" s="502"/>
    </row>
    <row r="320" spans="6:30" ht="10.5" customHeight="1">
      <c r="F320" s="532"/>
      <c r="G320" s="967" t="s">
        <v>1959</v>
      </c>
      <c r="H320" s="967" t="s">
        <v>1283</v>
      </c>
      <c r="I320" s="971" t="s">
        <v>745</v>
      </c>
      <c r="J320" s="971" t="s">
        <v>2544</v>
      </c>
      <c r="K320" s="969" t="s">
        <v>2508</v>
      </c>
      <c r="L320" s="970" t="s">
        <v>416</v>
      </c>
      <c r="M320" s="1049" t="s">
        <v>1169</v>
      </c>
      <c r="N320" s="1049" t="s">
        <v>1178</v>
      </c>
      <c r="O320" s="1207" t="s">
        <v>4074</v>
      </c>
      <c r="P320" s="530" t="s">
        <v>329</v>
      </c>
      <c r="Q320" s="291"/>
      <c r="R320" s="170"/>
      <c r="S320" s="387"/>
      <c r="T320" s="491" t="s">
        <v>727</v>
      </c>
      <c r="U320" s="491" t="s">
        <v>1084</v>
      </c>
      <c r="W320" s="427" t="s">
        <v>3271</v>
      </c>
      <c r="X320" s="427" t="s">
        <v>3276</v>
      </c>
      <c r="AA320" s="27"/>
      <c r="AB320" s="27"/>
      <c r="AC320" s="889"/>
      <c r="AD320" s="502"/>
    </row>
    <row r="321" spans="3:30" ht="10.5" customHeight="1">
      <c r="F321" s="532"/>
      <c r="G321" s="967" t="s">
        <v>1960</v>
      </c>
      <c r="H321" s="967" t="s">
        <v>1184</v>
      </c>
      <c r="I321" s="971" t="s">
        <v>100</v>
      </c>
      <c r="J321" s="971" t="s">
        <v>2543</v>
      </c>
      <c r="K321" s="969" t="s">
        <v>1150</v>
      </c>
      <c r="L321" s="970" t="s">
        <v>415</v>
      </c>
      <c r="M321" s="1050" t="s">
        <v>2530</v>
      </c>
      <c r="N321" s="1049" t="s">
        <v>1653</v>
      </c>
      <c r="O321" s="1207" t="s">
        <v>4075</v>
      </c>
      <c r="P321" s="530" t="s">
        <v>331</v>
      </c>
      <c r="Q321" s="291"/>
      <c r="R321" s="170"/>
      <c r="S321" s="387"/>
      <c r="T321" s="491" t="s">
        <v>729</v>
      </c>
      <c r="U321" s="491" t="s">
        <v>118</v>
      </c>
      <c r="W321" s="427" t="s">
        <v>3272</v>
      </c>
      <c r="X321" s="427" t="s">
        <v>3276</v>
      </c>
      <c r="AA321" s="27"/>
      <c r="AB321" s="27"/>
      <c r="AC321" s="889"/>
      <c r="AD321" s="502"/>
    </row>
    <row r="322" spans="3:30" ht="10.5" customHeight="1">
      <c r="F322" s="532"/>
      <c r="G322" s="967" t="s">
        <v>101</v>
      </c>
      <c r="H322" s="967" t="s">
        <v>1283</v>
      </c>
      <c r="I322" s="971" t="s">
        <v>102</v>
      </c>
      <c r="J322" s="971" t="s">
        <v>2543</v>
      </c>
      <c r="K322" s="969" t="s">
        <v>1151</v>
      </c>
      <c r="L322" s="970" t="s">
        <v>415</v>
      </c>
      <c r="M322" s="1050" t="s">
        <v>2530</v>
      </c>
      <c r="N322" s="1050" t="s">
        <v>1302</v>
      </c>
      <c r="O322" s="1207" t="s">
        <v>4076</v>
      </c>
      <c r="P322" s="530" t="s">
        <v>333</v>
      </c>
      <c r="Q322" s="291"/>
      <c r="R322" s="170"/>
      <c r="S322" s="387"/>
      <c r="T322" s="491" t="s">
        <v>35</v>
      </c>
      <c r="U322" s="491" t="s">
        <v>172</v>
      </c>
      <c r="W322" s="427" t="s">
        <v>506</v>
      </c>
      <c r="X322" s="427" t="s">
        <v>3276</v>
      </c>
      <c r="AA322" s="27"/>
      <c r="AB322" s="27"/>
      <c r="AC322" s="889"/>
      <c r="AD322" s="502"/>
    </row>
    <row r="323" spans="3:30" ht="10.5" customHeight="1">
      <c r="F323" s="532"/>
      <c r="G323" s="967" t="s">
        <v>103</v>
      </c>
      <c r="H323" s="967" t="s">
        <v>1184</v>
      </c>
      <c r="I323" s="971" t="s">
        <v>104</v>
      </c>
      <c r="J323" s="971" t="s">
        <v>2543</v>
      </c>
      <c r="K323" s="969" t="s">
        <v>1152</v>
      </c>
      <c r="L323" s="970" t="s">
        <v>415</v>
      </c>
      <c r="M323" s="1050" t="s">
        <v>2530</v>
      </c>
      <c r="N323" s="1050" t="s">
        <v>1292</v>
      </c>
      <c r="O323" s="1207" t="s">
        <v>4077</v>
      </c>
      <c r="P323" s="530" t="s">
        <v>335</v>
      </c>
      <c r="Q323" s="291"/>
      <c r="R323" s="170"/>
      <c r="S323" s="387"/>
      <c r="T323" s="491" t="s">
        <v>1916</v>
      </c>
      <c r="U323" s="491" t="s">
        <v>2185</v>
      </c>
      <c r="W323" s="427" t="s">
        <v>508</v>
      </c>
      <c r="X323" s="427" t="s">
        <v>3276</v>
      </c>
      <c r="AA323" s="27"/>
      <c r="AB323" s="27"/>
      <c r="AC323" s="889"/>
      <c r="AD323" s="502"/>
    </row>
    <row r="324" spans="3:30" ht="10.5" customHeight="1">
      <c r="F324" s="532"/>
      <c r="G324" s="967" t="s">
        <v>105</v>
      </c>
      <c r="H324" s="967" t="s">
        <v>1184</v>
      </c>
      <c r="I324" s="971" t="s">
        <v>106</v>
      </c>
      <c r="J324" s="971" t="s">
        <v>2543</v>
      </c>
      <c r="K324" s="969" t="s">
        <v>1153</v>
      </c>
      <c r="L324" s="970" t="s">
        <v>415</v>
      </c>
      <c r="M324" s="1050" t="s">
        <v>2530</v>
      </c>
      <c r="N324" s="1050" t="s">
        <v>1298</v>
      </c>
      <c r="O324" s="1207" t="s">
        <v>4078</v>
      </c>
      <c r="P324" s="530" t="s">
        <v>337</v>
      </c>
      <c r="Q324" s="291"/>
      <c r="R324" s="170"/>
      <c r="S324" s="387"/>
      <c r="T324" s="491" t="s">
        <v>1918</v>
      </c>
      <c r="U324" s="491" t="s">
        <v>2523</v>
      </c>
      <c r="W324" s="427" t="s">
        <v>514</v>
      </c>
      <c r="X324" s="427" t="s">
        <v>3276</v>
      </c>
      <c r="AA324" s="27"/>
      <c r="AB324" s="27"/>
      <c r="AC324" s="889"/>
      <c r="AD324" s="502"/>
    </row>
    <row r="325" spans="3:30" ht="10.5" customHeight="1">
      <c r="F325" s="532"/>
      <c r="G325" s="967" t="s">
        <v>107</v>
      </c>
      <c r="H325" s="967" t="s">
        <v>1184</v>
      </c>
      <c r="I325" s="971" t="s">
        <v>108</v>
      </c>
      <c r="J325" s="971" t="s">
        <v>2543</v>
      </c>
      <c r="K325" s="969" t="s">
        <v>1154</v>
      </c>
      <c r="L325" s="970" t="s">
        <v>415</v>
      </c>
      <c r="M325" s="1050" t="s">
        <v>2530</v>
      </c>
      <c r="N325" s="1050" t="s">
        <v>157</v>
      </c>
      <c r="O325" s="1207" t="s">
        <v>4079</v>
      </c>
      <c r="P325" s="530" t="s">
        <v>339</v>
      </c>
      <c r="Q325" s="291"/>
      <c r="R325" s="170"/>
      <c r="S325" s="387"/>
      <c r="T325" s="491" t="s">
        <v>330</v>
      </c>
      <c r="U325" s="491" t="s">
        <v>1901</v>
      </c>
      <c r="W325" s="427" t="s">
        <v>526</v>
      </c>
      <c r="X325" s="427" t="s">
        <v>3276</v>
      </c>
      <c r="AA325" s="27"/>
      <c r="AB325" s="27"/>
      <c r="AC325" s="889"/>
      <c r="AD325" s="502"/>
    </row>
    <row r="326" spans="3:30" ht="10.5" customHeight="1">
      <c r="F326" s="532"/>
      <c r="G326" s="967" t="s">
        <v>109</v>
      </c>
      <c r="H326" s="967" t="s">
        <v>1184</v>
      </c>
      <c r="I326" s="971" t="s">
        <v>110</v>
      </c>
      <c r="J326" s="971" t="s">
        <v>2543</v>
      </c>
      <c r="K326" s="969" t="s">
        <v>2295</v>
      </c>
      <c r="L326" s="970" t="s">
        <v>415</v>
      </c>
      <c r="M326" s="1050" t="s">
        <v>2530</v>
      </c>
      <c r="N326" s="1050" t="s">
        <v>1292</v>
      </c>
      <c r="O326" s="1207" t="s">
        <v>4080</v>
      </c>
      <c r="P326" s="530" t="s">
        <v>1891</v>
      </c>
      <c r="Q326" s="291"/>
      <c r="R326" s="170"/>
      <c r="S326" s="387"/>
      <c r="T326" s="491" t="s">
        <v>332</v>
      </c>
      <c r="U326" s="491" t="s">
        <v>852</v>
      </c>
      <c r="W326" s="427" t="s">
        <v>1601</v>
      </c>
      <c r="X326" s="427" t="s">
        <v>3276</v>
      </c>
      <c r="AA326" s="27"/>
      <c r="AB326" s="27"/>
      <c r="AC326" s="889"/>
      <c r="AD326" s="502"/>
    </row>
    <row r="327" spans="3:30" ht="10.5" customHeight="1">
      <c r="F327" s="532"/>
      <c r="G327" s="967" t="s">
        <v>111</v>
      </c>
      <c r="H327" s="967" t="s">
        <v>1283</v>
      </c>
      <c r="I327" s="971" t="s">
        <v>112</v>
      </c>
      <c r="J327" s="971" t="s">
        <v>2543</v>
      </c>
      <c r="K327" s="969" t="s">
        <v>2296</v>
      </c>
      <c r="L327" s="970" t="s">
        <v>415</v>
      </c>
      <c r="M327" s="1050" t="s">
        <v>2530</v>
      </c>
      <c r="N327" s="1050" t="s">
        <v>162</v>
      </c>
      <c r="O327" s="1207" t="s">
        <v>4081</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1283</v>
      </c>
      <c r="I328" s="968" t="s">
        <v>330</v>
      </c>
      <c r="J328" s="971" t="s">
        <v>2544</v>
      </c>
      <c r="K328" s="969" t="s">
        <v>2297</v>
      </c>
      <c r="L328" s="970" t="s">
        <v>416</v>
      </c>
      <c r="M328" s="1050" t="s">
        <v>1169</v>
      </c>
      <c r="N328" s="1050" t="s">
        <v>1488</v>
      </c>
      <c r="O328" s="1207" t="s">
        <v>4082</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1184</v>
      </c>
      <c r="I329" s="971" t="s">
        <v>2332</v>
      </c>
      <c r="J329" s="968" t="s">
        <v>2543</v>
      </c>
      <c r="K329" s="969" t="s">
        <v>2298</v>
      </c>
      <c r="L329" s="970" t="s">
        <v>415</v>
      </c>
      <c r="M329" s="1050" t="s">
        <v>2530</v>
      </c>
      <c r="N329" s="1050" t="s">
        <v>1737</v>
      </c>
      <c r="O329" s="1207" t="s">
        <v>4083</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1283</v>
      </c>
      <c r="I330" s="971" t="s">
        <v>2334</v>
      </c>
      <c r="J330" s="971" t="s">
        <v>2543</v>
      </c>
      <c r="K330" s="969" t="s">
        <v>413</v>
      </c>
      <c r="L330" s="970" t="s">
        <v>415</v>
      </c>
      <c r="M330" s="1050" t="s">
        <v>2530</v>
      </c>
      <c r="N330" s="1050" t="s">
        <v>1302</v>
      </c>
      <c r="O330" s="1207" t="s">
        <v>4084</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1184</v>
      </c>
      <c r="I331" s="971" t="s">
        <v>2336</v>
      </c>
      <c r="J331" s="971" t="s">
        <v>2543</v>
      </c>
      <c r="K331" s="969" t="s">
        <v>414</v>
      </c>
      <c r="L331" s="970" t="s">
        <v>415</v>
      </c>
      <c r="M331" s="1050" t="s">
        <v>2530</v>
      </c>
      <c r="N331" s="1050" t="s">
        <v>1292</v>
      </c>
      <c r="O331" s="1207" t="s">
        <v>4085</v>
      </c>
      <c r="P331" s="530" t="s">
        <v>1546</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1184</v>
      </c>
      <c r="I332" s="971" t="s">
        <v>1737</v>
      </c>
      <c r="J332" s="971" t="s">
        <v>2544</v>
      </c>
      <c r="K332" s="969" t="s">
        <v>1138</v>
      </c>
      <c r="L332" s="970" t="s">
        <v>416</v>
      </c>
      <c r="M332" s="1049" t="s">
        <v>2530</v>
      </c>
      <c r="N332" s="1050" t="s">
        <v>1737</v>
      </c>
      <c r="O332" s="1207" t="s">
        <v>4086</v>
      </c>
      <c r="P332" s="530" t="s">
        <v>769</v>
      </c>
      <c r="Q332" s="291"/>
      <c r="R332" s="170"/>
      <c r="S332" s="387"/>
      <c r="T332" s="491" t="s">
        <v>191</v>
      </c>
      <c r="U332" s="491" t="s">
        <v>1625</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771</v>
      </c>
      <c r="Q333" s="291"/>
      <c r="R333" s="170"/>
      <c r="S333" s="387"/>
      <c r="T333" s="491" t="s">
        <v>2103</v>
      </c>
      <c r="U333" s="491" t="s">
        <v>191</v>
      </c>
      <c r="W333" s="427" t="s">
        <v>544</v>
      </c>
      <c r="X333" s="427" t="s">
        <v>3276</v>
      </c>
      <c r="AA333" s="27"/>
      <c r="AB333" s="27"/>
      <c r="AC333" s="889"/>
      <c r="AD333" s="502"/>
    </row>
    <row r="334" spans="3:30" ht="10.5" customHeight="1">
      <c r="C334" s="3434">
        <v>2019</v>
      </c>
      <c r="D334" s="3435"/>
      <c r="E334" s="3435"/>
      <c r="F334" s="3435"/>
      <c r="G334" s="3434">
        <v>2020</v>
      </c>
      <c r="H334" s="3434"/>
      <c r="I334" s="3434"/>
      <c r="J334" s="3434"/>
      <c r="K334"/>
      <c r="L334" s="3436" t="s">
        <v>4762</v>
      </c>
      <c r="M334" s="3437"/>
      <c r="N334" s="3437"/>
      <c r="O334" s="3438"/>
      <c r="P334" s="530" t="s">
        <v>773</v>
      </c>
      <c r="Q334" s="291"/>
      <c r="R334" s="170"/>
      <c r="S334" s="387"/>
      <c r="T334" s="531" t="s">
        <v>670</v>
      </c>
      <c r="U334" s="531" t="s">
        <v>2125</v>
      </c>
      <c r="W334" s="427" t="s">
        <v>1421</v>
      </c>
      <c r="X334" s="427" t="s">
        <v>3276</v>
      </c>
      <c r="AA334" s="27"/>
      <c r="AB334" s="27"/>
      <c r="AC334" s="889"/>
      <c r="AD334" s="502"/>
    </row>
    <row r="335" spans="3:30" ht="10.5" customHeight="1">
      <c r="C335" s="3439" t="s">
        <v>4605</v>
      </c>
      <c r="D335" s="3440" t="s">
        <v>4606</v>
      </c>
      <c r="E335" s="3440" t="s">
        <v>4607</v>
      </c>
      <c r="F335" s="3440" t="s">
        <v>4608</v>
      </c>
      <c r="G335" s="3439" t="s">
        <v>4605</v>
      </c>
      <c r="H335" s="3440" t="s">
        <v>4606</v>
      </c>
      <c r="I335" s="3440" t="s">
        <v>4607</v>
      </c>
      <c r="J335" s="3440" t="s">
        <v>4608</v>
      </c>
      <c r="K335"/>
      <c r="L335" s="3439" t="s">
        <v>4605</v>
      </c>
      <c r="M335" s="3440" t="s">
        <v>4606</v>
      </c>
      <c r="N335" s="3440" t="s">
        <v>4607</v>
      </c>
      <c r="O335" s="3440" t="s">
        <v>4608</v>
      </c>
      <c r="P335" s="530" t="s">
        <v>2357</v>
      </c>
      <c r="Q335" s="291"/>
      <c r="R335" s="170"/>
      <c r="S335" s="387"/>
      <c r="T335" s="491" t="s">
        <v>151</v>
      </c>
      <c r="U335" s="491" t="s">
        <v>1827</v>
      </c>
      <c r="W335" s="427" t="s">
        <v>1548</v>
      </c>
      <c r="X335" s="427" t="s">
        <v>3276</v>
      </c>
      <c r="AA335" s="27"/>
      <c r="AB335" s="27"/>
      <c r="AC335" s="890"/>
      <c r="AD335" s="502"/>
    </row>
    <row r="336" spans="3:30" ht="10.5" customHeight="1">
      <c r="C336" s="3439"/>
      <c r="D336" s="3440"/>
      <c r="E336" s="3440"/>
      <c r="F336" s="3440"/>
      <c r="G336" s="3439"/>
      <c r="H336" s="3440"/>
      <c r="I336" s="3440"/>
      <c r="J336" s="3440"/>
      <c r="K336"/>
      <c r="L336" s="3439"/>
      <c r="M336" s="3440"/>
      <c r="N336" s="3440"/>
      <c r="O336" s="3440"/>
      <c r="P336" s="530" t="s">
        <v>2358</v>
      </c>
      <c r="Q336" s="291"/>
      <c r="R336" s="170"/>
      <c r="S336" s="387"/>
      <c r="T336" s="491" t="s">
        <v>192</v>
      </c>
      <c r="U336" s="491" t="s">
        <v>609</v>
      </c>
      <c r="W336" s="427" t="s">
        <v>2068</v>
      </c>
      <c r="X336" s="427" t="s">
        <v>3276</v>
      </c>
      <c r="AA336" s="27"/>
      <c r="AB336" s="27"/>
      <c r="AC336" s="889"/>
      <c r="AD336" s="502"/>
    </row>
    <row r="337" spans="3:30" ht="10.5" customHeight="1">
      <c r="C337" s="3439"/>
      <c r="D337" s="3440"/>
      <c r="E337" s="3440"/>
      <c r="F337" s="3440"/>
      <c r="G337" s="3439"/>
      <c r="H337" s="3440"/>
      <c r="I337" s="3440"/>
      <c r="J337" s="3440"/>
      <c r="K337"/>
      <c r="L337" s="3439"/>
      <c r="M337" s="3440"/>
      <c r="N337" s="3440"/>
      <c r="O337" s="3440"/>
      <c r="P337" s="530" t="s">
        <v>2360</v>
      </c>
      <c r="Q337" s="291"/>
      <c r="R337" s="170"/>
      <c r="S337" s="387"/>
      <c r="T337" s="491" t="s">
        <v>2500</v>
      </c>
      <c r="U337" s="491" t="s">
        <v>1960</v>
      </c>
      <c r="W337" s="427" t="s">
        <v>2070</v>
      </c>
      <c r="X337" s="427" t="s">
        <v>3276</v>
      </c>
      <c r="AA337" s="27"/>
      <c r="AB337" s="27"/>
      <c r="AC337" s="889"/>
      <c r="AD337" s="502"/>
    </row>
    <row r="338" spans="3:30" ht="10.5" customHeight="1">
      <c r="C338" s="3439"/>
      <c r="D338" s="3440"/>
      <c r="E338" s="3440"/>
      <c r="F338" s="3440"/>
      <c r="G338" s="3439"/>
      <c r="H338" s="3440"/>
      <c r="I338" s="3440"/>
      <c r="J338" s="3440"/>
      <c r="K338"/>
      <c r="L338" s="3439"/>
      <c r="M338" s="3440"/>
      <c r="N338" s="3440"/>
      <c r="O338" s="3440"/>
      <c r="P338" s="530" t="s">
        <v>2362</v>
      </c>
      <c r="Q338" s="291"/>
      <c r="R338" s="170"/>
      <c r="S338" s="387"/>
      <c r="T338" s="491" t="s">
        <v>770</v>
      </c>
      <c r="U338" s="491" t="s">
        <v>103</v>
      </c>
      <c r="W338" s="427" t="s">
        <v>1412</v>
      </c>
      <c r="X338" s="427" t="s">
        <v>3276</v>
      </c>
      <c r="AA338" s="27"/>
      <c r="AB338" s="27"/>
      <c r="AC338" s="889"/>
      <c r="AD338" s="502"/>
    </row>
    <row r="339" spans="3:30" ht="10.5" customHeight="1">
      <c r="C339" s="3439"/>
      <c r="D339" s="3440"/>
      <c r="E339" s="3440"/>
      <c r="F339" s="3440"/>
      <c r="G339" s="3439"/>
      <c r="H339" s="3440"/>
      <c r="I339" s="3440"/>
      <c r="J339" s="3440"/>
      <c r="K339"/>
      <c r="L339" s="3439"/>
      <c r="M339" s="3440"/>
      <c r="N339" s="3440"/>
      <c r="O339" s="3440"/>
      <c r="P339" s="530" t="s">
        <v>2363</v>
      </c>
      <c r="Q339" s="291"/>
      <c r="R339" s="170"/>
      <c r="S339" s="387"/>
      <c r="T339" s="491" t="s">
        <v>772</v>
      </c>
      <c r="U339" s="491" t="s">
        <v>119</v>
      </c>
      <c r="W339" s="427" t="s">
        <v>1522</v>
      </c>
      <c r="X339" s="427" t="s">
        <v>3276</v>
      </c>
      <c r="AA339" s="27"/>
      <c r="AB339" s="27"/>
      <c r="AC339" s="889"/>
      <c r="AD339" s="502"/>
    </row>
    <row r="340" spans="3:30" ht="10.5" customHeight="1">
      <c r="C340" s="3439"/>
      <c r="D340" s="3440"/>
      <c r="E340" s="3440"/>
      <c r="F340" s="3440"/>
      <c r="G340" s="3439"/>
      <c r="H340" s="3440"/>
      <c r="I340" s="3440"/>
      <c r="J340" s="3440"/>
      <c r="K340"/>
      <c r="L340" s="3439"/>
      <c r="M340" s="3440"/>
      <c r="N340" s="3440"/>
      <c r="O340" s="3440"/>
      <c r="P340" s="530" t="s">
        <v>375</v>
      </c>
      <c r="Q340" s="291"/>
      <c r="R340" s="170"/>
      <c r="S340" s="387"/>
      <c r="T340" s="491" t="s">
        <v>774</v>
      </c>
      <c r="U340" s="491" t="s">
        <v>321</v>
      </c>
      <c r="W340" s="427" t="s">
        <v>1158</v>
      </c>
      <c r="X340" s="427" t="s">
        <v>3276</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2751</v>
      </c>
      <c r="U341" s="531" t="s">
        <v>856</v>
      </c>
      <c r="W341" s="427" t="s">
        <v>1706</v>
      </c>
      <c r="X341" s="427" t="s">
        <v>3276</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2359</v>
      </c>
      <c r="U342" s="491" t="s">
        <v>1423</v>
      </c>
      <c r="W342" s="427" t="s">
        <v>1768</v>
      </c>
      <c r="X342" s="427" t="s">
        <v>3276</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1873</v>
      </c>
      <c r="Q343" s="291"/>
      <c r="R343" s="170"/>
      <c r="S343" s="387"/>
      <c r="T343" s="491" t="s">
        <v>2361</v>
      </c>
      <c r="U343" s="491" t="s">
        <v>1082</v>
      </c>
      <c r="W343" s="427" t="s">
        <v>1080</v>
      </c>
      <c r="X343" s="427" t="s">
        <v>3276</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1874</v>
      </c>
      <c r="Q344" s="291"/>
      <c r="R344" s="170"/>
      <c r="S344" s="387"/>
      <c r="T344" s="491" t="s">
        <v>2501</v>
      </c>
      <c r="U344" s="491" t="s">
        <v>647</v>
      </c>
      <c r="W344" s="427" t="s">
        <v>3274</v>
      </c>
      <c r="X344" s="427" t="s">
        <v>3276</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1876</v>
      </c>
      <c r="Q345" s="291"/>
      <c r="R345" s="170"/>
      <c r="S345" s="387"/>
      <c r="T345" s="533" t="s">
        <v>374</v>
      </c>
      <c r="U345" s="491" t="s">
        <v>2423</v>
      </c>
      <c r="W345" s="427" t="s">
        <v>2092</v>
      </c>
      <c r="X345" s="427" t="s">
        <v>3276</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1877</v>
      </c>
      <c r="Q346" s="291"/>
      <c r="R346" s="170"/>
      <c r="S346" s="387"/>
      <c r="T346" s="491" t="s">
        <v>376</v>
      </c>
      <c r="U346" s="491" t="s">
        <v>2118</v>
      </c>
      <c r="W346" s="427" t="s">
        <v>1486</v>
      </c>
      <c r="X346" s="427" t="s">
        <v>3276</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1878</v>
      </c>
      <c r="Q347" s="291"/>
      <c r="R347" s="170"/>
      <c r="S347" s="387"/>
      <c r="T347" s="491" t="s">
        <v>46</v>
      </c>
      <c r="U347" s="491" t="s">
        <v>930</v>
      </c>
      <c r="W347" s="427" t="s">
        <v>61</v>
      </c>
      <c r="X347" s="427" t="s">
        <v>3276</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1880</v>
      </c>
      <c r="Q348" s="291"/>
      <c r="R348" s="170"/>
      <c r="S348" s="387"/>
      <c r="T348" s="491" t="s">
        <v>48</v>
      </c>
      <c r="U348" s="491" t="s">
        <v>609</v>
      </c>
      <c r="W348" s="427" t="s">
        <v>65</v>
      </c>
      <c r="X348" s="427" t="s">
        <v>3276</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697</v>
      </c>
      <c r="Q349" s="291"/>
      <c r="R349" s="170"/>
      <c r="S349" s="387"/>
      <c r="T349" s="531" t="s">
        <v>851</v>
      </c>
      <c r="U349" s="531" t="s">
        <v>2421</v>
      </c>
      <c r="W349" s="427" t="s">
        <v>67</v>
      </c>
      <c r="X349" s="427" t="s">
        <v>3276</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1116</v>
      </c>
      <c r="Q350" s="291"/>
      <c r="R350" s="170"/>
      <c r="S350" s="387"/>
      <c r="T350" s="531" t="s">
        <v>1875</v>
      </c>
      <c r="U350" s="531" t="s">
        <v>851</v>
      </c>
      <c r="W350" s="427" t="s">
        <v>756</v>
      </c>
      <c r="X350" s="427" t="s">
        <v>3276</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1118</v>
      </c>
      <c r="Q351" s="291"/>
      <c r="R351" s="170"/>
      <c r="S351" s="387"/>
      <c r="T351" s="491" t="s">
        <v>2502</v>
      </c>
      <c r="U351" s="491" t="s">
        <v>609</v>
      </c>
      <c r="W351" s="427" t="s">
        <v>918</v>
      </c>
      <c r="X351" s="427" t="s">
        <v>3276</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1120</v>
      </c>
      <c r="Q352" s="291"/>
      <c r="R352" s="170"/>
      <c r="S352" s="387"/>
      <c r="T352" s="491" t="s">
        <v>2752</v>
      </c>
      <c r="U352" s="491" t="s">
        <v>2418</v>
      </c>
      <c r="W352" s="427" t="s">
        <v>1020</v>
      </c>
      <c r="X352" s="427" t="s">
        <v>3276</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2445</v>
      </c>
      <c r="Q353" s="291"/>
      <c r="R353" s="170"/>
      <c r="S353" s="387"/>
      <c r="T353" s="491" t="s">
        <v>1879</v>
      </c>
      <c r="U353" s="491" t="s">
        <v>1423</v>
      </c>
      <c r="W353" s="427" t="s">
        <v>2208</v>
      </c>
      <c r="X353" s="427" t="s">
        <v>3276</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2447</v>
      </c>
      <c r="Q354" s="291"/>
      <c r="R354" s="170"/>
      <c r="S354" s="387"/>
      <c r="T354" s="491" t="s">
        <v>1881</v>
      </c>
      <c r="U354" s="491" t="s">
        <v>1423</v>
      </c>
      <c r="W354" s="427" t="s">
        <v>2453</v>
      </c>
      <c r="X354" s="427" t="s">
        <v>3276</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698</v>
      </c>
      <c r="U355" s="491" t="s">
        <v>118</v>
      </c>
      <c r="W355" s="427" t="s">
        <v>2112</v>
      </c>
      <c r="X355" s="427" t="s">
        <v>3276</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671</v>
      </c>
      <c r="U356" s="491" t="s">
        <v>609</v>
      </c>
      <c r="W356" s="427" t="s">
        <v>1580</v>
      </c>
      <c r="X356" s="427" t="s">
        <v>3276</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1776</v>
      </c>
      <c r="Q357" s="291"/>
      <c r="R357" s="170"/>
      <c r="S357" s="387"/>
      <c r="T357" s="491" t="s">
        <v>2753</v>
      </c>
      <c r="U357" s="491" t="s">
        <v>155</v>
      </c>
      <c r="W357" s="427" t="s">
        <v>2352</v>
      </c>
      <c r="X357" s="427" t="s">
        <v>3276</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1778</v>
      </c>
      <c r="Q358" s="291"/>
      <c r="R358" s="170"/>
      <c r="S358" s="387"/>
      <c r="T358" s="491" t="s">
        <v>2754</v>
      </c>
      <c r="U358" s="491" t="s">
        <v>311</v>
      </c>
      <c r="W358" s="427" t="s">
        <v>794</v>
      </c>
      <c r="X358" s="427" t="s">
        <v>3276</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1842</v>
      </c>
      <c r="Q359" s="291"/>
      <c r="R359" s="170"/>
      <c r="S359" s="387"/>
      <c r="T359" s="491" t="s">
        <v>1117</v>
      </c>
      <c r="U359" s="491" t="s">
        <v>1423</v>
      </c>
      <c r="W359" s="427" t="s">
        <v>164</v>
      </c>
      <c r="X359" s="427" t="s">
        <v>3276</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1844</v>
      </c>
      <c r="Q360" s="291"/>
      <c r="R360" s="170"/>
      <c r="S360" s="387"/>
      <c r="T360" s="491" t="s">
        <v>1119</v>
      </c>
      <c r="U360" s="491" t="s">
        <v>643</v>
      </c>
      <c r="W360" s="427" t="s">
        <v>1298</v>
      </c>
      <c r="X360" s="427" t="s">
        <v>3276</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1845</v>
      </c>
      <c r="Q361" s="291"/>
      <c r="R361" s="170"/>
      <c r="S361" s="387"/>
      <c r="T361" s="491" t="s">
        <v>2503</v>
      </c>
      <c r="U361" s="491" t="s">
        <v>2120</v>
      </c>
      <c r="W361" s="427" t="s">
        <v>1049</v>
      </c>
      <c r="X361" s="427" t="s">
        <v>3276</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1847</v>
      </c>
      <c r="Q362" s="291"/>
      <c r="R362" s="170"/>
      <c r="S362" s="387"/>
      <c r="T362" s="491" t="s">
        <v>2504</v>
      </c>
      <c r="U362" s="491" t="s">
        <v>2463</v>
      </c>
      <c r="W362" s="427" t="s">
        <v>1943</v>
      </c>
      <c r="X362" s="427" t="s">
        <v>3276</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1849</v>
      </c>
      <c r="Q363" s="291"/>
      <c r="R363" s="170"/>
      <c r="S363" s="387"/>
      <c r="T363" s="491" t="s">
        <v>1121</v>
      </c>
      <c r="U363" s="491" t="s">
        <v>1179</v>
      </c>
      <c r="W363" s="427" t="s">
        <v>1839</v>
      </c>
      <c r="X363" s="427" t="s">
        <v>3276</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1883</v>
      </c>
      <c r="Q364" s="291"/>
      <c r="R364" s="170"/>
      <c r="S364" s="387"/>
      <c r="T364" s="491" t="s">
        <v>2446</v>
      </c>
      <c r="U364" s="491" t="s">
        <v>195</v>
      </c>
      <c r="W364" s="427" t="s">
        <v>2468</v>
      </c>
      <c r="X364" s="427" t="s">
        <v>3276</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1885</v>
      </c>
      <c r="Q365" s="291"/>
      <c r="R365" s="170"/>
      <c r="S365" s="387"/>
      <c r="T365" s="531" t="s">
        <v>446</v>
      </c>
      <c r="U365" s="531" t="s">
        <v>1078</v>
      </c>
      <c r="W365" s="427" t="s">
        <v>1132</v>
      </c>
      <c r="X365" s="427" t="s">
        <v>3276</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1886</v>
      </c>
      <c r="Q366" s="291"/>
      <c r="R366" s="170"/>
      <c r="S366" s="387"/>
      <c r="T366" s="531" t="s">
        <v>4238</v>
      </c>
      <c r="U366" s="531" t="s">
        <v>645</v>
      </c>
      <c r="W366" s="427" t="s">
        <v>2449</v>
      </c>
      <c r="X366" s="427" t="s">
        <v>3276</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1888</v>
      </c>
      <c r="Q367" s="291"/>
      <c r="R367" s="170"/>
      <c r="S367" s="387"/>
      <c r="T367" s="531" t="s">
        <v>296</v>
      </c>
      <c r="U367" s="531" t="s">
        <v>1304</v>
      </c>
      <c r="W367" s="427" t="s">
        <v>795</v>
      </c>
      <c r="X367" s="427" t="s">
        <v>3276</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1890</v>
      </c>
      <c r="Q368" s="291"/>
      <c r="R368" s="170"/>
      <c r="S368" s="387"/>
      <c r="T368" s="491" t="s">
        <v>1777</v>
      </c>
      <c r="U368" s="491" t="s">
        <v>856</v>
      </c>
      <c r="W368" s="427" t="s">
        <v>2052</v>
      </c>
      <c r="X368" s="427" t="s">
        <v>3276</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1779</v>
      </c>
      <c r="U369" s="491" t="s">
        <v>1088</v>
      </c>
      <c r="W369" s="427" t="s">
        <v>916</v>
      </c>
      <c r="X369" s="427" t="s">
        <v>3276</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1843</v>
      </c>
      <c r="U370" s="531" t="s">
        <v>2423</v>
      </c>
      <c r="W370" s="427" t="s">
        <v>2435</v>
      </c>
      <c r="X370" s="427" t="s">
        <v>3276</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1631</v>
      </c>
      <c r="Q371" s="291"/>
      <c r="R371" s="170"/>
      <c r="S371" s="387"/>
      <c r="T371" s="491" t="s">
        <v>1846</v>
      </c>
      <c r="U371" s="491" t="s">
        <v>643</v>
      </c>
      <c r="W371" s="427" t="s">
        <v>1856</v>
      </c>
      <c r="X371" s="427" t="s">
        <v>3276</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1704</v>
      </c>
      <c r="Q372" s="291"/>
      <c r="R372" s="170"/>
      <c r="S372" s="387"/>
      <c r="T372" s="491" t="s">
        <v>1848</v>
      </c>
      <c r="U372" s="491" t="s">
        <v>1286</v>
      </c>
      <c r="W372" s="427" t="s">
        <v>1385</v>
      </c>
      <c r="X372" s="427" t="s">
        <v>3276</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2218</v>
      </c>
      <c r="Q373" s="291"/>
      <c r="R373" s="170"/>
      <c r="S373" s="387"/>
      <c r="T373" s="491" t="s">
        <v>2755</v>
      </c>
      <c r="U373" s="491" t="s">
        <v>195</v>
      </c>
      <c r="W373" s="427" t="s">
        <v>2198</v>
      </c>
      <c r="X373" s="427" t="s">
        <v>3276</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2220</v>
      </c>
      <c r="Q374" s="291"/>
      <c r="R374" s="170"/>
      <c r="S374" s="387"/>
      <c r="T374" s="491" t="s">
        <v>1850</v>
      </c>
      <c r="U374" s="491" t="s">
        <v>1289</v>
      </c>
      <c r="W374" s="427" t="s">
        <v>2200</v>
      </c>
      <c r="X374" s="427" t="s">
        <v>3276</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969</v>
      </c>
      <c r="Q375" s="291"/>
      <c r="R375" s="170"/>
      <c r="S375" s="387"/>
      <c r="T375" s="491" t="s">
        <v>1884</v>
      </c>
      <c r="U375" s="491" t="s">
        <v>313</v>
      </c>
      <c r="W375" s="427" t="s">
        <v>1093</v>
      </c>
      <c r="X375" s="427" t="s">
        <v>3276</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658</v>
      </c>
      <c r="Q376" s="291"/>
      <c r="R376" s="170"/>
      <c r="S376" s="387"/>
      <c r="T376" s="491" t="s">
        <v>2756</v>
      </c>
      <c r="U376" s="491" t="s">
        <v>636</v>
      </c>
      <c r="W376" s="427" t="s">
        <v>2073</v>
      </c>
      <c r="X376" s="427" t="s">
        <v>3276</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551</v>
      </c>
      <c r="Q377" s="291"/>
      <c r="R377" s="170"/>
      <c r="S377" s="387"/>
      <c r="T377" s="491" t="s">
        <v>1887</v>
      </c>
      <c r="U377" s="491" t="s">
        <v>2517</v>
      </c>
      <c r="W377" s="427" t="s">
        <v>2074</v>
      </c>
      <c r="X377" s="427" t="s">
        <v>3276</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654</v>
      </c>
      <c r="Q378" s="291"/>
      <c r="R378" s="170"/>
      <c r="S378" s="387"/>
      <c r="T378" s="491" t="s">
        <v>1889</v>
      </c>
      <c r="U378" s="491" t="s">
        <v>1286</v>
      </c>
      <c r="W378" s="427" t="s">
        <v>2075</v>
      </c>
      <c r="X378" s="427" t="s">
        <v>3276</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2323</v>
      </c>
      <c r="Q379" s="291"/>
      <c r="R379" s="170"/>
      <c r="S379" s="387"/>
      <c r="T379" s="491" t="s">
        <v>2185</v>
      </c>
      <c r="U379" s="491" t="s">
        <v>2460</v>
      </c>
      <c r="W379" s="427" t="s">
        <v>2271</v>
      </c>
      <c r="X379" s="427" t="s">
        <v>3276</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2505</v>
      </c>
      <c r="U380" s="491" t="s">
        <v>2120</v>
      </c>
      <c r="W380" s="427" t="s">
        <v>2273</v>
      </c>
      <c r="X380" s="427" t="s">
        <v>3276</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760</v>
      </c>
      <c r="Q381" s="291"/>
      <c r="R381" s="170"/>
      <c r="S381" s="387"/>
      <c r="T381" s="491" t="s">
        <v>2506</v>
      </c>
      <c r="U381" s="491" t="s">
        <v>2420</v>
      </c>
      <c r="W381" s="427" t="s">
        <v>2201</v>
      </c>
      <c r="X381" s="427" t="s">
        <v>3276</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761</v>
      </c>
      <c r="Q382" s="291"/>
      <c r="R382" s="170"/>
      <c r="S382" s="387"/>
      <c r="T382" s="531" t="s">
        <v>412</v>
      </c>
      <c r="U382" s="531" t="s">
        <v>1179</v>
      </c>
      <c r="W382" s="427" t="s">
        <v>1593</v>
      </c>
      <c r="X382" s="427" t="s">
        <v>3276</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648</v>
      </c>
      <c r="W383" s="427" t="s">
        <v>1643</v>
      </c>
      <c r="X383" s="427" t="s">
        <v>3276</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2507</v>
      </c>
      <c r="U384" s="491" t="s">
        <v>1958</v>
      </c>
      <c r="W384" s="427" t="s">
        <v>1054</v>
      </c>
      <c r="X384" s="427" t="s">
        <v>3276</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1632</v>
      </c>
      <c r="U385" s="491" t="s">
        <v>2418</v>
      </c>
      <c r="W385" s="427" t="s">
        <v>1650</v>
      </c>
      <c r="X385" s="427" t="s">
        <v>3276</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764</v>
      </c>
      <c r="Q386" s="291"/>
      <c r="R386" s="170"/>
      <c r="S386" s="387"/>
      <c r="T386" s="491" t="s">
        <v>2219</v>
      </c>
      <c r="U386" s="491" t="s">
        <v>638</v>
      </c>
      <c r="W386" s="427" t="s">
        <v>1651</v>
      </c>
      <c r="X386" s="427" t="s">
        <v>3276</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765</v>
      </c>
      <c r="Q387" s="291"/>
      <c r="R387" s="170"/>
      <c r="S387" s="387"/>
      <c r="T387" s="491" t="s">
        <v>2221</v>
      </c>
      <c r="U387" s="491" t="s">
        <v>1287</v>
      </c>
      <c r="W387" s="427" t="s">
        <v>1653</v>
      </c>
      <c r="X387" s="427" t="s">
        <v>3276</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767</v>
      </c>
      <c r="Q388" s="291"/>
      <c r="R388" s="170"/>
      <c r="S388" s="387"/>
      <c r="T388" s="491" t="s">
        <v>970</v>
      </c>
      <c r="U388" s="491" t="s">
        <v>1426</v>
      </c>
      <c r="W388" s="427" t="s">
        <v>1656</v>
      </c>
      <c r="X388" s="427" t="s">
        <v>3276</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1520</v>
      </c>
      <c r="Q389" s="291"/>
      <c r="R389" s="170"/>
      <c r="S389" s="387"/>
      <c r="T389" s="491" t="s">
        <v>552</v>
      </c>
      <c r="U389" s="491" t="s">
        <v>1303</v>
      </c>
      <c r="W389" s="427" t="s">
        <v>1658</v>
      </c>
      <c r="X389" s="427" t="s">
        <v>3276</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1193</v>
      </c>
      <c r="Q390" s="291"/>
      <c r="R390" s="170"/>
      <c r="S390" s="387"/>
      <c r="T390" s="491" t="s">
        <v>655</v>
      </c>
      <c r="U390" s="491" t="s">
        <v>306</v>
      </c>
      <c r="W390" s="427" t="s">
        <v>1659</v>
      </c>
      <c r="X390" s="427" t="s">
        <v>3276</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1195</v>
      </c>
      <c r="Q391" s="291"/>
      <c r="R391" s="170"/>
      <c r="S391" s="387"/>
      <c r="T391" s="491" t="s">
        <v>2324</v>
      </c>
      <c r="U391" s="491" t="s">
        <v>153</v>
      </c>
      <c r="W391" s="427" t="s">
        <v>1661</v>
      </c>
      <c r="X391" s="427" t="s">
        <v>3276</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876</v>
      </c>
      <c r="Q392" s="291"/>
      <c r="R392" s="170"/>
      <c r="S392" s="387"/>
      <c r="T392" s="491" t="s">
        <v>215</v>
      </c>
      <c r="U392" s="491" t="s">
        <v>2417</v>
      </c>
      <c r="W392" s="427" t="s">
        <v>1665</v>
      </c>
      <c r="X392" s="427" t="s">
        <v>3276</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2395</v>
      </c>
      <c r="Q393" s="291"/>
      <c r="R393" s="170"/>
      <c r="S393" s="387"/>
      <c r="T393" s="491" t="s">
        <v>640</v>
      </c>
      <c r="U393" s="491" t="s">
        <v>1601</v>
      </c>
      <c r="W393" s="427" t="s">
        <v>1666</v>
      </c>
      <c r="X393" s="427" t="s">
        <v>3276</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3542</v>
      </c>
      <c r="Q394" s="291"/>
      <c r="R394" s="170"/>
      <c r="S394" s="387"/>
      <c r="T394" s="491" t="s">
        <v>2301</v>
      </c>
      <c r="U394" s="491" t="s">
        <v>2415</v>
      </c>
      <c r="W394" s="427" t="s">
        <v>1667</v>
      </c>
      <c r="X394" s="427" t="s">
        <v>3276</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879</v>
      </c>
      <c r="Q395" s="291"/>
      <c r="R395" s="170"/>
      <c r="S395" s="387"/>
      <c r="T395" s="491" t="s">
        <v>227</v>
      </c>
      <c r="U395" s="491" t="s">
        <v>1487</v>
      </c>
      <c r="W395" s="427" t="s">
        <v>103</v>
      </c>
      <c r="X395" s="427" t="s">
        <v>3276</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881</v>
      </c>
      <c r="Q396" s="291"/>
      <c r="R396" s="170"/>
      <c r="S396" s="387"/>
      <c r="T396" s="491" t="s">
        <v>1022</v>
      </c>
      <c r="U396" s="491" t="s">
        <v>1426</v>
      </c>
      <c r="W396" s="427" t="s">
        <v>291</v>
      </c>
      <c r="X396" s="427" t="s">
        <v>3276</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883</v>
      </c>
      <c r="Q397" s="291"/>
      <c r="R397" s="170"/>
      <c r="S397" s="387"/>
      <c r="T397" s="491" t="s">
        <v>229</v>
      </c>
      <c r="U397" s="491" t="s">
        <v>1068</v>
      </c>
      <c r="W397" s="427" t="s">
        <v>292</v>
      </c>
      <c r="X397" s="427" t="s">
        <v>3276</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885</v>
      </c>
      <c r="Q398" s="291"/>
      <c r="R398" s="170"/>
      <c r="S398" s="387"/>
      <c r="T398" s="491" t="s">
        <v>641</v>
      </c>
      <c r="U398" s="491" t="s">
        <v>313</v>
      </c>
      <c r="W398" s="427" t="s">
        <v>293</v>
      </c>
      <c r="X398" s="427" t="s">
        <v>3276</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887</v>
      </c>
      <c r="Q399" s="291"/>
      <c r="R399" s="170"/>
      <c r="S399" s="387"/>
      <c r="T399" s="491" t="s">
        <v>766</v>
      </c>
      <c r="U399" s="491" t="s">
        <v>641</v>
      </c>
      <c r="W399" s="427" t="s">
        <v>1507</v>
      </c>
      <c r="X399" s="427" t="s">
        <v>3276</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660</v>
      </c>
      <c r="Q400" s="291"/>
      <c r="R400" s="170"/>
      <c r="S400" s="387"/>
      <c r="T400" s="491" t="s">
        <v>1192</v>
      </c>
      <c r="U400" s="491" t="s">
        <v>2423</v>
      </c>
      <c r="W400" s="427" t="s">
        <v>1508</v>
      </c>
      <c r="X400" s="427" t="s">
        <v>3276</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1194</v>
      </c>
      <c r="U401" s="491" t="s">
        <v>306</v>
      </c>
      <c r="W401" s="427" t="s">
        <v>1509</v>
      </c>
      <c r="X401" s="427" t="s">
        <v>3276</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938</v>
      </c>
      <c r="Q402" s="291"/>
      <c r="R402" s="170"/>
      <c r="S402" s="387"/>
      <c r="T402" s="491" t="s">
        <v>1196</v>
      </c>
      <c r="U402" s="491" t="s">
        <v>155</v>
      </c>
      <c r="W402" s="427" t="s">
        <v>1514</v>
      </c>
      <c r="X402" s="427" t="s">
        <v>3276</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1697</v>
      </c>
      <c r="Q403" s="291"/>
      <c r="R403" s="170"/>
      <c r="S403" s="387"/>
      <c r="T403" s="491" t="s">
        <v>877</v>
      </c>
      <c r="U403" s="491" t="s">
        <v>2183</v>
      </c>
      <c r="W403" s="427" t="s">
        <v>2320</v>
      </c>
      <c r="X403" s="427" t="s">
        <v>3276</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975</v>
      </c>
      <c r="Q404" s="291"/>
      <c r="R404" s="170"/>
      <c r="S404" s="387"/>
      <c r="T404" s="491" t="s">
        <v>2396</v>
      </c>
      <c r="U404" s="491" t="s">
        <v>1829</v>
      </c>
      <c r="W404" s="427" t="s">
        <v>813</v>
      </c>
      <c r="X404" s="427" t="s">
        <v>3276</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976</v>
      </c>
      <c r="Q405" s="291"/>
      <c r="R405" s="170"/>
      <c r="S405" s="387"/>
      <c r="T405" s="531" t="s">
        <v>880</v>
      </c>
      <c r="U405" s="531" t="s">
        <v>2127</v>
      </c>
      <c r="W405" s="427" t="s">
        <v>815</v>
      </c>
      <c r="X405" s="427" t="s">
        <v>3276</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978</v>
      </c>
      <c r="Q406" s="291"/>
      <c r="R406" s="170"/>
      <c r="S406" s="387"/>
      <c r="T406" s="491" t="s">
        <v>882</v>
      </c>
      <c r="U406" s="491" t="s">
        <v>1080</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957</v>
      </c>
      <c r="Q407" s="291"/>
      <c r="R407" s="170"/>
      <c r="S407" s="387"/>
      <c r="T407" s="491" t="s">
        <v>884</v>
      </c>
      <c r="U407" s="491" t="s">
        <v>645</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959</v>
      </c>
      <c r="Q408" s="291"/>
      <c r="R408" s="170"/>
      <c r="S408" s="387"/>
      <c r="T408" s="491" t="s">
        <v>886</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961</v>
      </c>
      <c r="Q409" s="291"/>
      <c r="R409" s="170"/>
      <c r="S409" s="387"/>
      <c r="T409" s="531" t="s">
        <v>888</v>
      </c>
      <c r="U409" s="531" t="s">
        <v>1301</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963</v>
      </c>
      <c r="Q410" s="291"/>
      <c r="R410" s="170"/>
      <c r="S410" s="387"/>
      <c r="T410" s="491" t="s">
        <v>661</v>
      </c>
      <c r="U410" s="491" t="s">
        <v>2131</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555</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939</v>
      </c>
      <c r="U412" s="491" t="s">
        <v>1959</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648</v>
      </c>
      <c r="U413" s="491" t="s">
        <v>2335</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977</v>
      </c>
      <c r="U414" s="491" t="s">
        <v>1183</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578</v>
      </c>
      <c r="Q415" s="291"/>
      <c r="R415" s="170"/>
      <c r="S415" s="387"/>
      <c r="T415" s="531" t="s">
        <v>979</v>
      </c>
      <c r="U415" s="531" t="s">
        <v>2463</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1387</v>
      </c>
      <c r="Q416" s="291"/>
      <c r="R416" s="170"/>
      <c r="S416" s="387"/>
      <c r="T416" s="491" t="s">
        <v>958</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1560</v>
      </c>
      <c r="Q417" s="291"/>
      <c r="R417" s="170"/>
      <c r="S417" s="387"/>
      <c r="T417" s="491" t="s">
        <v>960</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985</v>
      </c>
      <c r="Q418" s="291"/>
      <c r="R418" s="170"/>
      <c r="S418" s="387"/>
      <c r="T418" s="491" t="s">
        <v>962</v>
      </c>
      <c r="U418" s="491" t="s">
        <v>652</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987</v>
      </c>
      <c r="Q419" s="291"/>
      <c r="R419" s="170"/>
      <c r="S419" s="387"/>
      <c r="T419" s="491" t="s">
        <v>964</v>
      </c>
      <c r="U419" s="491" t="s">
        <v>1829</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989</v>
      </c>
      <c r="Q420" s="291"/>
      <c r="R420" s="170"/>
      <c r="S420" s="387"/>
      <c r="T420" s="491" t="s">
        <v>1023</v>
      </c>
      <c r="U420" s="491" t="s">
        <v>609</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1633</v>
      </c>
      <c r="Q421" s="291"/>
      <c r="R421" s="170"/>
      <c r="S421" s="387"/>
      <c r="T421" s="491" t="s">
        <v>556</v>
      </c>
      <c r="U421" s="491" t="s">
        <v>2120</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1634</v>
      </c>
      <c r="Q422" s="291"/>
      <c r="R422" s="170"/>
      <c r="S422" s="387"/>
      <c r="T422" s="491" t="s">
        <v>366</v>
      </c>
      <c r="U422" s="491" t="s">
        <v>2460</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1635</v>
      </c>
      <c r="Q423" s="291"/>
      <c r="R423" s="170"/>
      <c r="S423" s="387"/>
      <c r="T423" s="491" t="s">
        <v>368</v>
      </c>
      <c r="U423" s="491" t="s">
        <v>1426</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842</v>
      </c>
      <c r="Q424" s="291"/>
      <c r="R424" s="170"/>
      <c r="S424" s="387"/>
      <c r="T424" s="491" t="s">
        <v>1024</v>
      </c>
      <c r="U424" s="491" t="s">
        <v>1862</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844</v>
      </c>
      <c r="Q425" s="291"/>
      <c r="R425" s="170"/>
      <c r="S425" s="387"/>
      <c r="T425" s="491" t="s">
        <v>370</v>
      </c>
      <c r="U425" s="491" t="s">
        <v>855</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846</v>
      </c>
      <c r="Q426" s="291"/>
      <c r="R426" s="170"/>
      <c r="S426" s="387"/>
      <c r="T426" s="491" t="s">
        <v>1388</v>
      </c>
      <c r="U426" s="491" t="s">
        <v>2185</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1561</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1679</v>
      </c>
      <c r="Q428" s="291"/>
      <c r="R428" s="170"/>
      <c r="S428" s="387"/>
      <c r="T428" s="531" t="s">
        <v>986</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2227</v>
      </c>
      <c r="Q429" s="291"/>
      <c r="R429" s="170"/>
      <c r="S429" s="387"/>
      <c r="T429" s="491" t="s">
        <v>988</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1954</v>
      </c>
      <c r="Q430" s="291"/>
      <c r="R430" s="170"/>
      <c r="S430" s="387"/>
      <c r="T430" s="491" t="s">
        <v>1025</v>
      </c>
      <c r="U430" s="491" t="s">
        <v>1956</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1009</v>
      </c>
      <c r="Q431" s="291"/>
      <c r="R431" s="170"/>
      <c r="S431" s="387"/>
      <c r="T431" s="491" t="s">
        <v>990</v>
      </c>
      <c r="U431" s="491" t="s">
        <v>1179</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2463</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2757</v>
      </c>
      <c r="U433" s="491" t="s">
        <v>1738</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1636</v>
      </c>
      <c r="U434" s="491" t="s">
        <v>2460</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1894</v>
      </c>
      <c r="Q435" s="291"/>
      <c r="R435" s="170"/>
      <c r="S435" s="387"/>
      <c r="T435" s="491" t="s">
        <v>843</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480</v>
      </c>
      <c r="Q436" s="291"/>
      <c r="R436" s="170"/>
      <c r="S436" s="387"/>
      <c r="T436" s="491" t="s">
        <v>845</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2109</v>
      </c>
      <c r="Q437" s="291"/>
      <c r="R437" s="170"/>
      <c r="S437" s="387"/>
      <c r="T437" s="491" t="s">
        <v>1696</v>
      </c>
      <c r="U437" s="491" t="s">
        <v>1076</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1606</v>
      </c>
      <c r="Q438" s="291"/>
      <c r="R438" s="170"/>
      <c r="S438" s="387"/>
      <c r="T438" s="491" t="s">
        <v>612</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1608</v>
      </c>
      <c r="Q439" s="291"/>
      <c r="R439" s="170"/>
      <c r="S439" s="387"/>
      <c r="T439" s="491" t="s">
        <v>1680</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2758</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1955</v>
      </c>
      <c r="U441" s="491" t="s">
        <v>1086</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919</v>
      </c>
      <c r="Q442" s="291"/>
      <c r="R442" s="170"/>
      <c r="S442" s="387"/>
      <c r="T442" s="531" t="s">
        <v>2759</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2260</v>
      </c>
      <c r="Q443" s="291"/>
      <c r="R443" s="170"/>
      <c r="S443" s="387"/>
      <c r="T443" s="491" t="s">
        <v>1010</v>
      </c>
      <c r="U443" s="491" t="s">
        <v>1862</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2261</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2242</v>
      </c>
      <c r="Q445" s="291"/>
      <c r="R445" s="170"/>
      <c r="S445" s="387"/>
      <c r="T445" s="491" t="s">
        <v>1026</v>
      </c>
      <c r="U445" s="491" t="s">
        <v>1073</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2243</v>
      </c>
      <c r="Q446" s="291"/>
      <c r="R446" s="170"/>
      <c r="S446" s="387"/>
      <c r="T446" s="531" t="s">
        <v>407</v>
      </c>
      <c r="U446" s="531" t="s">
        <v>2116</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2245</v>
      </c>
      <c r="Q447" s="291"/>
      <c r="R447" s="170"/>
      <c r="S447" s="387"/>
      <c r="T447" s="491" t="s">
        <v>1895</v>
      </c>
      <c r="U447" s="491" t="s">
        <v>1426</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497</v>
      </c>
      <c r="Q448" s="291"/>
      <c r="R448" s="170"/>
      <c r="S448" s="387"/>
      <c r="T448" s="491" t="s">
        <v>481</v>
      </c>
      <c r="U448" s="491" t="s">
        <v>2523</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2110</v>
      </c>
      <c r="U449" s="491" t="s">
        <v>1295</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2062</v>
      </c>
      <c r="Q450" s="291"/>
      <c r="R450" s="170"/>
      <c r="S450" s="387"/>
      <c r="T450" s="491" t="s">
        <v>1607</v>
      </c>
      <c r="U450" s="491" t="s">
        <v>1866</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1926</v>
      </c>
      <c r="Q451" s="291"/>
      <c r="R451" s="170"/>
      <c r="S451" s="387"/>
      <c r="T451" s="491" t="s">
        <v>1609</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1928</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1122</v>
      </c>
      <c r="Q453" s="291"/>
      <c r="R453" s="170"/>
      <c r="S453" s="387"/>
      <c r="T453" s="491" t="s">
        <v>304</v>
      </c>
      <c r="U453" s="491" t="s">
        <v>1282</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1124</v>
      </c>
      <c r="Q454" s="291"/>
      <c r="R454" s="170"/>
      <c r="S454" s="387"/>
      <c r="T454" s="491" t="s">
        <v>920</v>
      </c>
      <c r="U454" s="491" t="s">
        <v>2418</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1090</v>
      </c>
      <c r="Q455" s="291"/>
      <c r="R455" s="170"/>
      <c r="S455" s="387"/>
      <c r="T455" s="491" t="s">
        <v>2262</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1091</v>
      </c>
      <c r="Q456" s="291"/>
      <c r="R456" s="170"/>
      <c r="S456" s="387"/>
      <c r="T456" s="491" t="s">
        <v>2760</v>
      </c>
      <c r="U456" s="491" t="s">
        <v>2133</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2244</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2246</v>
      </c>
      <c r="U458" s="491" t="s">
        <v>1292</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2190</v>
      </c>
      <c r="Q459" s="291"/>
      <c r="R459" s="170"/>
      <c r="S459" s="387"/>
      <c r="T459" s="491" t="s">
        <v>498</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1771</v>
      </c>
      <c r="Q460" s="291"/>
      <c r="R460" s="170"/>
      <c r="S460" s="387"/>
      <c r="T460" s="491" t="s">
        <v>1027</v>
      </c>
      <c r="U460" s="491" t="s">
        <v>1487</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1710</v>
      </c>
      <c r="Q461" s="291"/>
      <c r="R461" s="170"/>
      <c r="S461" s="387"/>
      <c r="T461" s="491" t="s">
        <v>183</v>
      </c>
      <c r="U461" s="491" t="s">
        <v>2118</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1028</v>
      </c>
      <c r="U462" s="531" t="s">
        <v>2417</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2292</v>
      </c>
      <c r="Q463" s="291"/>
      <c r="R463" s="170"/>
      <c r="S463" s="387"/>
      <c r="T463" s="491" t="s">
        <v>1925</v>
      </c>
      <c r="U463" s="491" t="s">
        <v>2335</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1029</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1927</v>
      </c>
      <c r="U465" s="491" t="s">
        <v>2335</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1303</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1123</v>
      </c>
      <c r="U467" s="491" t="s">
        <v>849</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1213</v>
      </c>
      <c r="Q468" s="291"/>
      <c r="R468" s="170"/>
      <c r="S468" s="387"/>
      <c r="T468" s="491" t="s">
        <v>1089</v>
      </c>
      <c r="U468" s="491" t="s">
        <v>852</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1215</v>
      </c>
      <c r="Q469" s="291"/>
      <c r="R469" s="170"/>
      <c r="S469" s="387"/>
      <c r="T469" s="491" t="s">
        <v>320</v>
      </c>
      <c r="U469" s="491" t="s">
        <v>1070</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1944</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1945</v>
      </c>
      <c r="Q471" s="291"/>
      <c r="R471" s="170"/>
      <c r="S471" s="387"/>
      <c r="T471" s="531" t="s">
        <v>71</v>
      </c>
      <c r="U471" s="531" t="s">
        <v>1870</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2191</v>
      </c>
      <c r="U472" s="531" t="s">
        <v>1303</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1709</v>
      </c>
      <c r="U473" s="491" t="s">
        <v>1959</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2348</v>
      </c>
      <c r="Q474" s="291"/>
      <c r="R474" s="170"/>
      <c r="S474" s="387"/>
      <c r="T474" s="491" t="s">
        <v>1711</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2147</v>
      </c>
      <c r="Q475" s="291"/>
      <c r="R475" s="170"/>
      <c r="S475" s="387"/>
      <c r="T475" s="491" t="s">
        <v>672</v>
      </c>
      <c r="U475" s="491" t="s">
        <v>1179</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2148</v>
      </c>
      <c r="Q476" s="291"/>
      <c r="R476" s="170"/>
      <c r="S476" s="387"/>
      <c r="T476" s="491" t="s">
        <v>2291</v>
      </c>
      <c r="U476" s="491" t="s">
        <v>2417</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943</v>
      </c>
      <c r="Q477" s="291"/>
      <c r="R477" s="170"/>
      <c r="S477" s="387"/>
      <c r="T477" s="491" t="s">
        <v>2293</v>
      </c>
      <c r="U477" s="491" t="s">
        <v>2127</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945</v>
      </c>
      <c r="Q478" s="291"/>
      <c r="R478" s="170"/>
      <c r="S478" s="387"/>
      <c r="T478" s="491" t="s">
        <v>462</v>
      </c>
      <c r="U478" s="491" t="s">
        <v>2420</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1458</v>
      </c>
      <c r="Q479" s="291"/>
      <c r="R479" s="170"/>
      <c r="S479" s="387"/>
      <c r="T479" s="491" t="s">
        <v>464</v>
      </c>
      <c r="U479" s="491" t="s">
        <v>1301</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1459</v>
      </c>
      <c r="Q480" s="291"/>
      <c r="R480" s="170"/>
      <c r="S480" s="387"/>
      <c r="T480" s="491" t="s">
        <v>1030</v>
      </c>
      <c r="U480" s="491" t="s">
        <v>1306</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1461</v>
      </c>
      <c r="Q481" s="291"/>
      <c r="R481" s="170"/>
      <c r="S481" s="387"/>
      <c r="T481" s="491" t="s">
        <v>466</v>
      </c>
      <c r="U481" s="491" t="s">
        <v>1306</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1463</v>
      </c>
      <c r="Q482" s="291"/>
      <c r="R482" s="170"/>
      <c r="S482" s="387"/>
      <c r="T482" s="531" t="s">
        <v>1214</v>
      </c>
      <c r="U482" s="531" t="s">
        <v>1286</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1465</v>
      </c>
      <c r="Q483" s="291"/>
      <c r="R483" s="170"/>
      <c r="S483" s="387"/>
      <c r="T483" s="491" t="s">
        <v>1216</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2277</v>
      </c>
      <c r="Q484" s="291"/>
      <c r="R484" s="170"/>
      <c r="S484" s="387"/>
      <c r="T484" s="491" t="s">
        <v>2761</v>
      </c>
      <c r="U484" s="491" t="s">
        <v>2464</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2527</v>
      </c>
      <c r="Q485" s="291"/>
      <c r="R485" s="170"/>
      <c r="S485" s="387"/>
      <c r="T485" s="491" t="s">
        <v>1946</v>
      </c>
      <c r="U485" s="491" t="s">
        <v>1958</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1254</v>
      </c>
      <c r="Q486" s="291"/>
      <c r="R486" s="170"/>
      <c r="S486" s="387"/>
      <c r="T486" s="491" t="s">
        <v>74</v>
      </c>
      <c r="U486" s="491" t="s">
        <v>1866</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1475</v>
      </c>
      <c r="Q487" s="291"/>
      <c r="R487" s="170"/>
      <c r="S487" s="387"/>
      <c r="T487" s="491" t="s">
        <v>613</v>
      </c>
      <c r="U487" s="491" t="s">
        <v>2417</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798</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799</v>
      </c>
      <c r="Q489" s="291"/>
      <c r="R489" s="170"/>
      <c r="S489" s="387"/>
      <c r="T489" s="491" t="s">
        <v>2349</v>
      </c>
      <c r="U489" s="491" t="s">
        <v>1422</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801</v>
      </c>
      <c r="Q490" s="291"/>
      <c r="R490" s="170"/>
      <c r="S490" s="387"/>
      <c r="T490" s="491" t="s">
        <v>1031</v>
      </c>
      <c r="U490" s="491" t="s">
        <v>1487</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802</v>
      </c>
      <c r="Q491" s="291"/>
      <c r="R491" s="170"/>
      <c r="S491" s="387"/>
      <c r="T491" s="491" t="s">
        <v>1032</v>
      </c>
      <c r="U491" s="491" t="s">
        <v>1087</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595</v>
      </c>
      <c r="U492" s="491" t="s">
        <v>641</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944</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1472</v>
      </c>
      <c r="Q494" s="291"/>
      <c r="R494" s="170"/>
      <c r="S494" s="387"/>
      <c r="T494" s="491" t="s">
        <v>946</v>
      </c>
      <c r="U494" s="491" t="s">
        <v>1304</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1460</v>
      </c>
      <c r="U495" s="491" t="s">
        <v>1425</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1477</v>
      </c>
      <c r="Q496" s="291"/>
      <c r="R496" s="170"/>
      <c r="S496" s="387"/>
      <c r="T496" s="491" t="s">
        <v>1462</v>
      </c>
      <c r="U496" s="491" t="s">
        <v>2461</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1479</v>
      </c>
      <c r="Q497" s="291"/>
      <c r="R497" s="170"/>
      <c r="S497" s="387"/>
      <c r="T497" s="491" t="s">
        <v>1464</v>
      </c>
      <c r="U497" s="491" t="s">
        <v>2125</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1364</v>
      </c>
      <c r="Q498" s="291"/>
      <c r="R498" s="170"/>
      <c r="S498" s="387"/>
      <c r="T498" s="491" t="s">
        <v>2276</v>
      </c>
      <c r="U498" s="491" t="s">
        <v>2522</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1366</v>
      </c>
      <c r="Q499" s="291"/>
      <c r="R499" s="170"/>
      <c r="S499" s="387"/>
      <c r="T499" s="491" t="s">
        <v>2278</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1368</v>
      </c>
      <c r="Q500" s="291"/>
      <c r="R500" s="170"/>
      <c r="S500" s="387"/>
      <c r="T500" s="531" t="s">
        <v>1253</v>
      </c>
      <c r="U500" s="531" t="s">
        <v>930</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1369</v>
      </c>
      <c r="Q501" s="291"/>
      <c r="R501" s="170"/>
      <c r="S501" s="387"/>
      <c r="T501" s="491" t="s">
        <v>1033</v>
      </c>
      <c r="U501" s="491" t="s">
        <v>1956</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1371</v>
      </c>
      <c r="Q502" s="291"/>
      <c r="R502" s="170"/>
      <c r="S502" s="387"/>
      <c r="T502" s="491" t="s">
        <v>1255</v>
      </c>
      <c r="U502" s="491" t="s">
        <v>1427</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1373</v>
      </c>
      <c r="Q503" s="291"/>
      <c r="R503" s="170"/>
      <c r="S503" s="387"/>
      <c r="T503" s="491" t="s">
        <v>806</v>
      </c>
      <c r="U503" s="491" t="s">
        <v>1958</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1535</v>
      </c>
      <c r="Q504" s="291"/>
      <c r="R504" s="170"/>
      <c r="S504" s="387"/>
      <c r="T504" s="491" t="s">
        <v>807</v>
      </c>
      <c r="U504" s="491" t="s">
        <v>851</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1536</v>
      </c>
      <c r="Q505" s="291"/>
      <c r="R505" s="170"/>
      <c r="S505" s="387"/>
      <c r="T505" s="491" t="s">
        <v>800</v>
      </c>
      <c r="U505" s="491" t="s">
        <v>609</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1537</v>
      </c>
      <c r="Q506" s="291"/>
      <c r="R506" s="170"/>
      <c r="S506" s="387"/>
      <c r="T506" s="491" t="s">
        <v>803</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1538</v>
      </c>
      <c r="Q507" s="291"/>
      <c r="R507" s="170"/>
      <c r="S507" s="387"/>
      <c r="T507" s="491" t="s">
        <v>117</v>
      </c>
      <c r="U507" s="491" t="s">
        <v>1959</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1540</v>
      </c>
      <c r="Q508" s="291"/>
      <c r="R508" s="170"/>
      <c r="S508" s="387"/>
      <c r="T508" s="491" t="s">
        <v>245</v>
      </c>
      <c r="U508" s="491" t="s">
        <v>1829</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1542</v>
      </c>
      <c r="Q509" s="291"/>
      <c r="R509" s="170"/>
      <c r="S509" s="387"/>
      <c r="T509" s="531" t="s">
        <v>1473</v>
      </c>
      <c r="U509" s="531" t="s">
        <v>1958</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1543</v>
      </c>
      <c r="Q510" s="291"/>
      <c r="R510" s="170"/>
      <c r="S510" s="387"/>
      <c r="T510" s="491" t="s">
        <v>1476</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1545</v>
      </c>
      <c r="Q511" s="291"/>
      <c r="R511" s="170"/>
      <c r="S511" s="387"/>
      <c r="T511" s="491" t="s">
        <v>1478</v>
      </c>
      <c r="U511" s="491" t="s">
        <v>2417</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1429</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1365</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1367</v>
      </c>
      <c r="U514" s="491" t="s">
        <v>849</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2123</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1062</v>
      </c>
      <c r="Q516" s="291"/>
      <c r="R516" s="170"/>
      <c r="S516" s="387"/>
      <c r="T516" s="491" t="s">
        <v>1370</v>
      </c>
      <c r="U516" s="491" t="s">
        <v>1829</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1064</v>
      </c>
      <c r="Q517" s="291"/>
      <c r="R517" s="170"/>
      <c r="S517" s="387"/>
      <c r="T517" s="491" t="s">
        <v>1372</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1066</v>
      </c>
      <c r="Q518" s="291"/>
      <c r="R518" s="170"/>
      <c r="S518" s="387"/>
      <c r="T518" s="491" t="s">
        <v>2425</v>
      </c>
      <c r="U518" s="491" t="s">
        <v>1860</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1034</v>
      </c>
      <c r="U519" s="491" t="s">
        <v>2420</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1292</v>
      </c>
      <c r="U520" s="491" t="s">
        <v>1291</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1594</v>
      </c>
      <c r="Q521" s="291"/>
      <c r="R521" s="170"/>
      <c r="S521" s="387"/>
      <c r="T521" s="491" t="s">
        <v>175</v>
      </c>
      <c r="U521" s="491" t="s">
        <v>2515</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2263</v>
      </c>
      <c r="Q522" s="291"/>
      <c r="R522" s="170"/>
      <c r="S522" s="387"/>
      <c r="T522" s="491" t="s">
        <v>1539</v>
      </c>
      <c r="U522" s="491" t="s">
        <v>2131</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1541</v>
      </c>
      <c r="U523" s="491" t="s">
        <v>1829</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1274</v>
      </c>
      <c r="Q524" s="291"/>
      <c r="R524" s="170"/>
      <c r="S524" s="387"/>
      <c r="T524" s="491" t="s">
        <v>1544</v>
      </c>
      <c r="U524" s="491" t="s">
        <v>2520</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628</v>
      </c>
      <c r="Q525" s="291"/>
      <c r="R525" s="170"/>
      <c r="S525" s="387"/>
      <c r="T525" s="491" t="s">
        <v>371</v>
      </c>
      <c r="U525" s="491" t="s">
        <v>2420</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668</v>
      </c>
      <c r="Q526" s="291"/>
      <c r="R526" s="170"/>
      <c r="S526" s="387"/>
      <c r="T526" s="533" t="s">
        <v>373</v>
      </c>
      <c r="U526" s="491" t="s">
        <v>1292</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669</v>
      </c>
      <c r="Q527" s="291"/>
      <c r="R527" s="170"/>
      <c r="S527" s="387"/>
      <c r="T527" s="533" t="s">
        <v>242</v>
      </c>
      <c r="U527" s="491" t="s">
        <v>2121</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507</v>
      </c>
      <c r="Q528" s="291"/>
      <c r="R528" s="170"/>
      <c r="S528" s="387"/>
      <c r="T528" s="491" t="s">
        <v>1573</v>
      </c>
      <c r="U528" s="491" t="s">
        <v>2460</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509</v>
      </c>
      <c r="Q529" s="291"/>
      <c r="R529" s="170"/>
      <c r="S529" s="387"/>
      <c r="T529" s="491" t="s">
        <v>2762</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511</v>
      </c>
      <c r="Q530" s="291"/>
      <c r="R530" s="170"/>
      <c r="S530" s="387"/>
      <c r="T530" s="491" t="s">
        <v>1063</v>
      </c>
      <c r="U530" s="491" t="s">
        <v>2522</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513</v>
      </c>
      <c r="Q531" s="291"/>
      <c r="R531" s="170"/>
      <c r="S531" s="387"/>
      <c r="T531" s="491" t="s">
        <v>1065</v>
      </c>
      <c r="U531" s="491" t="s">
        <v>1282</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525</v>
      </c>
      <c r="Q532" s="291"/>
      <c r="R532" s="170"/>
      <c r="S532" s="387"/>
      <c r="T532" s="531" t="s">
        <v>1067</v>
      </c>
      <c r="U532" s="531" t="s">
        <v>636</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527</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696</v>
      </c>
      <c r="Q534" s="291"/>
      <c r="R534" s="170"/>
      <c r="S534" s="387"/>
      <c r="T534" s="491" t="s">
        <v>255</v>
      </c>
      <c r="U534" s="491" t="s">
        <v>2335</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569</v>
      </c>
      <c r="Q535" s="291"/>
      <c r="R535" s="170"/>
      <c r="S535" s="387"/>
      <c r="T535" s="531" t="s">
        <v>3750</v>
      </c>
      <c r="U535" s="531" t="s">
        <v>849</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570</v>
      </c>
      <c r="Q536" s="291"/>
      <c r="R536" s="170"/>
      <c r="S536" s="387"/>
      <c r="T536" s="491" t="s">
        <v>2264</v>
      </c>
      <c r="U536" s="491" t="s">
        <v>1073</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2027</v>
      </c>
      <c r="Q537" s="291"/>
      <c r="R537" s="170"/>
      <c r="S537" s="387"/>
      <c r="T537" s="491" t="s">
        <v>473</v>
      </c>
      <c r="U537" s="491" t="s">
        <v>1626</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2763</v>
      </c>
      <c r="U538" s="491" t="s">
        <v>2131</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667</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1237</v>
      </c>
      <c r="Q540" s="291"/>
      <c r="R540" s="170"/>
      <c r="S540" s="387"/>
      <c r="T540" s="491" t="s">
        <v>506</v>
      </c>
      <c r="U540" s="491" t="s">
        <v>712</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971</v>
      </c>
      <c r="Q541" s="291"/>
      <c r="R541" s="170"/>
      <c r="S541" s="387"/>
      <c r="T541" s="491" t="s">
        <v>508</v>
      </c>
      <c r="U541" s="491" t="s">
        <v>1301</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973</v>
      </c>
      <c r="Q542" s="291"/>
      <c r="R542" s="170"/>
      <c r="S542" s="387"/>
      <c r="T542" s="491" t="s">
        <v>510</v>
      </c>
      <c r="U542" s="491" t="s">
        <v>1426</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974</v>
      </c>
      <c r="Q543" s="291"/>
      <c r="R543" s="170"/>
      <c r="S543" s="387"/>
      <c r="T543" s="491" t="s">
        <v>512</v>
      </c>
      <c r="U543" s="491" t="s">
        <v>849</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514</v>
      </c>
      <c r="U544" s="491" t="s">
        <v>1738</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526</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528</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2525</v>
      </c>
      <c r="Q547" s="291"/>
      <c r="R547" s="170"/>
      <c r="S547" s="387"/>
      <c r="T547" s="531" t="s">
        <v>673</v>
      </c>
      <c r="U547" s="531" t="s">
        <v>1179</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2044</v>
      </c>
      <c r="Q548" s="291"/>
      <c r="R548" s="170"/>
      <c r="S548" s="387"/>
      <c r="T548" s="491" t="s">
        <v>808</v>
      </c>
      <c r="U548" s="491" t="s">
        <v>636</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2046</v>
      </c>
      <c r="Q549" s="291"/>
      <c r="R549" s="170"/>
      <c r="S549" s="387"/>
      <c r="T549" s="491" t="s">
        <v>1599</v>
      </c>
      <c r="U549" s="491" t="s">
        <v>645</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571</v>
      </c>
      <c r="Q550" s="291"/>
      <c r="R550" s="170"/>
      <c r="S550" s="387"/>
      <c r="T550" s="491" t="s">
        <v>2028</v>
      </c>
      <c r="U550" s="491" t="s">
        <v>1073</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2281</v>
      </c>
      <c r="Q551" s="291"/>
      <c r="R551" s="170"/>
      <c r="S551" s="387"/>
      <c r="T551" s="491" t="s">
        <v>1601</v>
      </c>
      <c r="U551" s="491" t="s">
        <v>1959</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684</v>
      </c>
      <c r="Q552" s="291"/>
      <c r="R552" s="170"/>
      <c r="S552" s="387"/>
      <c r="T552" s="491" t="s">
        <v>457</v>
      </c>
      <c r="U552" s="491" t="s">
        <v>1292</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686</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2224</v>
      </c>
      <c r="Q554" s="291"/>
      <c r="R554" s="170"/>
      <c r="S554" s="387"/>
      <c r="T554" s="491" t="s">
        <v>1238</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972</v>
      </c>
      <c r="U555" s="491" t="s">
        <v>1423</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1036</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2188</v>
      </c>
      <c r="Q557" s="291"/>
      <c r="R557" s="170"/>
      <c r="S557" s="387"/>
      <c r="T557" s="491" t="s">
        <v>135</v>
      </c>
      <c r="U557" s="491" t="s">
        <v>2463</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2215</v>
      </c>
      <c r="Q558" s="291"/>
      <c r="R558" s="170"/>
      <c r="S558" s="387"/>
      <c r="T558" s="491" t="s">
        <v>2515</v>
      </c>
      <c r="U558" s="491" t="s">
        <v>1304</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636</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2417</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2526</v>
      </c>
      <c r="U561" s="531" t="s">
        <v>1296</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2045</v>
      </c>
      <c r="U562" s="531" t="s">
        <v>2423</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1549</v>
      </c>
      <c r="Q563" s="291"/>
      <c r="R563" s="170"/>
      <c r="S563" s="387"/>
      <c r="T563" s="491" t="s">
        <v>735</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1551</v>
      </c>
      <c r="Q564" s="291"/>
      <c r="R564" s="170"/>
      <c r="S564" s="387"/>
      <c r="T564" s="491" t="s">
        <v>736</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1553</v>
      </c>
      <c r="Q565" s="291"/>
      <c r="R565" s="170"/>
      <c r="S565" s="387"/>
      <c r="T565" s="491" t="s">
        <v>685</v>
      </c>
      <c r="U565" s="491" t="s">
        <v>714</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2524</v>
      </c>
      <c r="Q566" s="291"/>
      <c r="R566" s="170"/>
      <c r="S566" s="387"/>
      <c r="T566" s="491" t="s">
        <v>687</v>
      </c>
      <c r="U566" s="491" t="s">
        <v>1082</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2389</v>
      </c>
      <c r="Q567" s="291"/>
      <c r="R567" s="170"/>
      <c r="S567" s="387"/>
      <c r="T567" s="491" t="s">
        <v>2225</v>
      </c>
      <c r="U567" s="491" t="s">
        <v>1179</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1780</v>
      </c>
      <c r="Q568" s="291"/>
      <c r="R568" s="170"/>
      <c r="S568" s="387"/>
      <c r="T568" s="491" t="s">
        <v>42</v>
      </c>
      <c r="U568" s="491" t="s">
        <v>1295</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1782</v>
      </c>
      <c r="Q569" s="291"/>
      <c r="R569" s="170"/>
      <c r="S569" s="387"/>
      <c r="T569" s="491" t="s">
        <v>2189</v>
      </c>
      <c r="U569" s="491" t="s">
        <v>1289</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1784</v>
      </c>
      <c r="Q570" s="291"/>
      <c r="R570" s="170"/>
      <c r="S570" s="387"/>
      <c r="T570" s="491" t="s">
        <v>809</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1785</v>
      </c>
      <c r="Q571" s="291"/>
      <c r="R571" s="170"/>
      <c r="S571" s="387"/>
      <c r="T571" s="491" t="s">
        <v>1007</v>
      </c>
      <c r="U571" s="491" t="s">
        <v>1070</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1787</v>
      </c>
      <c r="Q572" s="291"/>
      <c r="R572" s="170"/>
      <c r="S572" s="387"/>
      <c r="T572" s="491" t="s">
        <v>387</v>
      </c>
      <c r="U572" s="491" t="s">
        <v>2520</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1789</v>
      </c>
      <c r="Q573" s="291"/>
      <c r="R573" s="170"/>
      <c r="S573" s="387"/>
      <c r="T573" s="491" t="s">
        <v>389</v>
      </c>
      <c r="U573" s="491" t="s">
        <v>2116</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1791</v>
      </c>
      <c r="Q574" s="291"/>
      <c r="R574" s="170"/>
      <c r="S574" s="387"/>
      <c r="T574" s="491" t="s">
        <v>391</v>
      </c>
      <c r="U574" s="491" t="s">
        <v>2463</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1793</v>
      </c>
      <c r="Q575" s="291"/>
      <c r="R575" s="170"/>
      <c r="S575" s="387"/>
      <c r="T575" s="491" t="s">
        <v>2520</v>
      </c>
      <c r="U575" s="491" t="s">
        <v>1736</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1794</v>
      </c>
      <c r="Q576" s="291"/>
      <c r="R576" s="170"/>
      <c r="S576" s="387"/>
      <c r="T576" s="491" t="s">
        <v>1550</v>
      </c>
      <c r="U576" s="491" t="s">
        <v>2421</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1762</v>
      </c>
      <c r="Q577" s="291"/>
      <c r="R577" s="170"/>
      <c r="S577" s="387"/>
      <c r="T577" s="491" t="s">
        <v>1552</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1602</v>
      </c>
      <c r="Q578" s="291"/>
      <c r="R578" s="170"/>
      <c r="S578" s="387"/>
      <c r="T578" s="491" t="s">
        <v>1409</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1603</v>
      </c>
      <c r="Q579" s="291"/>
      <c r="R579" s="170"/>
      <c r="S579" s="387"/>
      <c r="T579" s="491" t="s">
        <v>2388</v>
      </c>
      <c r="U579" s="491" t="s">
        <v>2423</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1605</v>
      </c>
      <c r="Q580" s="291"/>
      <c r="R580" s="170"/>
      <c r="S580" s="387"/>
      <c r="T580" s="531" t="s">
        <v>1772</v>
      </c>
      <c r="U580" s="531" t="s">
        <v>2521</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2213</v>
      </c>
      <c r="Q581" s="291"/>
      <c r="R581" s="170"/>
      <c r="S581" s="387"/>
      <c r="T581" s="491" t="s">
        <v>1781</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541</v>
      </c>
      <c r="Q582" s="291"/>
      <c r="R582" s="170"/>
      <c r="S582" s="387"/>
      <c r="T582" s="491" t="s">
        <v>1783</v>
      </c>
      <c r="U582" s="491" t="s">
        <v>2183</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543</v>
      </c>
      <c r="Q583" s="291"/>
      <c r="R583" s="170"/>
      <c r="S583" s="387"/>
      <c r="T583" s="491" t="s">
        <v>1786</v>
      </c>
      <c r="U583" s="491" t="s">
        <v>2183</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545</v>
      </c>
      <c r="Q584" s="291"/>
      <c r="R584" s="170"/>
      <c r="S584" s="387"/>
      <c r="T584" s="491" t="s">
        <v>1788</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2003</v>
      </c>
      <c r="Q585" s="291"/>
      <c r="R585" s="170"/>
      <c r="S585" s="387"/>
      <c r="T585" s="491" t="s">
        <v>1790</v>
      </c>
      <c r="U585" s="491" t="s">
        <v>1626</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1417</v>
      </c>
      <c r="Q586" s="291"/>
      <c r="R586" s="170"/>
      <c r="S586" s="387"/>
      <c r="T586" s="491" t="s">
        <v>1792</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1419</v>
      </c>
      <c r="Q587" s="291"/>
      <c r="R587" s="170"/>
      <c r="S587" s="387"/>
      <c r="T587" s="491" t="s">
        <v>2521</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1420</v>
      </c>
      <c r="Q588" s="291"/>
      <c r="R588" s="170"/>
      <c r="S588" s="387"/>
      <c r="T588" s="491" t="s">
        <v>1897</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1547</v>
      </c>
      <c r="Q589" s="291"/>
      <c r="R589" s="170"/>
      <c r="S589" s="387"/>
      <c r="T589" s="491" t="s">
        <v>1763</v>
      </c>
      <c r="U589" s="491" t="s">
        <v>1071</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2067</v>
      </c>
      <c r="Q590" s="291"/>
      <c r="R590" s="170"/>
      <c r="S590" s="387"/>
      <c r="T590" s="491" t="s">
        <v>2522</v>
      </c>
      <c r="U590" s="491" t="s">
        <v>1292</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2069</v>
      </c>
      <c r="Q591" s="291"/>
      <c r="R591" s="170"/>
      <c r="S591" s="387"/>
      <c r="T591" s="531" t="s">
        <v>1604</v>
      </c>
      <c r="U591" s="531" t="s">
        <v>2116</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2071</v>
      </c>
      <c r="Q592" s="291"/>
      <c r="R592" s="170"/>
      <c r="S592" s="387"/>
      <c r="T592" s="491" t="s">
        <v>810</v>
      </c>
      <c r="U592" s="491" t="s">
        <v>2123</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1411</v>
      </c>
      <c r="Q593" s="291"/>
      <c r="R593" s="170"/>
      <c r="S593" s="387"/>
      <c r="T593" s="491" t="s">
        <v>2212</v>
      </c>
      <c r="U593" s="491" t="s">
        <v>1628</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1413</v>
      </c>
      <c r="Q594" s="291"/>
      <c r="R594" s="170"/>
      <c r="S594" s="387"/>
      <c r="T594" s="491" t="s">
        <v>2214</v>
      </c>
      <c r="U594" s="491" t="s">
        <v>2120</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1521</v>
      </c>
      <c r="Q595" s="291"/>
      <c r="R595" s="170"/>
      <c r="S595" s="387"/>
      <c r="T595" s="491" t="s">
        <v>542</v>
      </c>
      <c r="U595" s="491" t="s">
        <v>2520</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1523</v>
      </c>
      <c r="Q596" s="291"/>
      <c r="R596" s="170"/>
      <c r="S596" s="387"/>
      <c r="T596" s="491" t="s">
        <v>544</v>
      </c>
      <c r="U596" s="491" t="s">
        <v>1179</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2001</v>
      </c>
      <c r="Q597" s="291"/>
      <c r="R597" s="170"/>
      <c r="S597" s="387"/>
      <c r="T597" s="491" t="s">
        <v>1040</v>
      </c>
      <c r="U597" s="491" t="s">
        <v>609</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1823</v>
      </c>
      <c r="Q598" s="291"/>
      <c r="R598" s="170"/>
      <c r="S598" s="387"/>
      <c r="T598" s="491" t="s">
        <v>546</v>
      </c>
      <c r="U598" s="491" t="s">
        <v>1625</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1155</v>
      </c>
      <c r="U599" s="491" t="s">
        <v>1071</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1641</v>
      </c>
      <c r="Q600" s="291"/>
      <c r="R600" s="170"/>
      <c r="S600" s="387"/>
      <c r="T600" s="491" t="s">
        <v>1418</v>
      </c>
      <c r="U600" s="491" t="s">
        <v>1626</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2764</v>
      </c>
      <c r="U601" s="491" t="s">
        <v>1291</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1421</v>
      </c>
      <c r="U602" s="491" t="s">
        <v>638</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1159</v>
      </c>
      <c r="Q603" s="291"/>
      <c r="R603" s="170"/>
      <c r="S603" s="387"/>
      <c r="T603" s="491" t="s">
        <v>2765</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724</v>
      </c>
      <c r="Q604" s="291"/>
      <c r="R604" s="170"/>
      <c r="S604" s="387"/>
      <c r="T604" s="491" t="s">
        <v>1548</v>
      </c>
      <c r="U604" s="491" t="s">
        <v>1732</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726</v>
      </c>
      <c r="Q605" s="291"/>
      <c r="R605" s="170"/>
      <c r="S605" s="387"/>
      <c r="T605" s="491" t="s">
        <v>2068</v>
      </c>
      <c r="U605" s="491" t="s">
        <v>1599</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1004</v>
      </c>
      <c r="Q606" s="291"/>
      <c r="R606" s="170"/>
      <c r="S606" s="387"/>
      <c r="T606" s="491" t="s">
        <v>2070</v>
      </c>
      <c r="U606" s="491" t="s">
        <v>1297</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1006</v>
      </c>
      <c r="Q607" s="291"/>
      <c r="R607" s="170"/>
      <c r="S607" s="387"/>
      <c r="T607" s="531" t="s">
        <v>1410</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1767</v>
      </c>
      <c r="Q608" s="291"/>
      <c r="R608" s="170"/>
      <c r="S608" s="387"/>
      <c r="T608" s="491" t="s">
        <v>2766</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1769</v>
      </c>
      <c r="Q609" s="291"/>
      <c r="R609" s="170"/>
      <c r="S609" s="387"/>
      <c r="T609" s="491" t="s">
        <v>1412</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1770</v>
      </c>
      <c r="Q610" s="291"/>
      <c r="R610" s="170"/>
      <c r="S610" s="387"/>
      <c r="T610" s="531" t="s">
        <v>1041</v>
      </c>
      <c r="U610" s="531" t="s">
        <v>1628</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1112</v>
      </c>
      <c r="Q611" s="291"/>
      <c r="R611" s="170"/>
      <c r="S611" s="387"/>
      <c r="T611" s="491" t="s">
        <v>1414</v>
      </c>
      <c r="U611" s="491" t="s">
        <v>609</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1522</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2002</v>
      </c>
      <c r="U613" s="491" t="s">
        <v>930</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1824</v>
      </c>
      <c r="U614" s="531" t="s">
        <v>1902</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1902</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1642</v>
      </c>
      <c r="U616" s="491" t="s">
        <v>2125</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2091</v>
      </c>
      <c r="Q617" s="291"/>
      <c r="R617" s="170"/>
      <c r="S617" s="387"/>
      <c r="T617" s="491" t="s">
        <v>257</v>
      </c>
      <c r="U617" s="491" t="s">
        <v>648</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2093</v>
      </c>
      <c r="Q618" s="291"/>
      <c r="R618" s="170"/>
      <c r="S618" s="387"/>
      <c r="T618" s="491" t="s">
        <v>1158</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2095</v>
      </c>
      <c r="Q619" s="291"/>
      <c r="R619" s="170"/>
      <c r="S619" s="387"/>
      <c r="T619" s="491" t="s">
        <v>1160</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2097</v>
      </c>
      <c r="Q620" s="291"/>
      <c r="R620" s="170"/>
      <c r="S620" s="387"/>
      <c r="T620" s="491" t="s">
        <v>725</v>
      </c>
      <c r="U620" s="491" t="s">
        <v>1299</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2099</v>
      </c>
      <c r="Q621" s="291"/>
      <c r="R621" s="170"/>
      <c r="S621" s="387"/>
      <c r="T621" s="491" t="s">
        <v>240</v>
      </c>
      <c r="U621" s="491" t="s">
        <v>2520</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1005</v>
      </c>
      <c r="U622" s="491" t="s">
        <v>2337</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1968</v>
      </c>
      <c r="Q623" s="291"/>
      <c r="R623" s="170"/>
      <c r="S623" s="387"/>
      <c r="T623" s="491" t="s">
        <v>1706</v>
      </c>
      <c r="U623" s="491" t="s">
        <v>2420</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1481</v>
      </c>
      <c r="Q624" s="291"/>
      <c r="R624" s="170"/>
      <c r="S624" s="387"/>
      <c r="T624" s="491" t="s">
        <v>1768</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1483</v>
      </c>
      <c r="Q625" s="291"/>
      <c r="R625" s="170"/>
      <c r="S625" s="387"/>
      <c r="T625" s="491" t="s">
        <v>1076</v>
      </c>
      <c r="U625" s="491" t="s">
        <v>712</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1485</v>
      </c>
      <c r="Q626" s="291"/>
      <c r="R626" s="170"/>
      <c r="S626" s="387"/>
      <c r="T626" s="491" t="s">
        <v>1042</v>
      </c>
      <c r="U626" s="491" t="s">
        <v>932</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1080</v>
      </c>
      <c r="U627" s="491" t="s">
        <v>1296</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648</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1043</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1289</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2333</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755</v>
      </c>
      <c r="Q632" s="291"/>
      <c r="R632" s="170"/>
      <c r="S632" s="387"/>
      <c r="T632" s="491" t="s">
        <v>6</v>
      </c>
      <c r="U632" s="491" t="s">
        <v>1868</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708</v>
      </c>
      <c r="Q633" s="291"/>
      <c r="R633" s="170"/>
      <c r="S633" s="387"/>
      <c r="T633" s="531" t="s">
        <v>1044</v>
      </c>
      <c r="U633" s="531" t="s">
        <v>609</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710</v>
      </c>
      <c r="Q634" s="291"/>
      <c r="R634" s="170"/>
      <c r="S634" s="387"/>
      <c r="T634" s="491" t="s">
        <v>1045</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1156</v>
      </c>
      <c r="Q635" s="291"/>
      <c r="R635" s="170"/>
      <c r="S635" s="387"/>
      <c r="T635" s="491" t="s">
        <v>2090</v>
      </c>
      <c r="U635" s="491" t="s">
        <v>1299</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1018</v>
      </c>
      <c r="Q636" s="291"/>
      <c r="R636" s="170"/>
      <c r="S636" s="387"/>
      <c r="T636" s="491" t="s">
        <v>2092</v>
      </c>
      <c r="U636" s="491" t="s">
        <v>2131</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1019</v>
      </c>
      <c r="Q637" s="291"/>
      <c r="R637" s="170"/>
      <c r="S637" s="387"/>
      <c r="T637" s="491" t="s">
        <v>2094</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1021</v>
      </c>
      <c r="Q638" s="291"/>
      <c r="R638" s="170"/>
      <c r="S638" s="387"/>
      <c r="T638" s="491" t="s">
        <v>2096</v>
      </c>
      <c r="U638" s="491" t="s">
        <v>1423</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2205</v>
      </c>
      <c r="Q639" s="291"/>
      <c r="R639" s="170"/>
      <c r="S639" s="387"/>
      <c r="T639" s="491" t="s">
        <v>2098</v>
      </c>
      <c r="U639" s="491" t="s">
        <v>648</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2207</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1724</v>
      </c>
      <c r="Q641" s="291"/>
      <c r="R641" s="170"/>
      <c r="S641" s="387"/>
      <c r="T641" s="491" t="s">
        <v>1480</v>
      </c>
      <c r="U641" s="491" t="s">
        <v>2133</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2452</v>
      </c>
      <c r="Q642" s="291"/>
      <c r="R642" s="170"/>
      <c r="S642" s="387"/>
      <c r="T642" s="491" t="s">
        <v>1482</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2111</v>
      </c>
      <c r="Q643" s="291"/>
      <c r="R643" s="170"/>
      <c r="S643" s="387"/>
      <c r="T643" s="531" t="s">
        <v>1484</v>
      </c>
      <c r="U643" s="531" t="s">
        <v>1426</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1578</v>
      </c>
      <c r="Q644" s="291"/>
      <c r="R644" s="170"/>
      <c r="S644" s="387"/>
      <c r="T644" s="491" t="s">
        <v>1486</v>
      </c>
      <c r="U644" s="491" t="s">
        <v>2123</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1579</v>
      </c>
      <c r="Q645" s="291"/>
      <c r="R645" s="170"/>
      <c r="S645" s="387"/>
      <c r="T645" s="491" t="s">
        <v>61</v>
      </c>
      <c r="U645" s="491" t="s">
        <v>1297</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1581</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1582</v>
      </c>
      <c r="Q647" s="291"/>
      <c r="R647" s="170"/>
      <c r="S647" s="387"/>
      <c r="T647" s="491" t="s">
        <v>65</v>
      </c>
      <c r="U647" s="491" t="s">
        <v>855</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1584</v>
      </c>
      <c r="Q648" s="291"/>
      <c r="R648" s="170"/>
      <c r="S648" s="387"/>
      <c r="T648" s="491" t="s">
        <v>67</v>
      </c>
      <c r="U648" s="491" t="s">
        <v>1487</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1585</v>
      </c>
      <c r="Q649" s="291"/>
      <c r="R649" s="170"/>
      <c r="S649" s="387"/>
      <c r="T649" s="491" t="s">
        <v>756</v>
      </c>
      <c r="U649" s="491" t="s">
        <v>2417</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1587</v>
      </c>
      <c r="Q650" s="291"/>
      <c r="R650" s="170"/>
      <c r="S650" s="387"/>
      <c r="T650" s="491" t="s">
        <v>709</v>
      </c>
      <c r="U650" s="491" t="s">
        <v>2423</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2353</v>
      </c>
      <c r="Q651" s="291"/>
      <c r="R651" s="170"/>
      <c r="S651" s="387"/>
      <c r="T651" s="491" t="s">
        <v>918</v>
      </c>
      <c r="U651" s="491" t="s">
        <v>2464</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1046</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965</v>
      </c>
      <c r="Q653" s="291"/>
      <c r="R653" s="170"/>
      <c r="S653" s="387"/>
      <c r="T653" s="491" t="s">
        <v>1157</v>
      </c>
      <c r="U653" s="491" t="s">
        <v>1902</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966</v>
      </c>
      <c r="Q654" s="291"/>
      <c r="R654" s="170"/>
      <c r="S654" s="387"/>
      <c r="T654" s="531" t="s">
        <v>2767</v>
      </c>
      <c r="U654" s="531" t="s">
        <v>1734</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968</v>
      </c>
      <c r="Q655" s="291"/>
      <c r="R655" s="170"/>
      <c r="S655" s="387"/>
      <c r="T655" s="491" t="s">
        <v>1020</v>
      </c>
      <c r="U655" s="491" t="s">
        <v>1074</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2317</v>
      </c>
      <c r="Q656" s="291"/>
      <c r="R656" s="170"/>
      <c r="S656" s="387"/>
      <c r="T656" s="491" t="s">
        <v>2206</v>
      </c>
      <c r="U656" s="491" t="s">
        <v>2116</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2457</v>
      </c>
      <c r="Q657" s="291"/>
      <c r="R657" s="170"/>
      <c r="S657" s="387"/>
      <c r="T657" s="491" t="s">
        <v>2208</v>
      </c>
      <c r="U657" s="491" t="s">
        <v>639</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1952</v>
      </c>
      <c r="Q658" s="291"/>
      <c r="R658" s="170"/>
      <c r="S658" s="387"/>
      <c r="T658" s="491" t="s">
        <v>1725</v>
      </c>
      <c r="U658" s="491" t="s">
        <v>714</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921</v>
      </c>
      <c r="Q659" s="291"/>
      <c r="R659" s="170"/>
      <c r="S659" s="387"/>
      <c r="T659" s="531" t="s">
        <v>2453</v>
      </c>
      <c r="U659" s="531" t="s">
        <v>1958</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752</v>
      </c>
      <c r="Q660" s="291"/>
      <c r="R660" s="170"/>
      <c r="S660" s="387"/>
      <c r="T660" s="491" t="s">
        <v>2112</v>
      </c>
      <c r="U660" s="491" t="s">
        <v>1179</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1437</v>
      </c>
      <c r="Q661" s="291"/>
      <c r="R661" s="170"/>
      <c r="S661" s="387"/>
      <c r="T661" s="491" t="s">
        <v>1580</v>
      </c>
      <c r="U661" s="491" t="s">
        <v>641</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1439</v>
      </c>
      <c r="Q662" s="291"/>
      <c r="R662" s="170"/>
      <c r="S662" s="387"/>
      <c r="T662" s="491" t="s">
        <v>811</v>
      </c>
      <c r="U662" s="491" t="s">
        <v>1285</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1441</v>
      </c>
      <c r="Q663" s="291"/>
      <c r="R663" s="170"/>
      <c r="S663" s="387"/>
      <c r="T663" s="491" t="s">
        <v>1583</v>
      </c>
      <c r="U663" s="491" t="s">
        <v>2515</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1277</v>
      </c>
      <c r="Q664" s="291"/>
      <c r="R664" s="170"/>
      <c r="S664" s="387"/>
      <c r="T664" s="491" t="s">
        <v>1586</v>
      </c>
      <c r="U664" s="491" t="s">
        <v>1599</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1279</v>
      </c>
      <c r="Q665" s="291"/>
      <c r="R665" s="170"/>
      <c r="S665" s="387"/>
      <c r="T665" s="531" t="s">
        <v>1048</v>
      </c>
      <c r="U665" s="531" t="s">
        <v>1487</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1942</v>
      </c>
      <c r="Q666" s="291"/>
      <c r="R666" s="170"/>
      <c r="S666" s="387"/>
      <c r="T666" s="491" t="s">
        <v>2352</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715</v>
      </c>
      <c r="Q667" s="291"/>
      <c r="R667" s="170"/>
      <c r="S667" s="387"/>
      <c r="T667" s="491" t="s">
        <v>794</v>
      </c>
      <c r="U667" s="491" t="s">
        <v>1179</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1239</v>
      </c>
      <c r="Q668" s="291"/>
      <c r="R668" s="170"/>
      <c r="S668" s="387"/>
      <c r="T668" s="491" t="s">
        <v>1276</v>
      </c>
      <c r="U668" s="491" t="s">
        <v>1860</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1833</v>
      </c>
      <c r="Q669" s="291"/>
      <c r="R669" s="170"/>
      <c r="S669" s="387"/>
      <c r="T669" s="491" t="s">
        <v>164</v>
      </c>
      <c r="U669" s="491" t="s">
        <v>1301</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1834</v>
      </c>
      <c r="Q670" s="291"/>
      <c r="R670" s="170"/>
      <c r="S670" s="387"/>
      <c r="T670" s="491" t="s">
        <v>967</v>
      </c>
      <c r="U670" s="491" t="s">
        <v>1625</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1836</v>
      </c>
      <c r="Q671" s="291"/>
      <c r="R671" s="170"/>
      <c r="S671" s="387"/>
      <c r="T671" s="491" t="s">
        <v>2768</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1838</v>
      </c>
      <c r="Q672" s="291"/>
      <c r="R672" s="170"/>
      <c r="S672" s="387"/>
      <c r="T672" s="491" t="s">
        <v>2769</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1840</v>
      </c>
      <c r="Q673" s="291"/>
      <c r="R673" s="170"/>
      <c r="S673" s="387"/>
      <c r="T673" s="491" t="s">
        <v>1298</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489</v>
      </c>
      <c r="Q674" s="291"/>
      <c r="R674" s="170"/>
      <c r="S674" s="387"/>
      <c r="T674" s="491" t="s">
        <v>2458</v>
      </c>
      <c r="U674" s="491" t="s">
        <v>849</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2467</v>
      </c>
      <c r="Q675" s="291"/>
      <c r="R675" s="170"/>
      <c r="S675" s="387"/>
      <c r="T675" s="491" t="s">
        <v>1049</v>
      </c>
      <c r="U675" s="491" t="s">
        <v>609</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2469</v>
      </c>
      <c r="Q676" s="291"/>
      <c r="R676" s="170"/>
      <c r="S676" s="387"/>
      <c r="T676" s="531" t="s">
        <v>2116</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1131</v>
      </c>
      <c r="Q677" s="291"/>
      <c r="R677" s="170"/>
      <c r="S677" s="387"/>
      <c r="T677" s="491" t="s">
        <v>1438</v>
      </c>
      <c r="U677" s="491" t="s">
        <v>2463</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2448</v>
      </c>
      <c r="Q678" s="291"/>
      <c r="R678" s="170"/>
      <c r="S678" s="387"/>
      <c r="T678" s="491" t="s">
        <v>2770</v>
      </c>
      <c r="U678" s="491" t="s">
        <v>1902</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2450</v>
      </c>
      <c r="Q679" s="291"/>
      <c r="R679" s="170"/>
      <c r="S679" s="387"/>
      <c r="T679" s="491" t="s">
        <v>1440</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1498</v>
      </c>
      <c r="Q680" s="291"/>
      <c r="R680" s="170"/>
      <c r="S680" s="387"/>
      <c r="T680" s="491" t="s">
        <v>1050</v>
      </c>
      <c r="U680" s="491" t="s">
        <v>639</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1499</v>
      </c>
      <c r="Q681" s="291"/>
      <c r="R681" s="170"/>
      <c r="S681" s="387"/>
      <c r="T681" s="491" t="s">
        <v>1278</v>
      </c>
      <c r="U681" s="491" t="s">
        <v>2129</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2050</v>
      </c>
      <c r="Q682" s="291"/>
      <c r="R682" s="170"/>
      <c r="S682" s="387"/>
      <c r="T682" s="491" t="s">
        <v>1280</v>
      </c>
      <c r="U682" s="491" t="s">
        <v>2463</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2051</v>
      </c>
      <c r="Q683" s="291"/>
      <c r="R683" s="170"/>
      <c r="S683" s="387"/>
      <c r="T683" s="491" t="s">
        <v>1943</v>
      </c>
      <c r="U683" s="491" t="s">
        <v>1084</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1588</v>
      </c>
      <c r="Q684" s="291"/>
      <c r="R684" s="170"/>
      <c r="S684" s="387"/>
      <c r="T684" s="491" t="s">
        <v>716</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1590</v>
      </c>
      <c r="Q685" s="291"/>
      <c r="R685" s="170"/>
      <c r="S685" s="387"/>
      <c r="T685" s="491" t="s">
        <v>1240</v>
      </c>
      <c r="U685" s="491" t="s">
        <v>652</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913</v>
      </c>
      <c r="Q686" s="291"/>
      <c r="R686" s="170"/>
      <c r="S686" s="387"/>
      <c r="T686" s="491" t="s">
        <v>1051</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915</v>
      </c>
      <c r="Q687" s="291"/>
      <c r="R687" s="170"/>
      <c r="S687" s="387"/>
      <c r="T687" s="491" t="s">
        <v>1835</v>
      </c>
      <c r="U687" s="491" t="s">
        <v>1082</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917</v>
      </c>
      <c r="Q688" s="291"/>
      <c r="R688" s="170"/>
      <c r="S688" s="387"/>
      <c r="T688" s="531" t="s">
        <v>1837</v>
      </c>
      <c r="U688" s="531" t="s">
        <v>1425</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2434</v>
      </c>
      <c r="Q689" s="291"/>
      <c r="R689" s="170"/>
      <c r="S689" s="387"/>
      <c r="T689" s="531" t="s">
        <v>1839</v>
      </c>
      <c r="U689" s="531" t="s">
        <v>2420</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2436</v>
      </c>
      <c r="Q690" s="291"/>
      <c r="R690" s="170"/>
      <c r="S690" s="387"/>
      <c r="T690" s="491" t="s">
        <v>1841</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2437</v>
      </c>
      <c r="Q691" s="291"/>
      <c r="R691" s="170"/>
      <c r="S691" s="387"/>
      <c r="T691" s="491" t="s">
        <v>490</v>
      </c>
      <c r="U691" s="491" t="s">
        <v>1959</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1852</v>
      </c>
      <c r="Q692" s="291"/>
      <c r="R692" s="170"/>
      <c r="S692" s="387"/>
      <c r="T692" s="491" t="s">
        <v>2468</v>
      </c>
      <c r="U692" s="491" t="s">
        <v>1864</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1853</v>
      </c>
      <c r="Q693" s="291"/>
      <c r="R693" s="170"/>
      <c r="S693" s="387"/>
      <c r="T693" s="491" t="s">
        <v>4239</v>
      </c>
      <c r="U693" s="491" t="s">
        <v>1179</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1855</v>
      </c>
      <c r="Q694" s="291"/>
      <c r="R694" s="170"/>
      <c r="S694" s="387"/>
      <c r="T694" s="491" t="s">
        <v>2470</v>
      </c>
      <c r="U694" s="491" t="s">
        <v>2461</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624</v>
      </c>
      <c r="Q695" s="291"/>
      <c r="R695" s="170"/>
      <c r="S695" s="387"/>
      <c r="T695" s="491" t="s">
        <v>1132</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626</v>
      </c>
      <c r="Q696" s="291"/>
      <c r="R696" s="170"/>
      <c r="S696" s="387"/>
      <c r="T696" s="491" t="s">
        <v>2449</v>
      </c>
      <c r="U696" s="491" t="s">
        <v>855</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627</v>
      </c>
      <c r="Q697" s="291"/>
      <c r="R697" s="170"/>
      <c r="S697" s="387"/>
      <c r="T697" s="491" t="s">
        <v>795</v>
      </c>
      <c r="U697" s="491" t="s">
        <v>1306</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2247</v>
      </c>
      <c r="Q698" s="291"/>
      <c r="R698" s="170"/>
      <c r="S698" s="387"/>
      <c r="T698" s="491" t="s">
        <v>1047</v>
      </c>
      <c r="U698" s="491" t="s">
        <v>647</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1500</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1386</v>
      </c>
      <c r="Q700" s="291"/>
      <c r="R700" s="170"/>
      <c r="S700" s="387"/>
      <c r="T700" s="491" t="s">
        <v>2771</v>
      </c>
      <c r="U700" s="491" t="s">
        <v>854</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2197</v>
      </c>
      <c r="Q701" s="291"/>
      <c r="R701" s="170"/>
      <c r="S701" s="387"/>
      <c r="T701" s="491" t="s">
        <v>2052</v>
      </c>
      <c r="U701" s="491" t="s">
        <v>1299</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2199</v>
      </c>
      <c r="Q702" s="291"/>
      <c r="R702" s="170"/>
      <c r="S702" s="387"/>
      <c r="T702" s="491" t="s">
        <v>1589</v>
      </c>
      <c r="U702" s="491" t="s">
        <v>1285</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1757</v>
      </c>
      <c r="Q703" s="291"/>
      <c r="R703" s="170"/>
      <c r="S703" s="387"/>
      <c r="T703" s="491" t="s">
        <v>914</v>
      </c>
      <c r="U703" s="491" t="s">
        <v>2183</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1094</v>
      </c>
      <c r="Q704" s="291"/>
      <c r="R704" s="170"/>
      <c r="S704" s="387"/>
      <c r="T704" s="491" t="s">
        <v>916</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1997</v>
      </c>
      <c r="Q705" s="291"/>
      <c r="R705" s="170"/>
      <c r="S705" s="387"/>
      <c r="T705" s="491" t="s">
        <v>2435</v>
      </c>
      <c r="U705" s="491" t="s">
        <v>609</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1919</v>
      </c>
      <c r="Q706" s="291"/>
      <c r="R706" s="170"/>
      <c r="S706" s="387"/>
      <c r="T706" s="491" t="s">
        <v>4240</v>
      </c>
      <c r="U706" s="491" t="s">
        <v>609</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1921</v>
      </c>
      <c r="Q707" s="291"/>
      <c r="R707" s="170"/>
      <c r="S707" s="387"/>
      <c r="T707" s="491" t="s">
        <v>1851</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1923</v>
      </c>
      <c r="Q708" s="291"/>
      <c r="R708" s="170"/>
      <c r="S708" s="387"/>
      <c r="T708" s="491" t="s">
        <v>1854</v>
      </c>
      <c r="U708" s="491" t="s">
        <v>2183</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482</v>
      </c>
      <c r="Q709" s="291"/>
      <c r="R709" s="170"/>
      <c r="S709" s="387"/>
      <c r="T709" s="491" t="s">
        <v>1856</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625</v>
      </c>
      <c r="U710" s="491" t="s">
        <v>2337</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2047</v>
      </c>
      <c r="Q711" s="291"/>
      <c r="R711" s="170"/>
      <c r="S711" s="387"/>
      <c r="T711" s="491" t="s">
        <v>796</v>
      </c>
      <c r="U711" s="491" t="s">
        <v>2120</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2072</v>
      </c>
      <c r="Q712" s="926"/>
      <c r="R712" s="926"/>
      <c r="S712" s="927"/>
      <c r="T712" s="491" t="s">
        <v>1052</v>
      </c>
      <c r="U712" s="491" t="s">
        <v>1862</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1053</v>
      </c>
      <c r="U713" s="491" t="s">
        <v>1956</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1434</v>
      </c>
      <c r="U714" s="491" t="s">
        <v>1183</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2248</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1385</v>
      </c>
      <c r="U716" s="491" t="s">
        <v>2183</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2196</v>
      </c>
      <c r="U717" s="531" t="s">
        <v>1868</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2198</v>
      </c>
      <c r="U718" s="491" t="s">
        <v>2116</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2200</v>
      </c>
      <c r="U719" s="491" t="s">
        <v>2337</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2772</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1093</v>
      </c>
      <c r="U721" s="491" t="s">
        <v>2127</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1095</v>
      </c>
      <c r="U722" s="491" t="s">
        <v>1070</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1998</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1920</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1922</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1924</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2773</v>
      </c>
      <c r="U727" s="531" t="s">
        <v>1862</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1286</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2048</v>
      </c>
      <c r="U729" s="491" t="s">
        <v>714</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2073</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812</v>
      </c>
      <c r="U731" s="491" t="s">
        <v>1956</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2074</v>
      </c>
      <c r="U732" s="491" t="s">
        <v>1956</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2075</v>
      </c>
      <c r="U733" s="491" t="s">
        <v>1626</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2271</v>
      </c>
      <c r="U734" s="491" t="s">
        <v>1827</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2272</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2273</v>
      </c>
      <c r="U736" s="531" t="s">
        <v>1628</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2274</v>
      </c>
      <c r="U737" s="491" t="s">
        <v>1082</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2275</v>
      </c>
      <c r="U738" s="491" t="s">
        <v>2333</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2201</v>
      </c>
      <c r="U739" s="491" t="s">
        <v>2121</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1592</v>
      </c>
      <c r="U740" s="491" t="s">
        <v>2335</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1593</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1643</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1054</v>
      </c>
      <c r="U743" s="491" t="s">
        <v>609</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797</v>
      </c>
      <c r="U744" s="491" t="s">
        <v>1901</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1644</v>
      </c>
      <c r="U745" s="491" t="s">
        <v>2463</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1645</v>
      </c>
      <c r="U746" s="491" t="s">
        <v>2183</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1646</v>
      </c>
      <c r="U747" s="491" t="s">
        <v>1628</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1647</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1648</v>
      </c>
      <c r="U749" s="491" t="s">
        <v>638</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1649</v>
      </c>
      <c r="U750" s="491" t="s">
        <v>930</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1650</v>
      </c>
      <c r="U751" s="491" t="s">
        <v>1179</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1651</v>
      </c>
      <c r="U752" s="491" t="s">
        <v>652</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1055</v>
      </c>
      <c r="U753" s="491" t="s">
        <v>1628</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1652</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1653</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1654</v>
      </c>
      <c r="U756" s="531" t="s">
        <v>1901</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1655</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1656</v>
      </c>
      <c r="U758" s="491" t="s">
        <v>1860</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1657</v>
      </c>
      <c r="U759" s="491" t="s">
        <v>1301</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1658</v>
      </c>
      <c r="U760" s="531" t="s">
        <v>930</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1659</v>
      </c>
      <c r="U761" s="491" t="s">
        <v>714</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1056</v>
      </c>
      <c r="U762" s="491" t="s">
        <v>2420</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1660</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1661</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1662</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1663</v>
      </c>
      <c r="U766" s="491" t="s">
        <v>1959</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1664</v>
      </c>
      <c r="U767" s="491" t="s">
        <v>1426</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1665</v>
      </c>
      <c r="U768" s="491" t="s">
        <v>1829</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1666</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1667</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2337</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2333</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2521</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1960</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1301</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1866</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650</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1286</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1505</v>
      </c>
      <c r="U781" s="387" t="s">
        <v>652</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1057</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1506</v>
      </c>
      <c r="U783" s="387" t="s">
        <v>714</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1507</v>
      </c>
      <c r="U784" s="387" t="s">
        <v>1732</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1508</v>
      </c>
      <c r="U785" s="387" t="s">
        <v>1073</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1058</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1509</v>
      </c>
      <c r="U787" s="387" t="s">
        <v>1285</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1510</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1511</v>
      </c>
      <c r="U789" s="387" t="s">
        <v>1306</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1512</v>
      </c>
      <c r="U790" s="387" t="s">
        <v>1829</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1513</v>
      </c>
      <c r="U791" s="387" t="s">
        <v>2127</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1514</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2318</v>
      </c>
      <c r="U793" s="387" t="s">
        <v>652</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2319</v>
      </c>
      <c r="U794" s="387" t="s">
        <v>638</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2320</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813</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814</v>
      </c>
      <c r="U797" s="387" t="s">
        <v>1956</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2774</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815</v>
      </c>
      <c r="U799" s="387" t="s">
        <v>1862</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816</v>
      </c>
      <c r="U800" s="387" t="s">
        <v>1073</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4OVYNm5da2n+eYZrDW3VLR+jsSGpLrI6tkM+KixzMZlviuasMaxsbNPKcbLkCZU0RVBXVUGKulR3hEmSPadiIQ==" saltValue="pvdpenusZWzMrA7tbkKJC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956</v>
      </c>
    </row>
    <row r="2" spans="1:6" ht="13.8">
      <c r="A2" s="1818" t="str">
        <f>'Part I-Project Information'!F34</f>
        <v>Twin Oaks Commons</v>
      </c>
    </row>
    <row r="3" spans="1:6" ht="13.8">
      <c r="A3" s="1818" t="str">
        <f>CONCATENATE('Part I-Project Information'!F38,", ", 'Part I-Project Information'!J39," County")</f>
        <v>Ludowici, Long County</v>
      </c>
    </row>
    <row r="5" spans="1:6" ht="13.2" customHeight="1">
      <c r="A5" s="1844" t="str">
        <f>'Project Narrative'!A5</f>
        <v>Twin Oaks Commons involves the Acquisition and Rehab of 40-units at 105 Twin Oaks, Ludowici, Long Countty, Georgia 31316-7261; with coordinates of 31.704298, -81.737643. The proposed preservation of a
rental community originally funded in 1998 will offer 12 one-bedroom, 20 two-bedroom and 8 three-bedroom townhome-style units. These units will be housed in  townhomes with
community space. The project will target and restrict occupancy to family households earning up to 50% of the Area Median Income (AMI) and will involve the pay-off of a HOME Loan that is set to expire.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Central Air Conditioning
 Ceiling Fan
 Patio/Balcony
 Patio Storage
Services
 Classes
 Parties</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4093</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2302</v>
      </c>
      <c r="C30" s="1819"/>
      <c r="D30" s="1819"/>
      <c r="E30" s="1819"/>
      <c r="F30" s="1821"/>
      <c r="G30" s="1820" t="s">
        <v>6916</v>
      </c>
      <c r="H30" s="1819"/>
      <c r="I30" s="1819"/>
      <c r="J30" s="1819"/>
      <c r="K30" s="1819"/>
      <c r="L30" s="1821"/>
      <c r="M30" s="1819"/>
      <c r="N30" s="1819"/>
      <c r="O30" s="1819"/>
      <c r="P30" s="1826" t="s">
        <v>3645</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2020-050</v>
      </c>
      <c r="P31" s="1819"/>
      <c r="Q31" s="1819"/>
      <c r="R31" s="1819"/>
      <c r="S31" s="1819"/>
      <c r="T31" s="1819"/>
      <c r="U31" s="1819"/>
    </row>
    <row r="32" spans="1:21" ht="13.95" customHeight="1">
      <c r="A32" s="1819"/>
      <c r="B32" s="2062"/>
      <c r="C32" s="2062"/>
      <c r="D32" s="2062"/>
      <c r="E32" s="1815"/>
      <c r="F32" s="1819"/>
      <c r="G32" s="1822" t="s">
        <v>3210</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597</v>
      </c>
      <c r="B34" s="1819" t="s">
        <v>2313</v>
      </c>
      <c r="C34" s="1819"/>
      <c r="D34" s="1827"/>
      <c r="E34" s="1821"/>
      <c r="F34" s="1823" t="s">
        <v>3601</v>
      </c>
      <c r="G34" s="1819"/>
      <c r="H34" s="1819"/>
      <c r="I34" s="1824">
        <f>'Part IV-A-Uses of Funds'!$J$184</f>
        <v>375000</v>
      </c>
      <c r="J34" s="1824"/>
      <c r="K34" s="1819"/>
      <c r="L34" s="1819" t="s">
        <v>3602</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721</v>
      </c>
      <c r="B36" s="1819" t="s">
        <v>1990</v>
      </c>
      <c r="C36" s="1819"/>
      <c r="D36" s="1819"/>
      <c r="E36" s="1819"/>
      <c r="F36" s="1849" t="str">
        <f>'Part I-Project Information'!F11</f>
        <v>9% Credit Competitive Round only</v>
      </c>
      <c r="G36" s="1849"/>
      <c r="H36" s="1849"/>
      <c r="I36" s="2186" t="s">
        <v>3532</v>
      </c>
      <c r="J36" s="1819" t="s">
        <v>6962</v>
      </c>
      <c r="K36" s="1819"/>
      <c r="L36" s="1821"/>
      <c r="M36" s="1819"/>
      <c r="N36" s="1819"/>
      <c r="O36" s="1819" t="str">
        <f>'Part I-Project Information'!O11</f>
        <v>2020PA-043</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f>'Part I-Project Information'!N14</f>
        <v>0</v>
      </c>
      <c r="O39" s="1849"/>
      <c r="P39" s="1849"/>
      <c r="Q39" s="1819"/>
      <c r="R39" s="1819"/>
      <c r="S39" s="1819"/>
      <c r="T39" s="1819"/>
      <c r="U39" s="1819"/>
    </row>
    <row r="40" spans="1:21" ht="13.8">
      <c r="A40" s="1821"/>
      <c r="B40" s="1819" t="s">
        <v>4798</v>
      </c>
      <c r="C40" s="1819"/>
      <c r="D40" s="1819"/>
      <c r="E40" s="1819"/>
      <c r="F40" s="1965">
        <f>'Part I-Project Information'!F15</f>
        <v>0</v>
      </c>
      <c r="G40" s="1965"/>
      <c r="H40" s="1965"/>
      <c r="I40" s="1965"/>
      <c r="J40" s="1819" t="s">
        <v>4512</v>
      </c>
      <c r="K40" s="1819"/>
      <c r="L40" s="1819">
        <f>'Part I-Project Information'!L15</f>
        <v>0</v>
      </c>
      <c r="M40" s="1819"/>
      <c r="N40" s="1819" t="s">
        <v>4511</v>
      </c>
      <c r="O40" s="1819"/>
      <c r="P40" s="1832">
        <f>'Part I-Project Information'!P15</f>
        <v>0</v>
      </c>
      <c r="Q40" s="1819"/>
      <c r="R40" s="1819"/>
      <c r="S40" s="1819"/>
      <c r="T40" s="1819"/>
      <c r="U40" s="1819"/>
    </row>
    <row r="41" spans="1:21" ht="13.8">
      <c r="A41" s="1821"/>
      <c r="B41" s="1819" t="s">
        <v>3600</v>
      </c>
      <c r="C41" s="1819"/>
      <c r="D41" s="1819"/>
      <c r="E41" s="1819"/>
      <c r="F41" s="1861">
        <f>'Part I-Project Information'!F16</f>
        <v>0</v>
      </c>
      <c r="G41" s="1819" t="s">
        <v>4450</v>
      </c>
      <c r="H41" s="1821"/>
      <c r="I41" s="1822"/>
      <c r="J41" s="1823"/>
      <c r="K41" s="1819"/>
      <c r="L41" s="1819"/>
      <c r="M41" s="1819"/>
      <c r="N41" s="1849">
        <f>'Part I-Project Information'!N16</f>
        <v>0</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723</v>
      </c>
      <c r="B43" s="1819" t="s">
        <v>4112</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3652</v>
      </c>
      <c r="C45" s="1819"/>
      <c r="D45" s="1819"/>
      <c r="E45" s="1819"/>
      <c r="F45" s="1819" t="str">
        <f>'Part I-Project Information'!F20</f>
        <v>MVAH Development LLC</v>
      </c>
      <c r="G45" s="1819"/>
      <c r="H45" s="1819"/>
      <c r="I45" s="1819" t="s">
        <v>1752</v>
      </c>
      <c r="J45" s="1819" t="str">
        <f>'Part I-Project Information'!J20</f>
        <v>Brian McGeady</v>
      </c>
      <c r="K45" s="1819"/>
      <c r="L45" s="1819"/>
      <c r="M45" s="1823" t="s">
        <v>1931</v>
      </c>
      <c r="N45" s="1819" t="str">
        <f>'Part I-Project Information'!N20</f>
        <v>Managing Partner</v>
      </c>
      <c r="O45" s="1819"/>
      <c r="P45" s="1819"/>
      <c r="Q45" s="1819"/>
      <c r="R45" s="1819"/>
      <c r="S45" s="1819"/>
      <c r="T45" s="1819"/>
      <c r="U45" s="1819"/>
    </row>
    <row r="46" spans="1:21" ht="13.95" customHeight="1">
      <c r="A46" s="1819"/>
      <c r="B46" s="1823" t="s">
        <v>1932</v>
      </c>
      <c r="C46" s="1819"/>
      <c r="D46" s="1819"/>
      <c r="E46" s="1819"/>
      <c r="F46" s="1819" t="str">
        <f>'Part I-Project Information'!F21</f>
        <v>9100 Centre Pointe Dr., Suite 200</v>
      </c>
      <c r="G46" s="1819"/>
      <c r="H46" s="1819"/>
      <c r="I46" s="1819"/>
      <c r="J46" s="1819"/>
      <c r="K46" s="1819"/>
      <c r="L46" s="1819"/>
      <c r="M46" s="1849" t="s">
        <v>3651</v>
      </c>
      <c r="N46" s="1849"/>
      <c r="O46" s="1849"/>
      <c r="P46" s="1849"/>
      <c r="Q46" s="1819"/>
      <c r="R46" s="1819"/>
      <c r="S46" s="1819"/>
      <c r="T46" s="1819"/>
      <c r="U46" s="1819"/>
    </row>
    <row r="47" spans="1:21" ht="13.8">
      <c r="A47" s="1819"/>
      <c r="B47" s="1823" t="s">
        <v>599</v>
      </c>
      <c r="C47" s="1819"/>
      <c r="D47" s="1819"/>
      <c r="E47" s="1819"/>
      <c r="F47" s="1819" t="str">
        <f>'Part I-Project Information'!F22</f>
        <v>West Chester</v>
      </c>
      <c r="G47" s="1819"/>
      <c r="H47" s="1819"/>
      <c r="I47" s="1823" t="s">
        <v>1753</v>
      </c>
      <c r="J47" s="1838" t="str">
        <f>'Part I-Project Information'!J22</f>
        <v>OH</v>
      </c>
      <c r="K47" s="1819"/>
      <c r="L47" s="1819"/>
      <c r="M47" s="1849"/>
      <c r="N47" s="1849"/>
      <c r="O47" s="1849"/>
      <c r="P47" s="1849"/>
      <c r="Q47" s="1819"/>
      <c r="R47" s="1819"/>
      <c r="S47" s="1819"/>
      <c r="T47" s="1819"/>
      <c r="U47" s="1819"/>
    </row>
    <row r="48" spans="1:21" ht="13.8">
      <c r="A48" s="1819"/>
      <c r="B48" s="1823" t="s">
        <v>2171</v>
      </c>
      <c r="C48" s="1819"/>
      <c r="D48" s="1819"/>
      <c r="E48" s="1819"/>
      <c r="F48" s="2187">
        <f>'Part I-Project Information'!F23</f>
        <v>450694817</v>
      </c>
      <c r="G48" s="2187"/>
      <c r="H48" s="2187"/>
      <c r="I48" s="1823" t="s">
        <v>1677</v>
      </c>
      <c r="J48" s="2188">
        <f>'Part I-Project Information'!J23</f>
        <v>5139641141</v>
      </c>
      <c r="K48" s="2188"/>
      <c r="L48" s="1821" t="s">
        <v>1676</v>
      </c>
      <c r="M48" s="1821" t="str">
        <f>'Part I-Project Information'!M23</f>
        <v>N/A</v>
      </c>
      <c r="N48" s="1823" t="s">
        <v>1678</v>
      </c>
      <c r="O48" s="2188">
        <f>'Part I-Project Information'!O23</f>
        <v>5139641141</v>
      </c>
      <c r="P48" s="2188"/>
      <c r="Q48" s="1819"/>
      <c r="R48" s="1819"/>
      <c r="S48" s="1819"/>
      <c r="T48" s="1819"/>
      <c r="U48" s="1819"/>
    </row>
    <row r="49" spans="1:21" ht="13.8">
      <c r="A49" s="1819"/>
      <c r="B49" s="1823" t="s">
        <v>1935</v>
      </c>
      <c r="C49" s="1819"/>
      <c r="D49" s="1819"/>
      <c r="E49" s="1819"/>
      <c r="F49" s="1819" t="str">
        <f>'Part I-Project Information'!F24</f>
        <v>brian.mcgeady@mvahpartners.com</v>
      </c>
      <c r="G49" s="1819"/>
      <c r="H49" s="1819"/>
      <c r="I49" s="1819"/>
      <c r="J49" s="1819"/>
      <c r="K49" s="1819"/>
      <c r="L49" s="1819"/>
      <c r="M49" s="1819"/>
      <c r="N49" s="1823" t="s">
        <v>1930</v>
      </c>
      <c r="O49" s="2188">
        <f>'Part I-Project Information'!O24</f>
        <v>5132563810</v>
      </c>
      <c r="P49" s="2188"/>
      <c r="Q49" s="1819"/>
      <c r="R49" s="1819"/>
      <c r="S49" s="1819"/>
      <c r="T49" s="1819"/>
      <c r="U49" s="1819"/>
    </row>
    <row r="50" spans="1:21" ht="13.8">
      <c r="A50" s="1821"/>
      <c r="B50" s="1819" t="s">
        <v>4111</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3652</v>
      </c>
      <c r="C51" s="1819"/>
      <c r="D51" s="1819"/>
      <c r="E51" s="1819"/>
      <c r="F51" s="1819" t="str">
        <f>'Part I-Project Information'!F26</f>
        <v>MVAH Development LLC</v>
      </c>
      <c r="G51" s="1819"/>
      <c r="H51" s="1819"/>
      <c r="I51" s="1819" t="s">
        <v>1752</v>
      </c>
      <c r="J51" s="1819" t="str">
        <f>'Part I-Project Information'!J26</f>
        <v>Justin Gregory</v>
      </c>
      <c r="K51" s="1819"/>
      <c r="L51" s="1819"/>
      <c r="M51" s="1823" t="s">
        <v>1931</v>
      </c>
      <c r="N51" s="1819" t="str">
        <f>'Part I-Project Information'!N26</f>
        <v>Financial Analyst</v>
      </c>
      <c r="O51" s="1819"/>
      <c r="P51" s="1819"/>
      <c r="Q51" s="1819"/>
      <c r="R51" s="1819"/>
      <c r="S51" s="1819"/>
      <c r="T51" s="1819"/>
      <c r="U51" s="1819"/>
    </row>
    <row r="52" spans="1:21" ht="13.95" customHeight="1">
      <c r="A52" s="1819"/>
      <c r="B52" s="1823" t="s">
        <v>1932</v>
      </c>
      <c r="C52" s="1819"/>
      <c r="D52" s="1819"/>
      <c r="E52" s="1819"/>
      <c r="F52" s="1819" t="str">
        <f>'Part I-Project Information'!F27</f>
        <v>9100 Centre Pointe Dr.</v>
      </c>
      <c r="G52" s="1819"/>
      <c r="H52" s="1819"/>
      <c r="I52" s="1819"/>
      <c r="J52" s="1819"/>
      <c r="K52" s="1819"/>
      <c r="L52" s="1819"/>
      <c r="M52" s="1849" t="s">
        <v>3651</v>
      </c>
      <c r="N52" s="1849"/>
      <c r="O52" s="1849"/>
      <c r="P52" s="1849"/>
      <c r="Q52" s="1819"/>
      <c r="R52" s="1819"/>
      <c r="S52" s="1819"/>
      <c r="T52" s="1819"/>
      <c r="U52" s="1819"/>
    </row>
    <row r="53" spans="1:21" ht="13.8">
      <c r="A53" s="1819"/>
      <c r="B53" s="1823" t="s">
        <v>599</v>
      </c>
      <c r="C53" s="1819"/>
      <c r="D53" s="1819"/>
      <c r="E53" s="1819"/>
      <c r="F53" s="1819" t="str">
        <f>'Part I-Project Information'!F28</f>
        <v>West Chester</v>
      </c>
      <c r="G53" s="1819"/>
      <c r="H53" s="1819"/>
      <c r="I53" s="1823" t="s">
        <v>1753</v>
      </c>
      <c r="J53" s="1838" t="str">
        <f>'Part I-Project Information'!J28</f>
        <v>OH</v>
      </c>
      <c r="K53" s="1819"/>
      <c r="L53" s="1819"/>
      <c r="M53" s="1849"/>
      <c r="N53" s="1849"/>
      <c r="O53" s="1849"/>
      <c r="P53" s="1849"/>
      <c r="Q53" s="1819"/>
      <c r="R53" s="1819"/>
      <c r="S53" s="1819"/>
      <c r="T53" s="1819"/>
      <c r="U53" s="1819"/>
    </row>
    <row r="54" spans="1:21" ht="13.8">
      <c r="A54" s="1819"/>
      <c r="B54" s="1823" t="s">
        <v>2171</v>
      </c>
      <c r="C54" s="1819"/>
      <c r="D54" s="1819"/>
      <c r="E54" s="1819"/>
      <c r="F54" s="2187">
        <f>'Part I-Project Information'!F29</f>
        <v>450694817</v>
      </c>
      <c r="G54" s="2187"/>
      <c r="H54" s="2187"/>
      <c r="I54" s="1823" t="s">
        <v>1677</v>
      </c>
      <c r="J54" s="2188">
        <f>'Part I-Project Information'!J29</f>
        <v>5139641152</v>
      </c>
      <c r="K54" s="2188"/>
      <c r="L54" s="1821" t="s">
        <v>1676</v>
      </c>
      <c r="M54" s="1821" t="str">
        <f>'Part I-Project Information'!M29</f>
        <v>N/A</v>
      </c>
      <c r="N54" s="1823" t="s">
        <v>1678</v>
      </c>
      <c r="O54" s="2188">
        <f>'Part I-Project Information'!O29</f>
        <v>5139641152</v>
      </c>
      <c r="P54" s="2188"/>
      <c r="Q54" s="1819"/>
      <c r="R54" s="1819"/>
      <c r="S54" s="1819"/>
      <c r="T54" s="1819"/>
      <c r="U54" s="1819"/>
    </row>
    <row r="55" spans="1:21" ht="13.8">
      <c r="A55" s="1819"/>
      <c r="B55" s="1823" t="s">
        <v>1935</v>
      </c>
      <c r="C55" s="1819"/>
      <c r="D55" s="1819"/>
      <c r="E55" s="1819"/>
      <c r="F55" s="1819" t="str">
        <f>'Part I-Project Information'!F30</f>
        <v>justin.gregory@mvahpartners.com</v>
      </c>
      <c r="G55" s="1819"/>
      <c r="H55" s="1819"/>
      <c r="I55" s="1819"/>
      <c r="J55" s="1819"/>
      <c r="K55" s="1819"/>
      <c r="L55" s="1819"/>
      <c r="M55" s="1819"/>
      <c r="N55" s="1823" t="s">
        <v>1930</v>
      </c>
      <c r="O55" s="2188">
        <f>'Part I-Project Information'!O30</f>
        <v>7245613196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1747</v>
      </c>
      <c r="B57" s="1819" t="s">
        <v>1442</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598</v>
      </c>
      <c r="C59" s="1819"/>
      <c r="D59" s="1819"/>
      <c r="E59" s="1819"/>
      <c r="F59" s="1965" t="str">
        <f>'Part I-Project Information'!F34</f>
        <v>Twin Oaks Commons</v>
      </c>
      <c r="G59" s="1965"/>
      <c r="H59" s="1965"/>
      <c r="I59" s="1965"/>
      <c r="J59" s="1965"/>
      <c r="K59" s="1965"/>
      <c r="L59" s="1823" t="s">
        <v>2140</v>
      </c>
      <c r="M59" s="1819"/>
      <c r="N59" s="1819"/>
      <c r="O59" s="1819" t="str">
        <f>'Part I-Project Information'!O34</f>
        <v>No</v>
      </c>
      <c r="P59" s="1819"/>
      <c r="Q59" s="1819"/>
      <c r="R59" s="1819"/>
      <c r="S59" s="1819"/>
      <c r="T59" s="1819"/>
      <c r="U59" s="1819"/>
    </row>
    <row r="60" spans="1:21" ht="13.8">
      <c r="A60" s="1826"/>
      <c r="B60" s="1819" t="s">
        <v>2618</v>
      </c>
      <c r="C60" s="1819"/>
      <c r="D60" s="1826"/>
      <c r="E60" s="1819"/>
      <c r="F60" s="1965" t="str">
        <f>'Part I-Project Information'!F35</f>
        <v>158 Twin Oaks Dr.</v>
      </c>
      <c r="G60" s="1965"/>
      <c r="H60" s="1965"/>
      <c r="I60" s="1965"/>
      <c r="J60" s="1965"/>
      <c r="K60" s="1965"/>
      <c r="L60" s="1819" t="s">
        <v>3504</v>
      </c>
      <c r="M60" s="1819"/>
      <c r="N60" s="1819"/>
      <c r="O60" s="1819" t="str">
        <f>'Part I-Project Information'!O35</f>
        <v>N/A</v>
      </c>
      <c r="P60" s="1819"/>
      <c r="Q60" s="1819"/>
      <c r="R60" s="1819"/>
      <c r="S60" s="1819"/>
      <c r="T60" s="1819"/>
      <c r="U60" s="1819"/>
    </row>
    <row r="61" spans="1:21" ht="13.8">
      <c r="A61" s="1826"/>
      <c r="B61" s="1819" t="s">
        <v>6848</v>
      </c>
      <c r="C61" s="1819"/>
      <c r="D61" s="1826"/>
      <c r="E61" s="1819"/>
      <c r="F61" s="1965" t="str">
        <f>'Part I-Project Information'!F36</f>
        <v>158 Twin Oaks Dr.</v>
      </c>
      <c r="G61" s="1965"/>
      <c r="H61" s="1965"/>
      <c r="I61" s="1965"/>
      <c r="J61" s="1965"/>
      <c r="K61" s="1965"/>
      <c r="L61" s="1823" t="s">
        <v>2000</v>
      </c>
      <c r="M61" s="1819"/>
      <c r="N61" s="1821" t="str">
        <f>'Part I-Project Information'!N36</f>
        <v>No</v>
      </c>
      <c r="O61" s="1821" t="s">
        <v>3503</v>
      </c>
      <c r="P61" s="1821">
        <f>'Part I-Project Information'!P36</f>
        <v>1</v>
      </c>
      <c r="Q61" s="1819"/>
      <c r="R61" s="1819"/>
      <c r="S61" s="1819"/>
      <c r="T61" s="1819"/>
      <c r="U61" s="1819"/>
    </row>
    <row r="62" spans="1:21" ht="13.8">
      <c r="A62" s="1826"/>
      <c r="B62" s="1819" t="s">
        <v>3550</v>
      </c>
      <c r="C62" s="1819"/>
      <c r="D62" s="1826"/>
      <c r="E62" s="1819"/>
      <c r="F62" s="1819" t="s">
        <v>3533</v>
      </c>
      <c r="G62" s="2189">
        <f>'Part I-Project Information'!G37</f>
        <v>31.704298000000001</v>
      </c>
      <c r="H62" s="2189"/>
      <c r="I62" s="1821" t="s">
        <v>3534</v>
      </c>
      <c r="J62" s="2189">
        <f>'Part I-Project Information'!J37</f>
        <v>-81.737643000000006</v>
      </c>
      <c r="K62" s="2189"/>
      <c r="L62" s="1823" t="s">
        <v>2223</v>
      </c>
      <c r="M62" s="1819"/>
      <c r="N62" s="1819"/>
      <c r="O62" s="2190">
        <f>'Part I-Project Information'!O37</f>
        <v>4.82</v>
      </c>
      <c r="P62" s="2190"/>
      <c r="Q62" s="1819"/>
      <c r="R62" s="1819"/>
      <c r="S62" s="1819"/>
      <c r="T62" s="1819"/>
      <c r="U62" s="1819"/>
    </row>
    <row r="63" spans="1:21" ht="14.4">
      <c r="A63" s="1821"/>
      <c r="B63" s="1819" t="s">
        <v>599</v>
      </c>
      <c r="C63" s="1819"/>
      <c r="D63" s="1819"/>
      <c r="E63" s="1819"/>
      <c r="F63" s="1819" t="str">
        <f>'Part I-Project Information'!F38</f>
        <v>Ludowici</v>
      </c>
      <c r="G63" s="1819"/>
      <c r="H63" s="1819"/>
      <c r="I63" s="1829" t="s">
        <v>6963</v>
      </c>
      <c r="J63" s="2187">
        <f>'Part I-Project Information'!J38</f>
        <v>313160000</v>
      </c>
      <c r="K63" s="2187"/>
      <c r="L63" s="1819" t="str">
        <f>IF(AND(NOT(F59=""),NOT(F63="Select from list"),J63=""),"Enter Zip!","")</f>
        <v/>
      </c>
      <c r="M63" s="1830" t="s">
        <v>2800</v>
      </c>
      <c r="N63" s="1819"/>
      <c r="O63" s="2067" t="str">
        <f>'Part I-Project Information'!O38</f>
        <v>9702.00</v>
      </c>
      <c r="P63" s="1965"/>
      <c r="Q63" s="1819"/>
      <c r="R63" s="1819"/>
      <c r="S63" s="1819"/>
      <c r="T63" s="1819"/>
      <c r="U63" s="1819"/>
    </row>
    <row r="64" spans="1:21" ht="13.8">
      <c r="A64" s="1821"/>
      <c r="B64" s="1819" t="s">
        <v>4487</v>
      </c>
      <c r="C64" s="1819"/>
      <c r="D64" s="1819"/>
      <c r="E64" s="1819"/>
      <c r="F64" s="1819" t="str">
        <f>'Part I-Project Information'!F39</f>
        <v>City Limits</v>
      </c>
      <c r="G64" s="1819"/>
      <c r="H64" s="1819"/>
      <c r="I64" s="1831" t="s">
        <v>600</v>
      </c>
      <c r="J64" s="1965" t="str">
        <f>'Part I-Project Information'!J39</f>
        <v>Long</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1524</v>
      </c>
      <c r="D65" s="1819"/>
      <c r="E65" s="1819"/>
      <c r="F65" s="1823" t="str">
        <f>'Part I-Project Information'!F40</f>
        <v>Yes</v>
      </c>
      <c r="G65" s="1819" t="s">
        <v>2688</v>
      </c>
      <c r="H65" s="1819"/>
      <c r="I65" s="1821" t="str">
        <f>'Part I-Project Information'!I40</f>
        <v>Yes</v>
      </c>
      <c r="J65" s="1821" t="s">
        <v>2706</v>
      </c>
      <c r="K65" s="1821" t="str">
        <f>'Part I-Project Information'!K40</f>
        <v>Rural</v>
      </c>
      <c r="L65" s="1819"/>
      <c r="M65" s="1823" t="s">
        <v>2542</v>
      </c>
      <c r="N65" s="1821" t="str">
        <f>'Part I-Project Information'!N40</f>
        <v>MSA</v>
      </c>
      <c r="O65" s="1819" t="str">
        <f>'Part I-Project Information'!O40</f>
        <v>Long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2671</v>
      </c>
      <c r="G67" s="1827"/>
      <c r="H67" s="1819" t="s">
        <v>717</v>
      </c>
      <c r="I67" s="1819"/>
      <c r="J67" s="1819" t="s">
        <v>718</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1</v>
      </c>
      <c r="G68" s="2191"/>
      <c r="H68" s="2191">
        <f>'Part I-Project Information'!H43</f>
        <v>51</v>
      </c>
      <c r="I68" s="2191"/>
      <c r="J68" s="2191">
        <f>'Part I-Project Information'!J43</f>
        <v>9</v>
      </c>
      <c r="K68" s="2191"/>
      <c r="L68" s="1822" t="s">
        <v>1256</v>
      </c>
      <c r="M68" s="1819"/>
      <c r="N68" s="2063" t="s">
        <v>1257</v>
      </c>
      <c r="O68" s="2063"/>
      <c r="P68" s="2063"/>
      <c r="Q68" s="1819"/>
      <c r="R68" s="1819"/>
      <c r="S68" s="1819"/>
      <c r="T68" s="1819"/>
      <c r="U68" s="1819"/>
    </row>
    <row r="69" spans="1:21" ht="13.8">
      <c r="A69" s="1821"/>
      <c r="B69" s="1823" t="s">
        <v>719</v>
      </c>
      <c r="C69" s="1819"/>
      <c r="D69" s="1819"/>
      <c r="E69" s="1819"/>
      <c r="F69" s="2191">
        <f>'Part I-Project Information'!F44</f>
        <v>0</v>
      </c>
      <c r="G69" s="2191"/>
      <c r="H69" s="2191">
        <f>'Part I-Project Information'!H44</f>
        <v>0</v>
      </c>
      <c r="I69" s="2191"/>
      <c r="J69" s="2191">
        <f>'Part I-Project Information'!J44</f>
        <v>0</v>
      </c>
      <c r="K69" s="2191"/>
      <c r="L69" s="1822" t="s">
        <v>2669</v>
      </c>
      <c r="M69" s="1819"/>
      <c r="N69" s="2064" t="s">
        <v>2668</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618</v>
      </c>
      <c r="C71" s="1819"/>
      <c r="D71" s="1819"/>
      <c r="E71" s="1819"/>
      <c r="F71" s="1882" t="str">
        <f>'Part I-Project Information'!F46</f>
        <v>City of Ludowici</v>
      </c>
      <c r="G71" s="1882"/>
      <c r="H71" s="1882"/>
      <c r="I71" s="1882"/>
      <c r="J71" s="1882"/>
      <c r="K71" s="1882"/>
      <c r="L71" s="1833" t="s">
        <v>2623</v>
      </c>
      <c r="M71" s="1819" t="str">
        <f>'Part I-Project Information'!M46</f>
        <v>www.longcountyeda.com/ludowici</v>
      </c>
      <c r="N71" s="1819"/>
      <c r="O71" s="1819"/>
      <c r="P71" s="1819"/>
      <c r="Q71" s="1819"/>
      <c r="R71" s="1819"/>
      <c r="S71" s="1819"/>
      <c r="T71" s="1819"/>
      <c r="U71" s="1819"/>
    </row>
    <row r="72" spans="1:21" ht="13.8">
      <c r="A72" s="1821"/>
      <c r="B72" s="1819" t="s">
        <v>619</v>
      </c>
      <c r="C72" s="1819"/>
      <c r="D72" s="1819"/>
      <c r="E72" s="1819"/>
      <c r="F72" s="1882" t="str">
        <f>'Part I-Project Information'!F47</f>
        <v>James Fuller, Jr.</v>
      </c>
      <c r="G72" s="1882"/>
      <c r="H72" s="1882"/>
      <c r="I72" s="1821" t="s">
        <v>1931</v>
      </c>
      <c r="J72" s="1819" t="str">
        <f>'Part I-Project Information'!J47</f>
        <v>Mayor</v>
      </c>
      <c r="K72" s="1819"/>
      <c r="L72" s="1833"/>
      <c r="M72" s="1819"/>
      <c r="N72" s="1819"/>
      <c r="O72" s="1819"/>
      <c r="P72" s="1819"/>
      <c r="Q72" s="1819"/>
      <c r="R72" s="1819"/>
      <c r="S72" s="1819"/>
      <c r="T72" s="1819"/>
      <c r="U72" s="1819"/>
    </row>
    <row r="73" spans="1:21" ht="13.8">
      <c r="A73" s="1821"/>
      <c r="B73" s="1819" t="s">
        <v>1932</v>
      </c>
      <c r="C73" s="1819"/>
      <c r="D73" s="1819"/>
      <c r="E73" s="1819"/>
      <c r="F73" s="1882" t="str">
        <f>'Part I-Project Information'!F48</f>
        <v>469 N. Main St.</v>
      </c>
      <c r="G73" s="1882"/>
      <c r="H73" s="1882"/>
      <c r="I73" s="1882"/>
      <c r="J73" s="1882"/>
      <c r="K73" s="1882"/>
      <c r="L73" s="1823" t="s">
        <v>599</v>
      </c>
      <c r="M73" s="1882" t="str">
        <f>'Part I-Project Information'!M48</f>
        <v>Ludowici</v>
      </c>
      <c r="N73" s="1882"/>
      <c r="O73" s="1882"/>
      <c r="P73" s="1882"/>
      <c r="Q73" s="1819"/>
      <c r="R73" s="1819"/>
      <c r="S73" s="1819"/>
      <c r="T73" s="1819"/>
      <c r="U73" s="1819"/>
    </row>
    <row r="74" spans="1:21" ht="13.8">
      <c r="A74" s="1821"/>
      <c r="B74" s="1823" t="s">
        <v>2171</v>
      </c>
      <c r="C74" s="1819"/>
      <c r="D74" s="1819"/>
      <c r="E74" s="1819"/>
      <c r="F74" s="2187">
        <f>'Part I-Project Information'!F49</f>
        <v>313160000</v>
      </c>
      <c r="G74" s="2187"/>
      <c r="H74" s="1821" t="s">
        <v>1933</v>
      </c>
      <c r="I74" s="2188" t="str">
        <f>'Part I-Project Information'!I49</f>
        <v>(912) 545-0038</v>
      </c>
      <c r="J74" s="2188"/>
      <c r="K74" s="2188"/>
      <c r="L74" s="1823" t="s">
        <v>1754</v>
      </c>
      <c r="M74" s="1882" t="str">
        <f>'Part I-Project Information'!M49</f>
        <v>coludowici@alltell.net</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1749</v>
      </c>
      <c r="B76" s="1819" t="s">
        <v>1443</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1934</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2235</v>
      </c>
      <c r="D79" s="1819"/>
      <c r="E79" s="1819"/>
      <c r="F79" s="1827"/>
      <c r="G79" s="1827"/>
      <c r="H79" s="1834">
        <f>'Part I-Project Information'!H54</f>
        <v>0</v>
      </c>
      <c r="I79" s="1827"/>
      <c r="J79" s="1827"/>
      <c r="K79" s="1823" t="s">
        <v>3496</v>
      </c>
      <c r="L79" s="1819"/>
      <c r="M79" s="1955" t="s">
        <v>3495</v>
      </c>
      <c r="N79" s="1834">
        <f>'Part I-Project Information'!N54</f>
        <v>0</v>
      </c>
      <c r="O79" s="1868" t="s">
        <v>3248</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40</v>
      </c>
      <c r="I81" s="1836" t="s">
        <v>2804</v>
      </c>
      <c r="J81" s="1819"/>
      <c r="K81" s="1819" t="s">
        <v>343</v>
      </c>
      <c r="L81" s="1819"/>
      <c r="M81" s="1819"/>
      <c r="N81" s="1819"/>
      <c r="O81" s="1819"/>
      <c r="P81" s="2192">
        <f>'Part I-Project Information'!P56</f>
        <v>36631</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1936</v>
      </c>
      <c r="C83" s="1819" t="s">
        <v>2236</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730</v>
      </c>
      <c r="C85" s="1819" t="s">
        <v>2216</v>
      </c>
      <c r="D85" s="1819"/>
      <c r="E85" s="1819"/>
      <c r="F85" s="1819"/>
      <c r="G85" s="1819"/>
      <c r="H85" s="1819"/>
      <c r="I85" s="1829" t="s">
        <v>3430</v>
      </c>
      <c r="J85" s="1826" t="s">
        <v>2063</v>
      </c>
      <c r="K85" s="1827" t="s">
        <v>2241</v>
      </c>
      <c r="L85" s="1819"/>
      <c r="M85" s="1819"/>
      <c r="N85" s="1819"/>
      <c r="O85" s="1819"/>
      <c r="P85" s="1821"/>
      <c r="Q85" s="1821"/>
      <c r="R85" s="1821"/>
      <c r="S85" s="1819"/>
      <c r="T85" s="1819"/>
      <c r="U85" s="1819"/>
    </row>
    <row r="86" spans="1:21" ht="13.8">
      <c r="A86" s="1821"/>
      <c r="B86" s="1838"/>
      <c r="C86" s="1827" t="s">
        <v>2217</v>
      </c>
      <c r="D86" s="1819"/>
      <c r="E86" s="1819"/>
      <c r="F86" s="1819"/>
      <c r="G86" s="1819"/>
      <c r="H86" s="1839">
        <f>SUM(H87:H93)</f>
        <v>40</v>
      </c>
      <c r="I86" s="1839">
        <f>SUM(I87:I93)</f>
        <v>0</v>
      </c>
      <c r="J86" s="1821"/>
      <c r="K86" s="1827" t="s">
        <v>2680</v>
      </c>
      <c r="L86" s="1819"/>
      <c r="M86" s="1819"/>
      <c r="N86" s="1819"/>
      <c r="O86" s="1819"/>
      <c r="P86" s="1839">
        <f>SUM(P87:P93)</f>
        <v>35100</v>
      </c>
      <c r="Q86" s="1819"/>
      <c r="R86" s="1819"/>
      <c r="S86" s="1819"/>
      <c r="T86" s="1819"/>
      <c r="U86" s="1819"/>
    </row>
    <row r="87" spans="1:21" ht="13.8">
      <c r="A87" s="1821"/>
      <c r="B87" s="1838"/>
      <c r="C87" s="1827"/>
      <c r="D87" s="1827" t="s">
        <v>4213</v>
      </c>
      <c r="E87" s="1819"/>
      <c r="F87" s="1819"/>
      <c r="G87" s="1819"/>
      <c r="H87" s="1834">
        <f>'Part I-Project Information'!H62</f>
        <v>0</v>
      </c>
      <c r="I87" s="1834">
        <f>'Part I-Project Information'!I62</f>
        <v>0</v>
      </c>
      <c r="J87" s="1821"/>
      <c r="K87" s="1827"/>
      <c r="L87" s="1827" t="s">
        <v>4213</v>
      </c>
      <c r="M87" s="1819"/>
      <c r="N87" s="1819"/>
      <c r="O87" s="1819"/>
      <c r="P87" s="1834">
        <f>'Part I-Project Information'!P62</f>
        <v>0</v>
      </c>
      <c r="Q87" s="1819"/>
      <c r="R87" s="1819"/>
      <c r="S87" s="1819"/>
      <c r="T87" s="1819"/>
      <c r="U87" s="1819"/>
    </row>
    <row r="88" spans="1:21" ht="13.8">
      <c r="A88" s="1821"/>
      <c r="B88" s="1838"/>
      <c r="C88" s="1827"/>
      <c r="D88" s="1827" t="s">
        <v>4214</v>
      </c>
      <c r="E88" s="1819"/>
      <c r="F88" s="1819"/>
      <c r="G88" s="1819"/>
      <c r="H88" s="1834">
        <f>'Part I-Project Information'!H63</f>
        <v>0</v>
      </c>
      <c r="I88" s="1834">
        <f>'Part I-Project Information'!I63</f>
        <v>0</v>
      </c>
      <c r="J88" s="1821"/>
      <c r="K88" s="1827"/>
      <c r="L88" s="1827" t="s">
        <v>4214</v>
      </c>
      <c r="M88" s="1819"/>
      <c r="N88" s="1819"/>
      <c r="O88" s="1819"/>
      <c r="P88" s="1834">
        <f>'Part I-Project Information'!P63</f>
        <v>0</v>
      </c>
      <c r="Q88" s="1819"/>
      <c r="R88" s="1819"/>
      <c r="S88" s="1819"/>
      <c r="T88" s="1819"/>
      <c r="U88" s="1819"/>
    </row>
    <row r="89" spans="1:21" ht="13.8">
      <c r="A89" s="1821"/>
      <c r="B89" s="1827"/>
      <c r="C89" s="1819"/>
      <c r="D89" s="1827" t="s">
        <v>4211</v>
      </c>
      <c r="E89" s="1827"/>
      <c r="F89" s="1819"/>
      <c r="G89" s="1819"/>
      <c r="H89" s="1834">
        <f>'Part I-Project Information'!H64</f>
        <v>0</v>
      </c>
      <c r="I89" s="1834">
        <f>'Part I-Project Information'!I64</f>
        <v>0</v>
      </c>
      <c r="J89" s="1819"/>
      <c r="K89" s="1819"/>
      <c r="L89" s="1827" t="s">
        <v>4211</v>
      </c>
      <c r="M89" s="1819"/>
      <c r="N89" s="1819"/>
      <c r="O89" s="1819"/>
      <c r="P89" s="1834">
        <f>'Part I-Project Information'!P64</f>
        <v>0</v>
      </c>
      <c r="Q89" s="1819"/>
      <c r="R89" s="1819"/>
      <c r="S89" s="1819"/>
      <c r="T89" s="1819"/>
      <c r="U89" s="1819"/>
    </row>
    <row r="90" spans="1:21" ht="13.8">
      <c r="A90" s="1821"/>
      <c r="B90" s="1819"/>
      <c r="C90" s="1819"/>
      <c r="D90" s="1827" t="s">
        <v>4212</v>
      </c>
      <c r="E90" s="1819"/>
      <c r="F90" s="1819"/>
      <c r="G90" s="1819"/>
      <c r="H90" s="1834">
        <f>'Part I-Project Information'!H65</f>
        <v>40</v>
      </c>
      <c r="I90" s="1834">
        <f>'Part I-Project Information'!I65</f>
        <v>0</v>
      </c>
      <c r="J90" s="1819"/>
      <c r="K90" s="1819"/>
      <c r="L90" s="1827" t="s">
        <v>4212</v>
      </c>
      <c r="M90" s="1819"/>
      <c r="N90" s="1819"/>
      <c r="O90" s="1819"/>
      <c r="P90" s="1834">
        <f>'Part I-Project Information'!P65</f>
        <v>35100</v>
      </c>
      <c r="Q90" s="1819"/>
      <c r="R90" s="1819"/>
      <c r="S90" s="1819"/>
      <c r="T90" s="1819"/>
      <c r="U90" s="1819"/>
    </row>
    <row r="91" spans="1:21" ht="13.8">
      <c r="A91" s="1821"/>
      <c r="B91" s="1819"/>
      <c r="C91" s="1819"/>
      <c r="D91" s="1827" t="s">
        <v>4215</v>
      </c>
      <c r="E91" s="1827"/>
      <c r="F91" s="1819"/>
      <c r="G91" s="1819"/>
      <c r="H91" s="1834">
        <f>'Part I-Project Information'!H66</f>
        <v>0</v>
      </c>
      <c r="I91" s="1834">
        <f>'Part I-Project Information'!I66</f>
        <v>0</v>
      </c>
      <c r="J91" s="1819"/>
      <c r="K91" s="1819"/>
      <c r="L91" s="1827" t="s">
        <v>4215</v>
      </c>
      <c r="M91" s="1819"/>
      <c r="N91" s="1819"/>
      <c r="O91" s="1819"/>
      <c r="P91" s="1834">
        <f>'Part I-Project Information'!P66</f>
        <v>0</v>
      </c>
      <c r="Q91" s="1819"/>
      <c r="R91" s="1819"/>
      <c r="S91" s="1819"/>
      <c r="T91" s="1819"/>
      <c r="U91" s="1819"/>
    </row>
    <row r="92" spans="1:21" ht="13.8">
      <c r="A92" s="1821"/>
      <c r="B92" s="1819"/>
      <c r="C92" s="1819"/>
      <c r="D92" s="1827" t="s">
        <v>4216</v>
      </c>
      <c r="E92" s="1827"/>
      <c r="F92" s="1819"/>
      <c r="G92" s="1819"/>
      <c r="H92" s="1834">
        <f>'Part I-Project Information'!H67</f>
        <v>0</v>
      </c>
      <c r="I92" s="1834">
        <f>'Part I-Project Information'!I67</f>
        <v>0</v>
      </c>
      <c r="J92" s="1819"/>
      <c r="K92" s="1819"/>
      <c r="L92" s="1827" t="s">
        <v>4216</v>
      </c>
      <c r="M92" s="1819"/>
      <c r="N92" s="1819"/>
      <c r="O92" s="1819"/>
      <c r="P92" s="1834">
        <f>'Part I-Project Information'!P67</f>
        <v>0</v>
      </c>
      <c r="Q92" s="1819"/>
      <c r="R92" s="1819"/>
      <c r="S92" s="1819"/>
      <c r="T92" s="1819"/>
      <c r="U92" s="1819"/>
    </row>
    <row r="93" spans="1:21" ht="13.8">
      <c r="A93" s="1821"/>
      <c r="B93" s="1819"/>
      <c r="C93" s="1819"/>
      <c r="D93" s="1827" t="s">
        <v>4217</v>
      </c>
      <c r="E93" s="1827"/>
      <c r="F93" s="1819"/>
      <c r="G93" s="1819"/>
      <c r="H93" s="1834">
        <f>'Part I-Project Information'!H68</f>
        <v>0</v>
      </c>
      <c r="I93" s="1834">
        <f>'Part I-Project Information'!I68</f>
        <v>0</v>
      </c>
      <c r="J93" s="1819"/>
      <c r="K93" s="1819"/>
      <c r="L93" s="1827" t="s">
        <v>4217</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2681</v>
      </c>
      <c r="L94" s="1819"/>
      <c r="M94" s="1819"/>
      <c r="N94" s="1819"/>
      <c r="O94" s="1819"/>
      <c r="P94" s="1839">
        <f>'Part VI-Revenues &amp; Expenses'!$P$167</f>
        <v>0</v>
      </c>
      <c r="Q94" s="1819"/>
      <c r="R94" s="1819"/>
      <c r="S94" s="1819"/>
      <c r="T94" s="1819"/>
      <c r="U94" s="1819"/>
    </row>
    <row r="95" spans="1:21" ht="13.8">
      <c r="A95" s="1821"/>
      <c r="B95" s="1819"/>
      <c r="C95" s="1827" t="s">
        <v>2343</v>
      </c>
      <c r="D95" s="1819"/>
      <c r="E95" s="1819"/>
      <c r="F95" s="1819"/>
      <c r="G95" s="1819"/>
      <c r="H95" s="1839">
        <f>H86+H94</f>
        <v>40</v>
      </c>
      <c r="I95" s="1819"/>
      <c r="J95" s="1821"/>
      <c r="K95" s="1827" t="s">
        <v>2682</v>
      </c>
      <c r="L95" s="1819"/>
      <c r="M95" s="1819"/>
      <c r="N95" s="1819"/>
      <c r="O95" s="1819"/>
      <c r="P95" s="1839">
        <f>P86+P94</f>
        <v>35100</v>
      </c>
      <c r="Q95" s="1819"/>
      <c r="R95" s="1819"/>
      <c r="S95" s="1819"/>
      <c r="T95" s="1819"/>
      <c r="U95" s="1819"/>
    </row>
    <row r="96" spans="1:21" ht="13.8">
      <c r="A96" s="1821"/>
      <c r="B96" s="1819"/>
      <c r="C96" s="1827" t="s">
        <v>2344</v>
      </c>
      <c r="D96" s="1819"/>
      <c r="E96" s="1819"/>
      <c r="F96" s="1819"/>
      <c r="G96" s="1819"/>
      <c r="H96" s="1839">
        <f>'Part VI-Revenues &amp; Expenses'!$P$66</f>
        <v>0</v>
      </c>
      <c r="I96" s="1819"/>
      <c r="J96" s="1821"/>
      <c r="K96" s="1827" t="s">
        <v>2683</v>
      </c>
      <c r="L96" s="1819"/>
      <c r="M96" s="1819"/>
      <c r="N96" s="1819"/>
      <c r="O96" s="1819"/>
      <c r="P96" s="1839">
        <f>'Part VI-Revenues &amp; Expenses'!$P$169</f>
        <v>0</v>
      </c>
      <c r="Q96" s="1819"/>
      <c r="R96" s="1819"/>
      <c r="S96" s="1819"/>
      <c r="T96" s="1819"/>
      <c r="U96" s="1819"/>
    </row>
    <row r="97" spans="1:21" ht="13.8">
      <c r="A97" s="1821"/>
      <c r="B97" s="1819"/>
      <c r="C97" s="1827" t="s">
        <v>1748</v>
      </c>
      <c r="D97" s="1819"/>
      <c r="E97" s="1819"/>
      <c r="F97" s="1819"/>
      <c r="G97" s="1819"/>
      <c r="H97" s="1839">
        <f>+H95+H96</f>
        <v>40</v>
      </c>
      <c r="I97" s="1819"/>
      <c r="J97" s="1819"/>
      <c r="K97" s="1827" t="s">
        <v>1391</v>
      </c>
      <c r="L97" s="1819"/>
      <c r="M97" s="1819"/>
      <c r="N97" s="1819"/>
      <c r="O97" s="1819"/>
      <c r="P97" s="1839">
        <f>+P95+P96</f>
        <v>35100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1691</v>
      </c>
      <c r="C99" s="1819" t="s">
        <v>2237</v>
      </c>
      <c r="D99" s="1827" t="s">
        <v>1947</v>
      </c>
      <c r="E99" s="1819"/>
      <c r="F99" s="1819"/>
      <c r="G99" s="1819"/>
      <c r="H99" s="1839">
        <f>'Part I-Project Information'!H74</f>
        <v>8</v>
      </c>
      <c r="I99" s="1819"/>
      <c r="J99" s="1819"/>
      <c r="K99" s="1827" t="s">
        <v>6814</v>
      </c>
      <c r="L99" s="1819"/>
      <c r="M99" s="1819"/>
      <c r="N99" s="1819"/>
      <c r="O99" s="1819"/>
      <c r="P99" s="1839">
        <f>'Part I-Project Information'!P74</f>
        <v>3000</v>
      </c>
      <c r="Q99" s="1819"/>
      <c r="R99" s="1819"/>
      <c r="S99" s="1819"/>
      <c r="T99" s="1819"/>
      <c r="U99" s="1819"/>
    </row>
    <row r="100" spans="1:21" ht="13.8">
      <c r="A100" s="1821"/>
      <c r="B100" s="1821"/>
      <c r="C100" s="1819"/>
      <c r="D100" s="1838" t="s">
        <v>1948</v>
      </c>
      <c r="E100" s="1819"/>
      <c r="F100" s="1819"/>
      <c r="G100" s="1819"/>
      <c r="H100" s="1839">
        <f>'Part I-Project Information'!H75</f>
        <v>0</v>
      </c>
      <c r="I100" s="1819"/>
      <c r="J100" s="1819"/>
      <c r="K100" s="1827" t="s">
        <v>247</v>
      </c>
      <c r="L100" s="1819"/>
      <c r="M100" s="1819"/>
      <c r="N100" s="1819"/>
      <c r="O100" s="1819"/>
      <c r="P100" s="1839">
        <f>+P97+P99</f>
        <v>38100</v>
      </c>
      <c r="Q100" s="1819"/>
      <c r="R100" s="1819"/>
      <c r="S100" s="1819"/>
      <c r="T100" s="1819"/>
      <c r="U100" s="1819"/>
    </row>
    <row r="101" spans="1:21" ht="13.8">
      <c r="A101" s="1821"/>
      <c r="B101" s="1821"/>
      <c r="C101" s="1819"/>
      <c r="D101" s="1838" t="s">
        <v>1949</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1692</v>
      </c>
      <c r="C103" s="1819" t="s">
        <v>2740</v>
      </c>
      <c r="D103" s="1819"/>
      <c r="E103" s="1819"/>
      <c r="F103" s="1819"/>
      <c r="G103" s="1819"/>
      <c r="H103" s="1839">
        <f>'Part I-Project Information'!H78</f>
        <v>70</v>
      </c>
      <c r="I103" s="1819"/>
      <c r="J103" s="1819"/>
      <c r="K103" s="1844" t="s">
        <v>3633</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515</v>
      </c>
      <c r="B105" s="1827" t="s">
        <v>1165</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1934</v>
      </c>
      <c r="C107" s="1823" t="s">
        <v>6815</v>
      </c>
      <c r="D107" s="1838"/>
      <c r="E107" s="1838"/>
      <c r="F107" s="1819"/>
      <c r="G107" s="1821"/>
      <c r="H107" s="1819" t="str">
        <f>'Part I-Project Information'!H82</f>
        <v>Family</v>
      </c>
      <c r="I107" s="1819"/>
      <c r="J107" s="1819"/>
      <c r="K107" s="1819" t="s">
        <v>1727</v>
      </c>
      <c r="L107" s="1819"/>
      <c r="M107" s="1819" t="str">
        <f>'Part I-Project Information'!M82</f>
        <v>N/A</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2805</v>
      </c>
      <c r="M109" s="1839">
        <f>'Part I-Project Information'!M84</f>
        <v>40</v>
      </c>
      <c r="N109" s="1840" t="s">
        <v>2806</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2807</v>
      </c>
      <c r="M110" s="1839">
        <f>'Part I-Project Information'!M85</f>
        <v>0</v>
      </c>
      <c r="N110" s="1826" t="s">
        <v>3648</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1936</v>
      </c>
      <c r="C112" s="1819" t="s">
        <v>1383</v>
      </c>
      <c r="D112" s="1819"/>
      <c r="E112" s="1827"/>
      <c r="F112" s="1838" t="s">
        <v>775</v>
      </c>
      <c r="G112" s="1819"/>
      <c r="H112" s="1834">
        <f>'Part I-Project Information'!H87</f>
        <v>3</v>
      </c>
      <c r="I112" s="1819"/>
      <c r="J112" s="1819"/>
      <c r="K112" s="1819" t="s">
        <v>505</v>
      </c>
      <c r="L112" s="1819"/>
      <c r="M112" s="1819"/>
      <c r="N112" s="1841">
        <f>'Part I-Project Information'!N87</f>
        <v>7.4999999999999997E-2</v>
      </c>
      <c r="O112" s="1826" t="s">
        <v>3515</v>
      </c>
      <c r="P112" s="1842">
        <f>'DCA Underwriting Assumptions'!$Q$154</f>
        <v>0.05</v>
      </c>
      <c r="Q112" s="1819"/>
      <c r="R112" s="1819"/>
      <c r="S112" s="1819"/>
      <c r="T112" s="1819"/>
      <c r="U112" s="1819"/>
    </row>
    <row r="113" spans="1:21" ht="13.8">
      <c r="A113" s="1821"/>
      <c r="B113" s="1821"/>
      <c r="C113" s="1819"/>
      <c r="D113" s="1838" t="s">
        <v>2738</v>
      </c>
      <c r="E113" s="1838"/>
      <c r="F113" s="1838" t="s">
        <v>775</v>
      </c>
      <c r="G113" s="1819"/>
      <c r="H113" s="1834">
        <f>'Part I-Project Information'!H88</f>
        <v>3</v>
      </c>
      <c r="I113" s="1819"/>
      <c r="J113" s="1819"/>
      <c r="K113" s="1819" t="s">
        <v>2739</v>
      </c>
      <c r="L113" s="1819"/>
      <c r="M113" s="1819"/>
      <c r="N113" s="1841">
        <f>'Part I-Project Information'!N88</f>
        <v>1</v>
      </c>
      <c r="O113" s="1826" t="s">
        <v>3515</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730</v>
      </c>
      <c r="C115" s="1819" t="s">
        <v>1796</v>
      </c>
      <c r="D115" s="1827"/>
      <c r="E115" s="1827"/>
      <c r="F115" s="1838" t="s">
        <v>775</v>
      </c>
      <c r="G115" s="1819"/>
      <c r="H115" s="1834">
        <f>'Part I-Project Information'!H90</f>
        <v>1</v>
      </c>
      <c r="I115" s="1819"/>
      <c r="J115" s="1819"/>
      <c r="K115" s="1819" t="s">
        <v>505</v>
      </c>
      <c r="L115" s="1819"/>
      <c r="M115" s="1819"/>
      <c r="N115" s="1841">
        <f>'Part I-Project Information'!N90</f>
        <v>2.5000000000000001E-2</v>
      </c>
      <c r="O115" s="1826" t="s">
        <v>3515</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753</v>
      </c>
      <c r="B117" s="1838" t="s">
        <v>4323</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1934</v>
      </c>
      <c r="C119" s="1823" t="s">
        <v>2314</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1936</v>
      </c>
      <c r="C121" s="1819" t="s">
        <v>1501</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1991</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1934</v>
      </c>
      <c r="C125" s="1819" t="s">
        <v>2626</v>
      </c>
      <c r="D125" s="1819"/>
      <c r="E125" s="1819"/>
      <c r="F125" s="1827" t="s">
        <v>2531</v>
      </c>
      <c r="G125" s="1819"/>
      <c r="H125" s="1821" t="str">
        <f>'Part I-Project Information'!H100</f>
        <v>No</v>
      </c>
      <c r="I125" s="1819"/>
      <c r="J125" s="1819"/>
      <c r="K125" s="1823" t="s">
        <v>3662</v>
      </c>
      <c r="L125" s="1819"/>
      <c r="M125" s="1819"/>
      <c r="N125" s="1819"/>
      <c r="O125" s="1819"/>
      <c r="P125" s="1821" t="str">
        <f>'Part I-Project Information'!P100</f>
        <v>Yes</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4226</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1936</v>
      </c>
      <c r="C128" s="1819" t="s">
        <v>2627</v>
      </c>
      <c r="D128" s="1819"/>
      <c r="E128" s="1819"/>
      <c r="F128" s="1823" t="s">
        <v>2601</v>
      </c>
      <c r="G128" s="1819"/>
      <c r="H128" s="1821" t="str">
        <f>'Part I-Project Information'!H103</f>
        <v>No</v>
      </c>
      <c r="I128" s="1819"/>
      <c r="J128" s="1821"/>
      <c r="K128" s="1843" t="s">
        <v>2628</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2690</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1163</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535</v>
      </c>
      <c r="D134" s="1819"/>
      <c r="E134" s="1819">
        <f>'Part I-Project Information'!E109</f>
        <v>0</v>
      </c>
      <c r="F134" s="1819"/>
      <c r="G134" s="1819"/>
      <c r="H134" s="1819"/>
      <c r="I134" s="1819"/>
      <c r="J134" s="1819"/>
      <c r="K134" s="1819"/>
      <c r="L134" s="1819"/>
      <c r="M134" s="1827" t="s">
        <v>536</v>
      </c>
      <c r="N134" s="1827"/>
      <c r="O134" s="2193">
        <f>'Part I-Project Information'!O109</f>
        <v>0</v>
      </c>
      <c r="P134" s="2193"/>
      <c r="Q134" s="1819"/>
      <c r="R134" s="1819"/>
      <c r="S134" s="1819"/>
      <c r="T134" s="1819"/>
      <c r="U134" s="1819"/>
    </row>
    <row r="135" spans="1:21" ht="13.8">
      <c r="A135" s="1819"/>
      <c r="B135" s="1819"/>
      <c r="C135" s="1823" t="s">
        <v>998</v>
      </c>
      <c r="D135" s="1826"/>
      <c r="E135" s="1819">
        <f>'Part I-Project Information'!E110</f>
        <v>0</v>
      </c>
      <c r="F135" s="1819"/>
      <c r="G135" s="1819"/>
      <c r="H135" s="1819"/>
      <c r="I135" s="1819"/>
      <c r="J135" s="1819"/>
      <c r="K135" s="1819"/>
      <c r="L135" s="1819"/>
      <c r="M135" s="1827" t="s">
        <v>787</v>
      </c>
      <c r="N135" s="1827"/>
      <c r="O135" s="1965">
        <f>'Part I-Project Information'!O110</f>
        <v>0</v>
      </c>
      <c r="P135" s="1965"/>
      <c r="Q135" s="1819"/>
      <c r="R135" s="1819"/>
      <c r="S135" s="1819"/>
      <c r="T135" s="1819"/>
      <c r="U135" s="1819"/>
    </row>
    <row r="136" spans="1:21" ht="13.8">
      <c r="A136" s="1819"/>
      <c r="B136" s="1819"/>
      <c r="C136" s="1823" t="s">
        <v>599</v>
      </c>
      <c r="D136" s="1819"/>
      <c r="E136" s="1819">
        <f>'Part I-Project Information'!E111</f>
        <v>0</v>
      </c>
      <c r="F136" s="1819"/>
      <c r="G136" s="1819"/>
      <c r="H136" s="1821" t="s">
        <v>1753</v>
      </c>
      <c r="I136" s="1823">
        <f>'Part I-Project Information'!I111</f>
        <v>0</v>
      </c>
      <c r="J136" s="1821" t="s">
        <v>2171</v>
      </c>
      <c r="K136" s="2187">
        <f>'Part I-Project Information'!K111</f>
        <v>0</v>
      </c>
      <c r="L136" s="2187"/>
      <c r="M136" s="1827" t="s">
        <v>3486</v>
      </c>
      <c r="N136" s="1827"/>
      <c r="O136" s="1857">
        <f>'Part I-Project Information'!O111</f>
        <v>0</v>
      </c>
      <c r="P136" s="1857"/>
      <c r="Q136" s="1819"/>
      <c r="R136" s="1819"/>
      <c r="S136" s="1819"/>
      <c r="T136" s="1819"/>
      <c r="U136" s="1819"/>
    </row>
    <row r="137" spans="1:21" ht="13.8">
      <c r="A137" s="1819"/>
      <c r="B137" s="1819"/>
      <c r="C137" s="1819" t="s">
        <v>2142</v>
      </c>
      <c r="D137" s="1819"/>
      <c r="E137" s="1819">
        <f>'Part I-Project Information'!E112</f>
        <v>0</v>
      </c>
      <c r="F137" s="1819"/>
      <c r="G137" s="1819"/>
      <c r="H137" s="1821" t="s">
        <v>1931</v>
      </c>
      <c r="I137" s="1819">
        <f>'Part I-Project Information'!I112</f>
        <v>0</v>
      </c>
      <c r="J137" s="1819"/>
      <c r="K137" s="1819"/>
      <c r="L137" s="1821" t="s">
        <v>1935</v>
      </c>
      <c r="M137" s="1819">
        <f>'Part I-Project Information'!M112</f>
        <v>0</v>
      </c>
      <c r="N137" s="1819"/>
      <c r="O137" s="1819"/>
      <c r="P137" s="1819"/>
      <c r="Q137" s="1819"/>
      <c r="R137" s="1819"/>
      <c r="S137" s="1819"/>
      <c r="T137" s="1819"/>
      <c r="U137" s="1819"/>
    </row>
    <row r="138" spans="1:21" ht="13.8">
      <c r="A138" s="1819"/>
      <c r="B138" s="1819"/>
      <c r="C138" s="1823" t="s">
        <v>2141</v>
      </c>
      <c r="D138" s="1819"/>
      <c r="E138" s="2188">
        <f>'Part I-Project Information'!E113</f>
        <v>0</v>
      </c>
      <c r="F138" s="2188"/>
      <c r="G138" s="2188"/>
      <c r="H138" s="1821" t="s">
        <v>1755</v>
      </c>
      <c r="I138" s="2188">
        <f>'Part I-Project Information'!I113</f>
        <v>0</v>
      </c>
      <c r="J138" s="2188"/>
      <c r="K138" s="1821" t="s">
        <v>2623</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1629</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2101</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1934</v>
      </c>
      <c r="C144" s="1838" t="s">
        <v>1384</v>
      </c>
      <c r="D144" s="1838"/>
      <c r="E144" s="1838"/>
      <c r="F144" s="1821"/>
      <c r="G144" s="1821"/>
      <c r="H144" s="1829">
        <f>'Part I-Project Information'!H119</f>
        <v>3</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1936</v>
      </c>
      <c r="C146" s="1838" t="s">
        <v>408</v>
      </c>
      <c r="D146" s="1838"/>
      <c r="E146" s="1838"/>
      <c r="F146" s="1821"/>
      <c r="G146" s="1821"/>
      <c r="H146" s="1829">
        <f>'Part I-Project Information'!H121</f>
        <v>2175000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730</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2083</v>
      </c>
      <c r="D149" s="1838"/>
      <c r="E149" s="1819"/>
      <c r="F149" s="1838" t="s">
        <v>1111</v>
      </c>
      <c r="G149" s="1821"/>
      <c r="H149" s="1821"/>
      <c r="I149" s="1821" t="s">
        <v>1267</v>
      </c>
      <c r="J149" s="1838" t="s">
        <v>2083</v>
      </c>
      <c r="K149" s="1838"/>
      <c r="L149" s="1819"/>
      <c r="M149" s="1838" t="s">
        <v>1111</v>
      </c>
      <c r="N149" s="1821"/>
      <c r="O149" s="1821"/>
      <c r="P149" s="1821" t="s">
        <v>1267</v>
      </c>
      <c r="Q149" s="1819"/>
      <c r="R149" s="1819"/>
      <c r="S149" s="1819"/>
      <c r="T149" s="1819"/>
      <c r="U149" s="1819"/>
    </row>
    <row r="150" spans="1:21" ht="13.8">
      <c r="A150" s="1821"/>
      <c r="B150" s="1821"/>
      <c r="C150" s="1849" t="str">
        <f>'Part I-Project Information'!C125</f>
        <v>MVAH Partners LLC</v>
      </c>
      <c r="D150" s="1849"/>
      <c r="E150" s="1849"/>
      <c r="F150" s="1849" t="str">
        <f>'Part I-Project Information'!F125</f>
        <v>Jesup Commons</v>
      </c>
      <c r="G150" s="1849"/>
      <c r="H150" s="1849"/>
      <c r="I150" s="2074" t="str">
        <f>'Part I-Project Information'!I125</f>
        <v>Indirect</v>
      </c>
      <c r="J150" s="1849" t="str">
        <f>'Part I-Project Information'!J125</f>
        <v>MVAH Holding LLC</v>
      </c>
      <c r="K150" s="1849"/>
      <c r="L150" s="1849"/>
      <c r="M150" s="1849" t="str">
        <f>'Part I-Project Information'!M125</f>
        <v>Twin Oaks Commons</v>
      </c>
      <c r="N150" s="1849"/>
      <c r="O150" s="1849"/>
      <c r="P150" s="2074" t="str">
        <f>'Part I-Project Information'!P125</f>
        <v>Indirect</v>
      </c>
      <c r="Q150" s="1819"/>
      <c r="R150" s="1819"/>
      <c r="S150" s="1819"/>
      <c r="T150" s="1819"/>
      <c r="U150" s="1819"/>
    </row>
    <row r="151" spans="1:21" ht="13.8">
      <c r="A151" s="1821"/>
      <c r="B151" s="1821"/>
      <c r="C151" s="1849" t="str">
        <f>'Part I-Project Information'!C126</f>
        <v>MVAH Development LLC</v>
      </c>
      <c r="D151" s="1849"/>
      <c r="E151" s="1849"/>
      <c r="F151" s="1849" t="str">
        <f>'Part I-Project Information'!F126</f>
        <v>Jesup Commons</v>
      </c>
      <c r="G151" s="1849"/>
      <c r="H151" s="1849"/>
      <c r="I151" s="2074" t="str">
        <f>'Part I-Project Information'!I126</f>
        <v>Both</v>
      </c>
      <c r="J151" s="1849" t="str">
        <f>'Part I-Project Information'!J126</f>
        <v>MVAH Twin Oaks Commons LLC</v>
      </c>
      <c r="K151" s="1849"/>
      <c r="L151" s="1849"/>
      <c r="M151" s="1849" t="str">
        <f>'Part I-Project Information'!M126</f>
        <v>Twin Oaks Commons</v>
      </c>
      <c r="N151" s="1849"/>
      <c r="O151" s="1849"/>
      <c r="P151" s="2074" t="str">
        <f>'Part I-Project Information'!P126</f>
        <v>Direct</v>
      </c>
      <c r="Q151" s="1819"/>
      <c r="R151" s="1819"/>
      <c r="S151" s="1819"/>
      <c r="T151" s="1819"/>
      <c r="U151" s="1819"/>
    </row>
    <row r="152" spans="1:21" ht="13.8">
      <c r="A152" s="1821"/>
      <c r="B152" s="1821"/>
      <c r="C152" s="1849" t="str">
        <f>'Part I-Project Information'!C127</f>
        <v>MVAH Holding LLC</v>
      </c>
      <c r="D152" s="1849"/>
      <c r="E152" s="1849"/>
      <c r="F152" s="1849" t="str">
        <f>'Part I-Project Information'!F127</f>
        <v>Jesup Commons</v>
      </c>
      <c r="G152" s="1849"/>
      <c r="H152" s="1849"/>
      <c r="I152" s="2074" t="str">
        <f>'Part I-Project Information'!I127</f>
        <v>Indirect</v>
      </c>
      <c r="J152" s="1849" t="str">
        <f>'Part I-Project Information'!J127</f>
        <v>MVAH Partners LLC</v>
      </c>
      <c r="K152" s="1849"/>
      <c r="L152" s="1849"/>
      <c r="M152" s="1849" t="str">
        <f>'Part I-Project Information'!M127</f>
        <v>Evans Commons</v>
      </c>
      <c r="N152" s="1849"/>
      <c r="O152" s="1849"/>
      <c r="P152" s="2074" t="str">
        <f>'Part I-Project Information'!P127</f>
        <v>Indirect</v>
      </c>
      <c r="Q152" s="1819"/>
      <c r="R152" s="1819"/>
      <c r="S152" s="1819"/>
      <c r="T152" s="1819"/>
      <c r="U152" s="1819"/>
    </row>
    <row r="153" spans="1:21" ht="13.8">
      <c r="A153" s="1821"/>
      <c r="B153" s="1821"/>
      <c r="C153" s="1849" t="str">
        <f>'Part I-Project Information'!C128</f>
        <v>MVAH Jesup Commons LLC</v>
      </c>
      <c r="D153" s="1849"/>
      <c r="E153" s="1849"/>
      <c r="F153" s="1849" t="str">
        <f>'Part I-Project Information'!F128</f>
        <v>Jesup Commons</v>
      </c>
      <c r="G153" s="1849"/>
      <c r="H153" s="1849"/>
      <c r="I153" s="2074" t="str">
        <f>'Part I-Project Information'!I128</f>
        <v>Direct</v>
      </c>
      <c r="J153" s="1849" t="str">
        <f>'Part I-Project Information'!J128</f>
        <v>MVAH Development LLC</v>
      </c>
      <c r="K153" s="1849"/>
      <c r="L153" s="1849"/>
      <c r="M153" s="1849" t="str">
        <f>'Part I-Project Information'!M128</f>
        <v>Evans Commons</v>
      </c>
      <c r="N153" s="1849"/>
      <c r="O153" s="1849"/>
      <c r="P153" s="2074" t="str">
        <f>'Part I-Project Information'!P128</f>
        <v>Both</v>
      </c>
      <c r="Q153" s="1819"/>
      <c r="R153" s="1819"/>
      <c r="S153" s="1819"/>
      <c r="T153" s="1819"/>
      <c r="U153" s="1819"/>
    </row>
    <row r="154" spans="1:21" ht="13.8">
      <c r="A154" s="1821"/>
      <c r="B154" s="1821"/>
      <c r="C154" s="1849" t="str">
        <f>'Part I-Project Information'!C129</f>
        <v>MVAH Partners LLC</v>
      </c>
      <c r="D154" s="1849"/>
      <c r="E154" s="1849"/>
      <c r="F154" s="1849" t="str">
        <f>'Part I-Project Information'!F129</f>
        <v>Twin Oaks Commons</v>
      </c>
      <c r="G154" s="1849"/>
      <c r="H154" s="1849"/>
      <c r="I154" s="2074" t="str">
        <f>'Part I-Project Information'!I129</f>
        <v>Indirect</v>
      </c>
      <c r="J154" s="1849" t="str">
        <f>'Part I-Project Information'!J129</f>
        <v>MVAH Holding LLC</v>
      </c>
      <c r="K154" s="1849"/>
      <c r="L154" s="1849"/>
      <c r="M154" s="1849" t="str">
        <f>'Part I-Project Information'!M129</f>
        <v>Evans Commons</v>
      </c>
      <c r="N154" s="1849"/>
      <c r="O154" s="1849"/>
      <c r="P154" s="2074" t="str">
        <f>'Part I-Project Information'!P129</f>
        <v>Indirect</v>
      </c>
      <c r="Q154" s="1819"/>
      <c r="R154" s="1819"/>
      <c r="S154" s="1819"/>
      <c r="T154" s="1819"/>
      <c r="U154" s="1819"/>
    </row>
    <row r="155" spans="1:21" ht="13.8">
      <c r="A155" s="1821"/>
      <c r="B155" s="1821"/>
      <c r="C155" s="1849" t="str">
        <f>'Part I-Project Information'!C130</f>
        <v>MVAH Development LLC</v>
      </c>
      <c r="D155" s="1849"/>
      <c r="E155" s="1849"/>
      <c r="F155" s="1849" t="str">
        <f>'Part I-Project Information'!F130</f>
        <v>Twin Oaks Commons</v>
      </c>
      <c r="G155" s="1849"/>
      <c r="H155" s="1849"/>
      <c r="I155" s="2074" t="str">
        <f>'Part I-Project Information'!I130</f>
        <v>Both</v>
      </c>
      <c r="J155" s="1849" t="str">
        <f>'Part I-Project Information'!J130</f>
        <v>MVAH Evans Commons LLC</v>
      </c>
      <c r="K155" s="1849"/>
      <c r="L155" s="1849"/>
      <c r="M155" s="1849" t="str">
        <f>'Part I-Project Information'!M130</f>
        <v>Evans Commons</v>
      </c>
      <c r="N155" s="1849"/>
      <c r="O155" s="1849"/>
      <c r="P155" s="2074" t="str">
        <f>'Part I-Project Information'!P130</f>
        <v>Direct</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2063</v>
      </c>
      <c r="C157" s="1827" t="s">
        <v>1799</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2083</v>
      </c>
      <c r="D159" s="1838"/>
      <c r="E159" s="1819"/>
      <c r="F159" s="1838" t="s">
        <v>1111</v>
      </c>
      <c r="G159" s="1821"/>
      <c r="H159" s="1821"/>
      <c r="I159" s="1821"/>
      <c r="J159" s="1838" t="s">
        <v>2083</v>
      </c>
      <c r="K159" s="1838"/>
      <c r="L159" s="1819"/>
      <c r="M159" s="1838" t="s">
        <v>1111</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Yes</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1934</v>
      </c>
      <c r="C169" s="1823" t="s">
        <v>1670</v>
      </c>
      <c r="D169" s="1819"/>
      <c r="E169" s="1819"/>
      <c r="F169" s="1819"/>
      <c r="G169" s="1819"/>
      <c r="H169" s="1819"/>
      <c r="I169" s="1821" t="str">
        <f>'Part I-Project Information'!I144</f>
        <v>Yes</v>
      </c>
      <c r="J169" s="1819"/>
      <c r="K169" s="1819"/>
      <c r="L169" s="1819"/>
      <c r="M169" s="1821"/>
      <c r="N169" s="1819"/>
      <c r="O169" s="1819"/>
      <c r="P169" s="1828"/>
      <c r="Q169" s="1819"/>
      <c r="R169" s="1819"/>
      <c r="S169" s="1819"/>
      <c r="T169" s="1819"/>
      <c r="U169" s="1819"/>
    </row>
    <row r="170" spans="1:21" ht="13.8">
      <c r="A170" s="1821"/>
      <c r="B170" s="1821"/>
      <c r="C170" s="1838" t="s">
        <v>2355</v>
      </c>
      <c r="D170" s="1838"/>
      <c r="E170" s="1838"/>
      <c r="F170" s="1821"/>
      <c r="G170" s="1819"/>
      <c r="H170" s="1819"/>
      <c r="I170" s="2194">
        <f>'Part I-Project Information'!I145</f>
        <v>1998</v>
      </c>
      <c r="J170" s="1819"/>
      <c r="K170" s="1819"/>
      <c r="L170" s="1819"/>
      <c r="M170" s="1819"/>
      <c r="N170" s="1819"/>
      <c r="O170" s="1819"/>
      <c r="P170" s="1828"/>
      <c r="Q170" s="1819"/>
      <c r="R170" s="1819"/>
      <c r="S170" s="1819"/>
      <c r="T170" s="1819"/>
      <c r="U170" s="1819"/>
    </row>
    <row r="171" spans="1:21" ht="13.8">
      <c r="A171" s="1821"/>
      <c r="B171" s="1821"/>
      <c r="C171" s="1844" t="s">
        <v>1669</v>
      </c>
      <c r="D171" s="1823"/>
      <c r="E171" s="1819"/>
      <c r="F171" s="1819"/>
      <c r="G171" s="1819"/>
      <c r="H171" s="1819"/>
      <c r="I171" s="1821" t="str">
        <f>'Part I-Project Information'!I146</f>
        <v>98-019</v>
      </c>
      <c r="J171" s="1819"/>
      <c r="K171" s="1819"/>
      <c r="L171" s="1819"/>
      <c r="M171" s="1819"/>
      <c r="N171" s="1819"/>
      <c r="O171" s="1819"/>
      <c r="P171" s="1828"/>
      <c r="Q171" s="1819"/>
      <c r="R171" s="1819"/>
      <c r="S171" s="1819"/>
      <c r="T171" s="1819"/>
      <c r="U171" s="1819"/>
    </row>
    <row r="172" spans="1:21" ht="13.8">
      <c r="A172" s="1821"/>
      <c r="B172" s="1821"/>
      <c r="C172" s="1838" t="s">
        <v>2356</v>
      </c>
      <c r="D172" s="1838"/>
      <c r="E172" s="1838"/>
      <c r="F172" s="1821"/>
      <c r="G172" s="1819"/>
      <c r="H172" s="1819"/>
      <c r="I172" s="2194">
        <f>'Part I-Project Information'!I147</f>
        <v>2000</v>
      </c>
      <c r="J172" s="1819"/>
      <c r="K172" s="1827" t="s">
        <v>2186</v>
      </c>
      <c r="L172" s="1819"/>
      <c r="M172" s="1819"/>
      <c r="N172" s="1819"/>
      <c r="O172" s="1819" t="str">
        <f>'Part I-Project Information'!O147</f>
        <v>GA-98-01901</v>
      </c>
      <c r="P172" s="1819"/>
      <c r="Q172" s="1819"/>
      <c r="R172" s="1819"/>
      <c r="S172" s="1819"/>
      <c r="T172" s="1819"/>
      <c r="U172" s="1819"/>
    </row>
    <row r="173" spans="1:21" ht="13.8">
      <c r="A173" s="1821"/>
      <c r="B173" s="1821"/>
      <c r="C173" s="1838" t="s">
        <v>2354</v>
      </c>
      <c r="D173" s="1819"/>
      <c r="E173" s="1819"/>
      <c r="F173" s="1821"/>
      <c r="G173" s="1819"/>
      <c r="H173" s="1819"/>
      <c r="I173" s="1829" t="str">
        <f>'Part I-Project Information'!I148</f>
        <v>Yes</v>
      </c>
      <c r="J173" s="1819"/>
      <c r="K173" s="1827" t="s">
        <v>2187</v>
      </c>
      <c r="L173" s="1819"/>
      <c r="M173" s="1819"/>
      <c r="N173" s="1819"/>
      <c r="O173" s="1819" t="str">
        <f>'Part I-Project Information'!O148</f>
        <v>GA-98-01908</v>
      </c>
      <c r="P173" s="1819"/>
      <c r="Q173" s="1819"/>
      <c r="R173" s="1819"/>
      <c r="S173" s="1819"/>
      <c r="T173" s="1819"/>
      <c r="U173" s="1819"/>
    </row>
    <row r="174" spans="1:21" ht="13.8">
      <c r="A174" s="1821"/>
      <c r="B174" s="1821"/>
      <c r="C174" s="1838" t="s">
        <v>2114</v>
      </c>
      <c r="D174" s="1838"/>
      <c r="E174" s="1838"/>
      <c r="F174" s="1821"/>
      <c r="G174" s="1819"/>
      <c r="H174" s="1819"/>
      <c r="I174" s="2193" t="str">
        <f>'Part I-Project Information'!I149</f>
        <v>2015 (Completed)</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1936</v>
      </c>
      <c r="C176" s="1870" t="s">
        <v>2620</v>
      </c>
      <c r="D176" s="1838"/>
      <c r="E176" s="1827" t="s">
        <v>6918</v>
      </c>
      <c r="F176" s="1827"/>
      <c r="G176" s="1827"/>
      <c r="H176" s="1819"/>
      <c r="I176" s="1829">
        <f>'Part I-Project Information'!I151</f>
        <v>0</v>
      </c>
      <c r="J176" s="1819"/>
      <c r="K176" s="1827" t="s">
        <v>4463</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730</v>
      </c>
      <c r="C179" s="1838" t="s">
        <v>4460</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1682</v>
      </c>
      <c r="B181" s="1827" t="s">
        <v>1164</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1934</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1494</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4270</v>
      </c>
      <c r="H185" s="1819"/>
      <c r="I185" s="1839">
        <f>'Part I-Project Information'!I160</f>
        <v>0</v>
      </c>
      <c r="J185" s="1819"/>
      <c r="K185" s="1823" t="s">
        <v>1750</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4269</v>
      </c>
      <c r="H186" s="1819"/>
      <c r="I186" s="1839">
        <f>'Part I-Project Information'!I161</f>
        <v>0</v>
      </c>
      <c r="J186" s="1819"/>
      <c r="K186" s="1823" t="s">
        <v>1750</v>
      </c>
      <c r="L186" s="1819"/>
      <c r="M186" s="1819"/>
      <c r="N186" s="1819"/>
      <c r="O186" s="1819"/>
      <c r="P186" s="1845">
        <f>'Part I-Project Information'!P161</f>
        <v>0</v>
      </c>
      <c r="Q186" s="1819"/>
      <c r="R186" s="1819"/>
      <c r="S186" s="1819"/>
      <c r="T186" s="1819"/>
      <c r="U186" s="1819"/>
    </row>
    <row r="187" spans="1:21" ht="13.8">
      <c r="A187" s="1821"/>
      <c r="B187" s="1821"/>
      <c r="C187" s="1823" t="s">
        <v>4271</v>
      </c>
      <c r="D187" s="1819"/>
      <c r="E187" s="1819"/>
      <c r="F187" s="1819"/>
      <c r="G187" s="1819"/>
      <c r="H187" s="1819"/>
      <c r="I187" s="1839">
        <f>'Part I-Project Information'!I162</f>
        <v>0</v>
      </c>
      <c r="J187" s="1819"/>
      <c r="K187" s="1823" t="s">
        <v>1750</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1751</v>
      </c>
      <c r="D189" s="1819">
        <f>'Part I-Project Information'!D164</f>
        <v>0</v>
      </c>
      <c r="E189" s="1819"/>
      <c r="F189" s="1819"/>
      <c r="G189" s="1819"/>
      <c r="H189" s="1819"/>
      <c r="I189" s="1823" t="s">
        <v>4224</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4225</v>
      </c>
      <c r="D190" s="1819">
        <f>'Part I-Project Information'!D165</f>
        <v>0</v>
      </c>
      <c r="E190" s="1819"/>
      <c r="F190" s="1819"/>
      <c r="G190" s="1819"/>
      <c r="H190" s="1819"/>
      <c r="I190" s="1819" t="s">
        <v>1752</v>
      </c>
      <c r="J190" s="1819">
        <f>'Part I-Project Information'!J165</f>
        <v>0</v>
      </c>
      <c r="K190" s="1819"/>
      <c r="L190" s="1819"/>
      <c r="M190" s="1819" t="s">
        <v>1931</v>
      </c>
      <c r="N190" s="1819">
        <f>'Part I-Project Information'!N165</f>
        <v>0</v>
      </c>
      <c r="O190" s="1819"/>
      <c r="P190" s="1819"/>
      <c r="Q190" s="1819"/>
      <c r="R190" s="1819"/>
      <c r="S190" s="1819"/>
      <c r="T190" s="1819"/>
      <c r="U190" s="1819"/>
    </row>
    <row r="191" spans="1:21" ht="13.8">
      <c r="A191" s="1821"/>
      <c r="B191" s="1821"/>
      <c r="C191" s="1823" t="s">
        <v>599</v>
      </c>
      <c r="D191" s="1819">
        <f>'Part I-Project Information'!D166</f>
        <v>0</v>
      </c>
      <c r="E191" s="1819"/>
      <c r="F191" s="1819" t="s">
        <v>2171</v>
      </c>
      <c r="G191" s="2187">
        <f>'Part I-Project Information'!G166</f>
        <v>0</v>
      </c>
      <c r="H191" s="2187"/>
      <c r="I191" s="1823" t="s">
        <v>1755</v>
      </c>
      <c r="J191" s="2188">
        <f>'Part I-Project Information'!J166</f>
        <v>0</v>
      </c>
      <c r="K191" s="2188"/>
      <c r="L191" s="2188"/>
      <c r="M191" s="1819" t="s">
        <v>1930</v>
      </c>
      <c r="N191" s="2188">
        <f>'Part I-Project Information'!N166</f>
        <v>0</v>
      </c>
      <c r="O191" s="2188"/>
      <c r="P191" s="2188"/>
      <c r="Q191" s="1819"/>
      <c r="R191" s="1819"/>
      <c r="S191" s="1819"/>
      <c r="T191" s="1819"/>
      <c r="U191" s="1819"/>
    </row>
    <row r="192" spans="1:21" ht="13.8">
      <c r="A192" s="1821"/>
      <c r="B192" s="1821"/>
      <c r="C192" s="1819" t="s">
        <v>2623</v>
      </c>
      <c r="D192" s="1819">
        <f>'Part I-Project Information'!D167</f>
        <v>0</v>
      </c>
      <c r="E192" s="1819"/>
      <c r="F192" s="1819"/>
      <c r="G192" s="1819"/>
      <c r="H192" s="1819"/>
      <c r="I192" s="1823" t="s">
        <v>1754</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4272</v>
      </c>
      <c r="D193" s="1819"/>
      <c r="E193" s="1846"/>
      <c r="F193" s="1846"/>
      <c r="G193" s="1846"/>
      <c r="H193" s="1821"/>
      <c r="I193" s="1829">
        <f>'Part I-Project Information'!I168</f>
        <v>0</v>
      </c>
      <c r="J193" s="1827" t="s">
        <v>742</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1936</v>
      </c>
      <c r="C195" s="1823" t="s">
        <v>2621</v>
      </c>
      <c r="D195" s="1823"/>
      <c r="E195" s="1823"/>
      <c r="F195" s="1823"/>
      <c r="G195" s="1823"/>
      <c r="H195" s="1819"/>
      <c r="I195" s="1829" t="str">
        <f>'Part I-Project Information'!I170</f>
        <v>Yes</v>
      </c>
      <c r="J195" s="1819" t="s">
        <v>742</v>
      </c>
      <c r="K195" s="1819"/>
      <c r="L195" s="1829">
        <f>'Part I-Project Information'!L170</f>
        <v>2021</v>
      </c>
      <c r="M195" s="1819" t="s">
        <v>2265</v>
      </c>
      <c r="N195" s="1819"/>
      <c r="O195" s="1819"/>
      <c r="P195" s="1829">
        <f>'Part I-Project Information'!P170</f>
        <v>5</v>
      </c>
      <c r="Q195" s="1819"/>
      <c r="R195" s="1819"/>
      <c r="S195" s="1819"/>
      <c r="T195" s="1819"/>
      <c r="U195" s="1819"/>
    </row>
    <row r="196" spans="1:21" ht="13.8">
      <c r="A196" s="1821"/>
      <c r="B196" s="1821"/>
      <c r="C196" s="1823" t="s">
        <v>2622</v>
      </c>
      <c r="D196" s="1823"/>
      <c r="E196" s="1823"/>
      <c r="F196" s="1823"/>
      <c r="G196" s="1823"/>
      <c r="H196" s="1819"/>
      <c r="I196" s="1829" t="str">
        <f>'Part I-Project Information'!I171</f>
        <v>Yes</v>
      </c>
      <c r="J196" s="1819" t="s">
        <v>742</v>
      </c>
      <c r="K196" s="1819"/>
      <c r="L196" s="1829">
        <f>'Part I-Project Information'!L171</f>
        <v>2037</v>
      </c>
      <c r="M196" s="1819" t="s">
        <v>2265</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730</v>
      </c>
      <c r="C198" s="1823" t="s">
        <v>1712</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2063</v>
      </c>
      <c r="C200" s="1819" t="s">
        <v>1929</v>
      </c>
      <c r="D200" s="1819"/>
      <c r="E200" s="1819"/>
      <c r="F200" s="1819"/>
      <c r="G200" s="1823"/>
      <c r="H200" s="1819"/>
      <c r="I200" s="1829" t="str">
        <f>'Part I-Project Information'!I175</f>
        <v>Yes</v>
      </c>
      <c r="J200" s="1847" t="s">
        <v>2663</v>
      </c>
      <c r="K200" s="1819"/>
      <c r="L200" s="1819" t="s">
        <v>6920</v>
      </c>
      <c r="M200" s="1819"/>
      <c r="N200" s="1823"/>
      <c r="O200" s="1823"/>
      <c r="P200" s="1829">
        <f>'Part I-Project Information'!P175</f>
        <v>40</v>
      </c>
      <c r="Q200" s="1819"/>
      <c r="R200" s="1819"/>
      <c r="S200" s="1819"/>
      <c r="T200" s="1819"/>
      <c r="U200" s="1819"/>
    </row>
    <row r="201" spans="1:21" ht="13.8">
      <c r="A201" s="1819"/>
      <c r="B201" s="1821"/>
      <c r="C201" s="1819"/>
      <c r="D201" s="1819"/>
      <c r="E201" s="1819"/>
      <c r="F201" s="1819"/>
      <c r="G201" s="1819"/>
      <c r="H201" s="1819"/>
      <c r="I201" s="1819"/>
      <c r="J201" s="1819"/>
      <c r="K201" s="1819"/>
      <c r="L201" s="1819" t="s">
        <v>776</v>
      </c>
      <c r="M201" s="1819"/>
      <c r="N201" s="1838"/>
      <c r="O201" s="1838"/>
      <c r="P201" s="1829">
        <f>'Part I-Project Information'!P176</f>
        <v>34</v>
      </c>
      <c r="Q201" s="1819"/>
      <c r="R201" s="1819"/>
      <c r="S201" s="1819"/>
      <c r="T201" s="1819"/>
      <c r="U201" s="1819"/>
    </row>
    <row r="202" spans="1:21" ht="13.8">
      <c r="A202" s="1821"/>
      <c r="B202" s="1821"/>
      <c r="C202" s="1819"/>
      <c r="D202" s="1819"/>
      <c r="E202" s="1819"/>
      <c r="F202" s="1819"/>
      <c r="G202" s="1819"/>
      <c r="H202" s="1819"/>
      <c r="I202" s="1819"/>
      <c r="J202" s="1819"/>
      <c r="K202" s="1819"/>
      <c r="L202" s="1819" t="s">
        <v>1746</v>
      </c>
      <c r="M202" s="1819"/>
      <c r="N202" s="1838"/>
      <c r="O202" s="1838"/>
      <c r="P202" s="2066">
        <f>IF(P200="","",P201/P200)</f>
        <v>0.85</v>
      </c>
      <c r="Q202" s="1819"/>
      <c r="R202" s="1819"/>
      <c r="S202" s="1819"/>
      <c r="T202" s="1819"/>
      <c r="U202" s="1819"/>
    </row>
    <row r="203" spans="1:21" ht="13.8">
      <c r="A203" s="1821"/>
      <c r="B203" s="1821" t="s">
        <v>1691</v>
      </c>
      <c r="C203" s="1823" t="s">
        <v>1575</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2154</v>
      </c>
      <c r="D204" s="1819"/>
      <c r="E204" s="1819"/>
      <c r="F204" s="1819"/>
      <c r="G204" s="1819"/>
      <c r="H204" s="1819"/>
      <c r="I204" s="1829" t="str">
        <f>'Part I-Project Information'!I179</f>
        <v>No</v>
      </c>
      <c r="J204" s="1819"/>
      <c r="K204" s="1819"/>
      <c r="L204" s="1819" t="s">
        <v>1576</v>
      </c>
      <c r="M204" s="1819"/>
      <c r="N204" s="1819"/>
      <c r="O204" s="1819"/>
      <c r="P204" s="1829" t="str">
        <f>'Part I-Project Information'!P179</f>
        <v>Yes</v>
      </c>
      <c r="Q204" s="1819"/>
      <c r="R204" s="1819"/>
      <c r="S204" s="1819"/>
      <c r="T204" s="1819"/>
      <c r="U204" s="1819"/>
    </row>
    <row r="205" spans="1:21" ht="13.8">
      <c r="A205" s="1821"/>
      <c r="B205" s="1821"/>
      <c r="C205" s="1819" t="s">
        <v>2155</v>
      </c>
      <c r="D205" s="1819"/>
      <c r="E205" s="1819"/>
      <c r="F205" s="1819"/>
      <c r="G205" s="1819"/>
      <c r="H205" s="1819"/>
      <c r="I205" s="1829" t="str">
        <f>'Part I-Project Information'!I180</f>
        <v>No</v>
      </c>
      <c r="J205" s="1819"/>
      <c r="K205" s="1819"/>
      <c r="L205" s="1819" t="s">
        <v>2743</v>
      </c>
      <c r="M205" s="1819"/>
      <c r="N205" s="1819"/>
      <c r="O205" s="1819"/>
      <c r="P205" s="1829" t="str">
        <f>'Part I-Project Information'!P180</f>
        <v>No</v>
      </c>
      <c r="Q205" s="1819"/>
      <c r="R205" s="1819"/>
      <c r="S205" s="1819"/>
      <c r="T205" s="1819"/>
      <c r="U205" s="1819"/>
    </row>
    <row r="206" spans="1:21" ht="13.8">
      <c r="A206" s="1821"/>
      <c r="B206" s="1819"/>
      <c r="C206" s="1819" t="s">
        <v>2639</v>
      </c>
      <c r="D206" s="1819"/>
      <c r="E206" s="1819"/>
      <c r="F206" s="1819"/>
      <c r="G206" s="1819"/>
      <c r="H206" s="1819"/>
      <c r="I206" s="1829" t="str">
        <f>'Part I-Project Information'!I181</f>
        <v>No</v>
      </c>
      <c r="J206" s="1819"/>
      <c r="K206" s="1819"/>
      <c r="L206" s="1819" t="s">
        <v>2610</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1258</v>
      </c>
      <c r="D207" s="1849"/>
      <c r="E207" s="1819"/>
      <c r="F207" s="1819"/>
      <c r="G207" s="1819"/>
      <c r="H207" s="1819"/>
      <c r="I207" s="1829" t="str">
        <f>'Part I-Project Information'!I182</f>
        <v>No</v>
      </c>
      <c r="J207" s="1819"/>
      <c r="K207" s="1819"/>
      <c r="L207" s="1819" t="s">
        <v>3359</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2664</v>
      </c>
      <c r="K208" s="1819"/>
      <c r="L208" s="1819"/>
      <c r="M208" s="1819"/>
      <c r="N208" s="1819"/>
      <c r="O208" s="2195">
        <f>'Part I-Project Information'!O183</f>
        <v>0</v>
      </c>
      <c r="P208" s="2195"/>
      <c r="Q208" s="1819"/>
      <c r="R208" s="1819"/>
      <c r="S208" s="1819"/>
      <c r="T208" s="1819"/>
      <c r="U208" s="1819"/>
    </row>
    <row r="209" spans="1:21" ht="13.8">
      <c r="A209" s="1821"/>
      <c r="B209" s="1819"/>
      <c r="C209" s="1819" t="s">
        <v>1760</v>
      </c>
      <c r="D209" s="1819"/>
      <c r="E209" s="1819"/>
      <c r="F209" s="1819"/>
      <c r="G209" s="1819"/>
      <c r="H209" s="1819"/>
      <c r="I209" s="1829" t="str">
        <f>'Part I-Project Information'!I184</f>
        <v>No</v>
      </c>
      <c r="J209" s="1847" t="s">
        <v>2664</v>
      </c>
      <c r="K209" s="1819"/>
      <c r="L209" s="1819"/>
      <c r="M209" s="1819"/>
      <c r="N209" s="1819"/>
      <c r="O209" s="2195">
        <f>'Part I-Project Information'!O184</f>
        <v>0</v>
      </c>
      <c r="P209" s="2195"/>
      <c r="Q209" s="1819"/>
      <c r="R209" s="1819"/>
      <c r="S209" s="1819"/>
      <c r="T209" s="1819"/>
      <c r="U209" s="1819"/>
    </row>
    <row r="210" spans="1:21" ht="13.8">
      <c r="A210" s="1821"/>
      <c r="B210" s="1821"/>
      <c r="C210" s="1819" t="s">
        <v>2797</v>
      </c>
      <c r="D210" s="1819"/>
      <c r="E210" s="1819"/>
      <c r="F210" s="1819"/>
      <c r="G210" s="1819"/>
      <c r="H210" s="1819"/>
      <c r="I210" s="1829" t="str">
        <f>'Part I-Project Information'!I185</f>
        <v>No</v>
      </c>
      <c r="J210" s="1847" t="s">
        <v>2664</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1692</v>
      </c>
      <c r="C212" s="1823" t="s">
        <v>720</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620</v>
      </c>
      <c r="D213" s="1838"/>
      <c r="E213" s="1838"/>
      <c r="F213" s="1821"/>
      <c r="G213" s="1821"/>
      <c r="H213" s="2193">
        <f>'Part I-Project Information'!H188</f>
        <v>44348</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44713</v>
      </c>
      <c r="I214" s="2193"/>
      <c r="J214" s="1819"/>
      <c r="K214" s="1819"/>
      <c r="L214" s="1819"/>
      <c r="M214" s="1819"/>
      <c r="N214" s="1819"/>
      <c r="O214" s="1819"/>
      <c r="P214" s="1828"/>
      <c r="Q214" s="1819"/>
      <c r="R214" s="1819"/>
      <c r="S214" s="1819"/>
      <c r="T214" s="1819"/>
      <c r="U214" s="1819"/>
    </row>
    <row r="215" spans="1:21" ht="13.8">
      <c r="A215" s="1821"/>
      <c r="B215" s="1821"/>
      <c r="C215" s="1823" t="s">
        <v>2235</v>
      </c>
      <c r="D215" s="1838"/>
      <c r="E215" s="1838"/>
      <c r="F215" s="1821"/>
      <c r="G215" s="1821"/>
      <c r="H215" s="2193">
        <f>'Part I-Project Information'!H190</f>
        <v>0</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2689</v>
      </c>
      <c r="B217" s="1827"/>
      <c r="C217" s="1827" t="s">
        <v>554</v>
      </c>
      <c r="D217" s="1827"/>
      <c r="E217" s="1827"/>
      <c r="F217" s="1827"/>
      <c r="G217" s="1827"/>
      <c r="H217" s="1827"/>
      <c r="I217" s="1827"/>
      <c r="J217" s="1827"/>
      <c r="K217" s="1827"/>
      <c r="L217" s="1827"/>
      <c r="M217" s="1827" t="s">
        <v>2192</v>
      </c>
      <c r="N217" s="1827" t="s">
        <v>77</v>
      </c>
      <c r="O217" s="1827"/>
      <c r="P217" s="1827"/>
      <c r="Q217" s="1827"/>
      <c r="R217" s="1827"/>
      <c r="S217" s="1827"/>
      <c r="T217" s="1827"/>
      <c r="U217" s="1827"/>
    </row>
    <row r="218" spans="1:21" ht="13.2" customHeight="1">
      <c r="A218" s="1887" t="str">
        <f>'Part I-Project Information'!A193</f>
        <v>MVAH Partners LLC owns MVAH Development LLC (co-developer), MVAH Twin Oaks Commons LLC (managing general partner / member), and MVAH Management LLC (management company). Vacant units have not be re-leased. Applicant agrees to extending cancellation option in lines with the QAP and the appropiate scoring item.</v>
      </c>
      <c r="B218" s="1887"/>
      <c r="C218" s="1887"/>
      <c r="D218" s="1887"/>
      <c r="E218" s="1887"/>
      <c r="F218" s="1887"/>
      <c r="G218" s="1887"/>
      <c r="H218" s="1887"/>
      <c r="I218" s="1887"/>
      <c r="J218" s="1887"/>
      <c r="K218" s="1887"/>
      <c r="L218" s="1887"/>
      <c r="M218" s="1887">
        <f>'Part I-Project Information'!M193</f>
        <v>0</v>
      </c>
      <c r="N218" s="1887"/>
      <c r="O218" s="1887"/>
      <c r="P218" s="1887"/>
      <c r="Q218" s="1973" t="s">
        <v>2612</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2020-050 Twin Oaks Commons,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4092</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597</v>
      </c>
      <c r="B224" s="1823" t="s">
        <v>1810</v>
      </c>
      <c r="C224" s="1823"/>
      <c r="D224" s="1819"/>
      <c r="E224" s="1823"/>
      <c r="F224" s="1823"/>
      <c r="G224" s="1823"/>
      <c r="H224" s="1820" t="s">
        <v>3891</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1934</v>
      </c>
      <c r="C226" s="1823" t="s">
        <v>1806</v>
      </c>
      <c r="D226" s="1819"/>
      <c r="E226" s="1819"/>
      <c r="F226" s="1819"/>
      <c r="G226" s="1819"/>
      <c r="H226" s="1819" t="str">
        <f>'Part II-Development Team'!H5</f>
        <v>Twin Oaks Commons LLC</v>
      </c>
      <c r="I226" s="1827"/>
      <c r="J226" s="1827"/>
      <c r="K226" s="1827"/>
      <c r="L226" s="1827"/>
      <c r="M226" s="1827"/>
      <c r="N226" s="1827"/>
      <c r="O226" s="1823" t="s">
        <v>1940</v>
      </c>
      <c r="P226" s="1823"/>
      <c r="Q226" s="1819" t="str">
        <f>'Part II-Development Team'!Q5</f>
        <v>Brian McGeady</v>
      </c>
      <c r="R226" s="1827"/>
      <c r="S226" s="1827"/>
    </row>
    <row r="227" spans="1:19" ht="13.8">
      <c r="A227" s="1819"/>
      <c r="B227" s="1819"/>
      <c r="C227" s="1819"/>
      <c r="D227" s="1831"/>
      <c r="E227" s="1823" t="s">
        <v>998</v>
      </c>
      <c r="F227" s="1826"/>
      <c r="G227" s="1819"/>
      <c r="H227" s="1819" t="str">
        <f>'Part II-Development Team'!H6</f>
        <v>9100 Centre Pointe Dr., Suite 200</v>
      </c>
      <c r="I227" s="1827"/>
      <c r="J227" s="1827"/>
      <c r="K227" s="1827"/>
      <c r="L227" s="1827"/>
      <c r="M227" s="1827"/>
      <c r="N227" s="1827"/>
      <c r="O227" s="1823" t="s">
        <v>1703</v>
      </c>
      <c r="P227" s="1819"/>
      <c r="Q227" s="1819" t="str">
        <f>'Part II-Development Team'!Q6</f>
        <v>Managing Partner</v>
      </c>
      <c r="R227" s="1827"/>
      <c r="S227" s="1827"/>
    </row>
    <row r="228" spans="1:19" ht="13.8">
      <c r="A228" s="1819"/>
      <c r="B228" s="1819"/>
      <c r="C228" s="1819"/>
      <c r="D228" s="1831"/>
      <c r="E228" s="1823" t="s">
        <v>599</v>
      </c>
      <c r="F228" s="1819"/>
      <c r="G228" s="1819"/>
      <c r="H228" s="1819" t="str">
        <f>'Part II-Development Team'!H7</f>
        <v>West Chester</v>
      </c>
      <c r="I228" s="1827"/>
      <c r="J228" s="1827"/>
      <c r="K228" s="1821" t="s">
        <v>743</v>
      </c>
      <c r="L228" s="1819">
        <f>'Part II-Development Team'!L7</f>
        <v>0</v>
      </c>
      <c r="M228" s="1827"/>
      <c r="N228" s="1827"/>
      <c r="O228" s="1823" t="s">
        <v>1678</v>
      </c>
      <c r="P228" s="1819"/>
      <c r="Q228" s="2188">
        <f>'Part II-Development Team'!Q7</f>
        <v>5139641141</v>
      </c>
      <c r="R228" s="2188"/>
      <c r="S228" s="2188"/>
    </row>
    <row r="229" spans="1:19" ht="13.8">
      <c r="A229" s="1819"/>
      <c r="B229" s="1819"/>
      <c r="C229" s="1819"/>
      <c r="D229" s="1831"/>
      <c r="E229" s="1823" t="s">
        <v>1753</v>
      </c>
      <c r="F229" s="1819"/>
      <c r="G229" s="1819"/>
      <c r="H229" s="1823" t="str">
        <f>'Part II-Development Team'!H8</f>
        <v>OH</v>
      </c>
      <c r="I229" s="1821" t="s">
        <v>2171</v>
      </c>
      <c r="J229" s="2187">
        <f>'Part II-Development Team'!J8</f>
        <v>450694817</v>
      </c>
      <c r="K229" s="1827"/>
      <c r="L229" s="1819" t="s">
        <v>3507</v>
      </c>
      <c r="M229" s="1819" t="str">
        <f>'Part II-Development Team'!M8</f>
        <v>For Profit</v>
      </c>
      <c r="N229" s="1819"/>
      <c r="O229" s="1823" t="s">
        <v>1930</v>
      </c>
      <c r="P229" s="1819"/>
      <c r="Q229" s="2188">
        <f>'Part II-Development Team'!Q8</f>
        <v>5132563810</v>
      </c>
      <c r="R229" s="2188"/>
      <c r="S229" s="2188"/>
    </row>
    <row r="230" spans="1:19" ht="13.8">
      <c r="A230" s="1819"/>
      <c r="B230" s="1819"/>
      <c r="C230" s="1819"/>
      <c r="D230" s="1831"/>
      <c r="E230" s="1823" t="s">
        <v>3892</v>
      </c>
      <c r="F230" s="1819"/>
      <c r="G230" s="1819"/>
      <c r="H230" s="2188">
        <f>'Part II-Development Team'!H9</f>
        <v>5139641141</v>
      </c>
      <c r="I230" s="2188"/>
      <c r="J230" s="1829">
        <f>'Part II-Development Team'!J9</f>
        <v>0</v>
      </c>
      <c r="K230" s="1821" t="s">
        <v>1935</v>
      </c>
      <c r="L230" s="1965" t="str">
        <f>'Part II-Development Team'!L9</f>
        <v>brian.mcgeady@mvahpartners.com</v>
      </c>
      <c r="M230" s="1965"/>
      <c r="N230" s="1965"/>
      <c r="O230" s="1965"/>
      <c r="P230" s="1965"/>
      <c r="Q230" s="1965"/>
      <c r="R230" s="1965"/>
      <c r="S230" s="1965"/>
    </row>
    <row r="231" spans="1:19" ht="13.8">
      <c r="A231" s="1819"/>
      <c r="B231" s="1819"/>
      <c r="C231" s="1819"/>
      <c r="D231" s="1831"/>
      <c r="E231" s="1820" t="s">
        <v>3891</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1936</v>
      </c>
      <c r="C233" s="1823" t="s">
        <v>1807</v>
      </c>
      <c r="D233" s="1819"/>
      <c r="E233" s="1819"/>
      <c r="F233" s="1823"/>
      <c r="G233" s="1823"/>
      <c r="H233" s="1823"/>
      <c r="I233" s="1823"/>
      <c r="J233" s="1819"/>
      <c r="K233" s="1819"/>
      <c r="L233" s="1819"/>
      <c r="M233" s="1819"/>
      <c r="N233" s="2196" t="s">
        <v>1257</v>
      </c>
      <c r="O233" s="1819"/>
      <c r="P233" s="1819"/>
      <c r="Q233" s="1819"/>
      <c r="R233" s="1819"/>
      <c r="S233" s="1819"/>
    </row>
    <row r="234" spans="1:19" ht="13.8">
      <c r="A234" s="1819"/>
      <c r="B234" s="1819"/>
      <c r="C234" s="2068" t="s">
        <v>1937</v>
      </c>
      <c r="D234" s="1827" t="s">
        <v>1938</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2064</v>
      </c>
      <c r="E235" s="1819" t="s">
        <v>1808</v>
      </c>
      <c r="F235" s="1819"/>
      <c r="G235" s="1819"/>
      <c r="H235" s="1819" t="str">
        <f>'Part II-Development Team'!H14</f>
        <v>MVAH Twin Oaks Commons LLC</v>
      </c>
      <c r="I235" s="1827"/>
      <c r="J235" s="1827"/>
      <c r="K235" s="1827"/>
      <c r="L235" s="1827"/>
      <c r="M235" s="1827"/>
      <c r="N235" s="1827"/>
      <c r="O235" s="1823" t="s">
        <v>1940</v>
      </c>
      <c r="P235" s="1823"/>
      <c r="Q235" s="1819" t="str">
        <f>'Part II-Development Team'!Q14</f>
        <v>Brian McGeady</v>
      </c>
      <c r="R235" s="1827"/>
      <c r="S235" s="1827"/>
    </row>
    <row r="236" spans="1:19" ht="13.8">
      <c r="A236" s="1819"/>
      <c r="B236" s="1819"/>
      <c r="C236" s="1819"/>
      <c r="D236" s="1831"/>
      <c r="E236" s="1823" t="s">
        <v>998</v>
      </c>
      <c r="F236" s="1826"/>
      <c r="G236" s="1819"/>
      <c r="H236" s="1819" t="str">
        <f>'Part II-Development Team'!H15</f>
        <v>9100 Centre Pointe Dr.</v>
      </c>
      <c r="I236" s="1827"/>
      <c r="J236" s="1827"/>
      <c r="K236" s="1827"/>
      <c r="L236" s="1827"/>
      <c r="M236" s="1827"/>
      <c r="N236" s="1827"/>
      <c r="O236" s="1823" t="s">
        <v>1703</v>
      </c>
      <c r="P236" s="1819"/>
      <c r="Q236" s="1819" t="str">
        <f>'Part II-Development Team'!Q15</f>
        <v>Managing Partner</v>
      </c>
      <c r="R236" s="1827"/>
      <c r="S236" s="1827"/>
    </row>
    <row r="237" spans="1:19" ht="13.8">
      <c r="A237" s="1819"/>
      <c r="B237" s="1819"/>
      <c r="C237" s="1819"/>
      <c r="D237" s="1831"/>
      <c r="E237" s="1823" t="s">
        <v>599</v>
      </c>
      <c r="F237" s="1819"/>
      <c r="G237" s="1819"/>
      <c r="H237" s="1819" t="str">
        <f>'Part II-Development Team'!H16</f>
        <v>West Chester</v>
      </c>
      <c r="I237" s="1827"/>
      <c r="J237" s="1827"/>
      <c r="K237" s="1821" t="s">
        <v>2623</v>
      </c>
      <c r="L237" s="1819" t="str">
        <f>'Part II-Development Team'!L16</f>
        <v>mvahpartners.com</v>
      </c>
      <c r="M237" s="1827"/>
      <c r="N237" s="1827"/>
      <c r="O237" s="1823" t="s">
        <v>1678</v>
      </c>
      <c r="P237" s="1819"/>
      <c r="Q237" s="2188">
        <f>'Part II-Development Team'!Q16</f>
        <v>5139641141</v>
      </c>
      <c r="R237" s="2188"/>
      <c r="S237" s="2188"/>
    </row>
    <row r="238" spans="1:19" ht="13.8">
      <c r="A238" s="1819"/>
      <c r="B238" s="1819"/>
      <c r="C238" s="1819"/>
      <c r="D238" s="1819"/>
      <c r="E238" s="1823" t="s">
        <v>1753</v>
      </c>
      <c r="F238" s="1819"/>
      <c r="G238" s="1819"/>
      <c r="H238" s="1823" t="str">
        <f>'Part II-Development Team'!H17</f>
        <v>OH</v>
      </c>
      <c r="I238" s="1819"/>
      <c r="J238" s="1819"/>
      <c r="K238" s="1821" t="s">
        <v>2171</v>
      </c>
      <c r="L238" s="2187">
        <f>'Part II-Development Team'!L17</f>
        <v>450694817</v>
      </c>
      <c r="M238" s="1827"/>
      <c r="N238" s="1819"/>
      <c r="O238" s="1823" t="s">
        <v>1930</v>
      </c>
      <c r="P238" s="1819"/>
      <c r="Q238" s="2188">
        <f>'Part II-Development Team'!Q17</f>
        <v>5132563810</v>
      </c>
      <c r="R238" s="2188"/>
      <c r="S238" s="2188"/>
    </row>
    <row r="239" spans="1:19" ht="13.8">
      <c r="A239" s="1819"/>
      <c r="B239" s="1819"/>
      <c r="C239" s="1819"/>
      <c r="D239" s="1831"/>
      <c r="E239" s="1823" t="s">
        <v>3892</v>
      </c>
      <c r="F239" s="1819"/>
      <c r="G239" s="1819"/>
      <c r="H239" s="2188">
        <f>'Part II-Development Team'!H18</f>
        <v>5139641141</v>
      </c>
      <c r="I239" s="2188"/>
      <c r="J239" s="1829">
        <f>'Part II-Development Team'!J18</f>
        <v>0</v>
      </c>
      <c r="K239" s="1821" t="s">
        <v>1935</v>
      </c>
      <c r="L239" s="1965" t="str">
        <f>'Part II-Development Team'!L18</f>
        <v>brian.mcgeady@mvahpartners.com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2065</v>
      </c>
      <c r="E241" s="1819" t="s">
        <v>1809</v>
      </c>
      <c r="F241" s="1819"/>
      <c r="G241" s="1819"/>
      <c r="H241" s="1819" t="str">
        <f>'Part II-Development Team'!H20</f>
        <v>N/A</v>
      </c>
      <c r="I241" s="1827"/>
      <c r="J241" s="1827"/>
      <c r="K241" s="1827"/>
      <c r="L241" s="1827"/>
      <c r="M241" s="1827"/>
      <c r="N241" s="1827"/>
      <c r="O241" s="1823" t="s">
        <v>1940</v>
      </c>
      <c r="P241" s="1823"/>
      <c r="Q241" s="1819">
        <f>'Part II-Development Team'!Q20</f>
        <v>0</v>
      </c>
      <c r="R241" s="1827"/>
      <c r="S241" s="1827"/>
    </row>
    <row r="242" spans="1:19" ht="13.8">
      <c r="A242" s="1819"/>
      <c r="B242" s="1819"/>
      <c r="C242" s="1819"/>
      <c r="D242" s="1831"/>
      <c r="E242" s="1823" t="s">
        <v>998</v>
      </c>
      <c r="F242" s="1826"/>
      <c r="G242" s="1819"/>
      <c r="H242" s="1819">
        <f>'Part II-Development Team'!H21</f>
        <v>0</v>
      </c>
      <c r="I242" s="1827"/>
      <c r="J242" s="1827"/>
      <c r="K242" s="1827"/>
      <c r="L242" s="1827"/>
      <c r="M242" s="1827"/>
      <c r="N242" s="1827"/>
      <c r="O242" s="1823" t="s">
        <v>1703</v>
      </c>
      <c r="P242" s="1819"/>
      <c r="Q242" s="1819">
        <f>'Part II-Development Team'!Q21</f>
        <v>0</v>
      </c>
      <c r="R242" s="1827"/>
      <c r="S242" s="1827"/>
    </row>
    <row r="243" spans="1:19" ht="13.8">
      <c r="A243" s="1819"/>
      <c r="B243" s="1819"/>
      <c r="C243" s="1819"/>
      <c r="D243" s="1831"/>
      <c r="E243" s="1823" t="s">
        <v>599</v>
      </c>
      <c r="F243" s="1819"/>
      <c r="G243" s="1819"/>
      <c r="H243" s="1819">
        <f>'Part II-Development Team'!H22</f>
        <v>0</v>
      </c>
      <c r="I243" s="1827"/>
      <c r="J243" s="1827"/>
      <c r="K243" s="1821" t="s">
        <v>2623</v>
      </c>
      <c r="L243" s="1819">
        <f>'Part II-Development Team'!L22</f>
        <v>0</v>
      </c>
      <c r="M243" s="1827"/>
      <c r="N243" s="1827"/>
      <c r="O243" s="1823" t="s">
        <v>1678</v>
      </c>
      <c r="P243" s="1819"/>
      <c r="Q243" s="2188">
        <f>'Part II-Development Team'!Q22</f>
        <v>0</v>
      </c>
      <c r="R243" s="2188"/>
      <c r="S243" s="2188"/>
    </row>
    <row r="244" spans="1:19" ht="13.8">
      <c r="A244" s="1819"/>
      <c r="B244" s="1819"/>
      <c r="C244" s="1819"/>
      <c r="D244" s="1819"/>
      <c r="E244" s="1823" t="s">
        <v>1753</v>
      </c>
      <c r="F244" s="1819"/>
      <c r="G244" s="1819"/>
      <c r="H244" s="1823">
        <f>'Part II-Development Team'!H23</f>
        <v>0</v>
      </c>
      <c r="I244" s="1819"/>
      <c r="J244" s="1819"/>
      <c r="K244" s="1821" t="s">
        <v>2171</v>
      </c>
      <c r="L244" s="2187">
        <f>'Part II-Development Team'!L23</f>
        <v>0</v>
      </c>
      <c r="M244" s="1827"/>
      <c r="N244" s="1819"/>
      <c r="O244" s="1823" t="s">
        <v>1930</v>
      </c>
      <c r="P244" s="1819"/>
      <c r="Q244" s="2188">
        <f>'Part II-Development Team'!Q23</f>
        <v>0</v>
      </c>
      <c r="R244" s="2188"/>
      <c r="S244" s="2188"/>
    </row>
    <row r="245" spans="1:19" ht="13.8">
      <c r="A245" s="1819"/>
      <c r="B245" s="1819"/>
      <c r="C245" s="1819"/>
      <c r="D245" s="1831"/>
      <c r="E245" s="1823" t="s">
        <v>3892</v>
      </c>
      <c r="F245" s="1819"/>
      <c r="G245" s="1819"/>
      <c r="H245" s="2188">
        <f>'Part II-Development Team'!H24</f>
        <v>0</v>
      </c>
      <c r="I245" s="2188"/>
      <c r="J245" s="1829">
        <f>'Part II-Development Team'!J24</f>
        <v>0</v>
      </c>
      <c r="K245" s="1821" t="s">
        <v>1935</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1690</v>
      </c>
      <c r="E247" s="1819" t="s">
        <v>1809</v>
      </c>
      <c r="F247" s="1819"/>
      <c r="G247" s="1819"/>
      <c r="H247" s="1819" t="str">
        <f>'Part II-Development Team'!H26</f>
        <v>N/A</v>
      </c>
      <c r="I247" s="1827"/>
      <c r="J247" s="1827"/>
      <c r="K247" s="1827"/>
      <c r="L247" s="1827"/>
      <c r="M247" s="1827"/>
      <c r="N247" s="1827"/>
      <c r="O247" s="1823" t="s">
        <v>1940</v>
      </c>
      <c r="P247" s="1823"/>
      <c r="Q247" s="1819">
        <f>'Part II-Development Team'!Q26</f>
        <v>0</v>
      </c>
      <c r="R247" s="1827"/>
      <c r="S247" s="1827"/>
    </row>
    <row r="248" spans="1:19" ht="13.8">
      <c r="A248" s="1819"/>
      <c r="B248" s="1819"/>
      <c r="C248" s="1819"/>
      <c r="D248" s="1831"/>
      <c r="E248" s="1823" t="s">
        <v>998</v>
      </c>
      <c r="F248" s="1826"/>
      <c r="G248" s="1819"/>
      <c r="H248" s="1819">
        <f>'Part II-Development Team'!H27</f>
        <v>0</v>
      </c>
      <c r="I248" s="1827"/>
      <c r="J248" s="1827"/>
      <c r="K248" s="1827"/>
      <c r="L248" s="1827"/>
      <c r="M248" s="1827"/>
      <c r="N248" s="1827"/>
      <c r="O248" s="1823" t="s">
        <v>1703</v>
      </c>
      <c r="P248" s="1819"/>
      <c r="Q248" s="1819">
        <f>'Part II-Development Team'!Q27</f>
        <v>0</v>
      </c>
      <c r="R248" s="1827"/>
      <c r="S248" s="1827"/>
    </row>
    <row r="249" spans="1:19" ht="13.8">
      <c r="A249" s="1819"/>
      <c r="B249" s="1819"/>
      <c r="C249" s="1819"/>
      <c r="D249" s="1831"/>
      <c r="E249" s="1823" t="s">
        <v>599</v>
      </c>
      <c r="F249" s="1819"/>
      <c r="G249" s="1819"/>
      <c r="H249" s="1819">
        <f>'Part II-Development Team'!H28</f>
        <v>0</v>
      </c>
      <c r="I249" s="1827"/>
      <c r="J249" s="1827"/>
      <c r="K249" s="1821" t="s">
        <v>2623</v>
      </c>
      <c r="L249" s="1819">
        <f>'Part II-Development Team'!L28</f>
        <v>0</v>
      </c>
      <c r="M249" s="1827"/>
      <c r="N249" s="1827"/>
      <c r="O249" s="1823" t="s">
        <v>1678</v>
      </c>
      <c r="P249" s="1819"/>
      <c r="Q249" s="2188">
        <f>'Part II-Development Team'!Q28</f>
        <v>0</v>
      </c>
      <c r="R249" s="2188"/>
      <c r="S249" s="2188"/>
    </row>
    <row r="250" spans="1:19" ht="13.8">
      <c r="A250" s="1819"/>
      <c r="B250" s="1819"/>
      <c r="C250" s="1819"/>
      <c r="D250" s="1819"/>
      <c r="E250" s="1823" t="s">
        <v>1753</v>
      </c>
      <c r="F250" s="1819"/>
      <c r="G250" s="1819"/>
      <c r="H250" s="1823">
        <f>'Part II-Development Team'!H29</f>
        <v>0</v>
      </c>
      <c r="I250" s="1819"/>
      <c r="J250" s="1819"/>
      <c r="K250" s="1821" t="s">
        <v>2171</v>
      </c>
      <c r="L250" s="2187">
        <f>'Part II-Development Team'!L29</f>
        <v>0</v>
      </c>
      <c r="M250" s="1827"/>
      <c r="N250" s="1819"/>
      <c r="O250" s="1823" t="s">
        <v>1930</v>
      </c>
      <c r="P250" s="1819"/>
      <c r="Q250" s="2188">
        <f>'Part II-Development Team'!Q29</f>
        <v>0</v>
      </c>
      <c r="R250" s="2188"/>
      <c r="S250" s="2188"/>
    </row>
    <row r="251" spans="1:19" ht="13.8">
      <c r="A251" s="1819"/>
      <c r="B251" s="1819"/>
      <c r="C251" s="1819"/>
      <c r="D251" s="1831"/>
      <c r="E251" s="1823" t="s">
        <v>3892</v>
      </c>
      <c r="F251" s="1819"/>
      <c r="G251" s="1819"/>
      <c r="H251" s="2188">
        <f>'Part II-Development Team'!H30</f>
        <v>0</v>
      </c>
      <c r="I251" s="2188"/>
      <c r="J251" s="1829">
        <f>'Part II-Development Team'!J30</f>
        <v>0</v>
      </c>
      <c r="K251" s="1821" t="s">
        <v>1935</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1939</v>
      </c>
      <c r="D253" s="1827" t="s">
        <v>1811</v>
      </c>
      <c r="E253" s="1819"/>
      <c r="F253" s="1819"/>
      <c r="G253" s="1819"/>
      <c r="H253" s="1819"/>
      <c r="I253" s="1819"/>
      <c r="J253" s="1819"/>
      <c r="K253" s="1820" t="s">
        <v>3891</v>
      </c>
      <c r="L253" s="1819"/>
      <c r="M253" s="1819"/>
      <c r="N253" s="1819"/>
      <c r="O253" s="1819"/>
      <c r="P253" s="1819"/>
      <c r="Q253" s="1819"/>
      <c r="R253" s="1819"/>
      <c r="S253" s="1819"/>
    </row>
    <row r="254" spans="1:19" ht="13.8">
      <c r="A254" s="1819"/>
      <c r="B254" s="1819"/>
      <c r="C254" s="1819"/>
      <c r="D254" s="1819" t="s">
        <v>2064</v>
      </c>
      <c r="E254" s="1819" t="s">
        <v>731</v>
      </c>
      <c r="F254" s="1819"/>
      <c r="G254" s="1819"/>
      <c r="H254" s="1819" t="str">
        <f>'Part II-Development Team'!H33</f>
        <v>PNC Bank, N.A.</v>
      </c>
      <c r="I254" s="1827"/>
      <c r="J254" s="1827"/>
      <c r="K254" s="1827"/>
      <c r="L254" s="1827"/>
      <c r="M254" s="1827"/>
      <c r="N254" s="1827"/>
      <c r="O254" s="1823" t="s">
        <v>1940</v>
      </c>
      <c r="P254" s="1823"/>
      <c r="Q254" s="1819" t="str">
        <f>'Part II-Development Team'!Q33</f>
        <v>Ryan Edwards</v>
      </c>
      <c r="R254" s="1827"/>
      <c r="S254" s="1827"/>
    </row>
    <row r="255" spans="1:19" ht="13.8">
      <c r="A255" s="1819"/>
      <c r="B255" s="1819"/>
      <c r="C255" s="1819"/>
      <c r="D255" s="1831"/>
      <c r="E255" s="1823" t="s">
        <v>998</v>
      </c>
      <c r="F255" s="1826"/>
      <c r="G255" s="1819"/>
      <c r="H255" s="1819" t="str">
        <f>'Part II-Development Team'!H34</f>
        <v>101 South Fifth Street, 7th Floor</v>
      </c>
      <c r="I255" s="1827"/>
      <c r="J255" s="1827"/>
      <c r="K255" s="1827"/>
      <c r="L255" s="1827"/>
      <c r="M255" s="1827"/>
      <c r="N255" s="1827"/>
      <c r="O255" s="1823" t="s">
        <v>1703</v>
      </c>
      <c r="P255" s="1819"/>
      <c r="Q255" s="1819" t="str">
        <f>'Part II-Development Team'!Q34</f>
        <v>Senior Vice President</v>
      </c>
      <c r="R255" s="1827"/>
      <c r="S255" s="1827"/>
    </row>
    <row r="256" spans="1:19" ht="13.8">
      <c r="A256" s="1819"/>
      <c r="B256" s="1819"/>
      <c r="C256" s="1819"/>
      <c r="D256" s="1831"/>
      <c r="E256" s="1823" t="s">
        <v>599</v>
      </c>
      <c r="F256" s="1819"/>
      <c r="G256" s="1819"/>
      <c r="H256" s="1819" t="str">
        <f>'Part II-Development Team'!H35</f>
        <v>Louisville</v>
      </c>
      <c r="I256" s="1827"/>
      <c r="J256" s="1827"/>
      <c r="K256" s="1821" t="s">
        <v>2623</v>
      </c>
      <c r="L256" s="1819" t="str">
        <f>'Part II-Development Team'!L35</f>
        <v>www.PNC.com</v>
      </c>
      <c r="M256" s="1827"/>
      <c r="N256" s="1827"/>
      <c r="O256" s="1823" t="s">
        <v>1678</v>
      </c>
      <c r="P256" s="1819"/>
      <c r="Q256" s="2188">
        <f>'Part II-Development Team'!Q35</f>
        <v>5028761440</v>
      </c>
      <c r="R256" s="2188"/>
      <c r="S256" s="2188"/>
    </row>
    <row r="257" spans="1:19" ht="13.8">
      <c r="A257" s="1819"/>
      <c r="B257" s="1819"/>
      <c r="C257" s="1819"/>
      <c r="D257" s="1819"/>
      <c r="E257" s="1823" t="s">
        <v>1753</v>
      </c>
      <c r="F257" s="1819"/>
      <c r="G257" s="1819"/>
      <c r="H257" s="1823" t="str">
        <f>'Part II-Development Team'!H36</f>
        <v>KY</v>
      </c>
      <c r="I257" s="1819"/>
      <c r="J257" s="1819"/>
      <c r="K257" s="1821" t="s">
        <v>2171</v>
      </c>
      <c r="L257" s="2187">
        <f>'Part II-Development Team'!L36</f>
        <v>402023157</v>
      </c>
      <c r="M257" s="1827"/>
      <c r="N257" s="1819"/>
      <c r="O257" s="1823" t="s">
        <v>1930</v>
      </c>
      <c r="P257" s="1819"/>
      <c r="Q257" s="2188">
        <f>'Part II-Development Team'!Q36</f>
        <v>5028761440</v>
      </c>
      <c r="R257" s="2188"/>
      <c r="S257" s="2188"/>
    </row>
    <row r="258" spans="1:19" ht="13.8">
      <c r="A258" s="1819"/>
      <c r="B258" s="1819"/>
      <c r="C258" s="1819"/>
      <c r="D258" s="1831"/>
      <c r="E258" s="1823" t="s">
        <v>3892</v>
      </c>
      <c r="F258" s="1819"/>
      <c r="G258" s="1819"/>
      <c r="H258" s="2188">
        <f>'Part II-Development Team'!H37</f>
        <v>5028761440</v>
      </c>
      <c r="I258" s="2188"/>
      <c r="J258" s="1829">
        <f>'Part II-Development Team'!J37</f>
        <v>0</v>
      </c>
      <c r="K258" s="1821" t="s">
        <v>1935</v>
      </c>
      <c r="L258" s="1965" t="str">
        <f>'Part II-Development Team'!L37</f>
        <v>ryan.l.edwards@pnc.com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2065</v>
      </c>
      <c r="E260" s="1819" t="s">
        <v>732</v>
      </c>
      <c r="F260" s="1819"/>
      <c r="G260" s="1819"/>
      <c r="H260" s="1819" t="str">
        <f>'Part II-Development Team'!H39</f>
        <v>Monarch Private Capital</v>
      </c>
      <c r="I260" s="1827"/>
      <c r="J260" s="1827"/>
      <c r="K260" s="1827"/>
      <c r="L260" s="1827"/>
      <c r="M260" s="1827"/>
      <c r="N260" s="1827"/>
      <c r="O260" s="1823" t="s">
        <v>1940</v>
      </c>
      <c r="P260" s="1823"/>
      <c r="Q260" s="1819" t="str">
        <f>'Part II-Development Team'!Q39</f>
        <v>Brent Barringer</v>
      </c>
      <c r="R260" s="1827"/>
      <c r="S260" s="1827"/>
    </row>
    <row r="261" spans="1:19" ht="13.8">
      <c r="A261" s="1819"/>
      <c r="B261" s="1819"/>
      <c r="C261" s="1819"/>
      <c r="D261" s="1831"/>
      <c r="E261" s="1823" t="s">
        <v>998</v>
      </c>
      <c r="F261" s="1826"/>
      <c r="G261" s="1819"/>
      <c r="H261" s="1819" t="str">
        <f>'Part II-Development Team'!H40</f>
        <v>3414 Peachtree Road, Suite 825</v>
      </c>
      <c r="I261" s="1827"/>
      <c r="J261" s="1827"/>
      <c r="K261" s="1827"/>
      <c r="L261" s="1827"/>
      <c r="M261" s="1827"/>
      <c r="N261" s="1827"/>
      <c r="O261" s="1823" t="s">
        <v>1703</v>
      </c>
      <c r="P261" s="1819"/>
      <c r="Q261" s="1819" t="str">
        <f>'Part II-Development Team'!Q40</f>
        <v>Managing Director of LIHTC</v>
      </c>
      <c r="R261" s="1827"/>
      <c r="S261" s="1827"/>
    </row>
    <row r="262" spans="1:19" ht="13.8">
      <c r="A262" s="1819"/>
      <c r="B262" s="1819"/>
      <c r="C262" s="1819"/>
      <c r="D262" s="1831"/>
      <c r="E262" s="1823" t="s">
        <v>599</v>
      </c>
      <c r="F262" s="1819"/>
      <c r="G262" s="1819"/>
      <c r="H262" s="1819" t="str">
        <f>'Part II-Development Team'!H41</f>
        <v>Atlanta</v>
      </c>
      <c r="I262" s="1827"/>
      <c r="J262" s="1827"/>
      <c r="K262" s="1821" t="s">
        <v>2623</v>
      </c>
      <c r="L262" s="1819" t="str">
        <f>'Part II-Development Team'!L41</f>
        <v>www.monarchprivate.com</v>
      </c>
      <c r="M262" s="1827"/>
      <c r="N262" s="1827"/>
      <c r="O262" s="1823" t="s">
        <v>1678</v>
      </c>
      <c r="P262" s="1819"/>
      <c r="Q262" s="2188">
        <f>'Part II-Development Team'!Q41</f>
        <v>3346634523</v>
      </c>
      <c r="R262" s="2188"/>
      <c r="S262" s="2188"/>
    </row>
    <row r="263" spans="1:19" ht="13.8">
      <c r="A263" s="1819"/>
      <c r="B263" s="1819"/>
      <c r="C263" s="1819"/>
      <c r="D263" s="1819"/>
      <c r="E263" s="1823" t="s">
        <v>1753</v>
      </c>
      <c r="F263" s="1819"/>
      <c r="G263" s="1819"/>
      <c r="H263" s="1823" t="str">
        <f>'Part II-Development Team'!H42</f>
        <v>GA</v>
      </c>
      <c r="I263" s="1819"/>
      <c r="J263" s="1819"/>
      <c r="K263" s="1821" t="s">
        <v>2171</v>
      </c>
      <c r="L263" s="2187">
        <f>'Part II-Development Team'!L42</f>
        <v>303261826</v>
      </c>
      <c r="M263" s="1827"/>
      <c r="N263" s="1819"/>
      <c r="O263" s="1823" t="s">
        <v>1930</v>
      </c>
      <c r="P263" s="1819"/>
      <c r="Q263" s="2188">
        <f>'Part II-Development Team'!Q42</f>
        <v>3346634523</v>
      </c>
      <c r="R263" s="2188"/>
      <c r="S263" s="2188"/>
    </row>
    <row r="264" spans="1:19" ht="13.8">
      <c r="A264" s="1819"/>
      <c r="B264" s="1819"/>
      <c r="C264" s="1819"/>
      <c r="D264" s="1831"/>
      <c r="E264" s="1823" t="s">
        <v>3892</v>
      </c>
      <c r="F264" s="1819"/>
      <c r="G264" s="1819"/>
      <c r="H264" s="2188">
        <f>'Part II-Development Team'!H43</f>
        <v>3346634523</v>
      </c>
      <c r="I264" s="2188"/>
      <c r="J264" s="1829">
        <f>'Part II-Development Team'!J43</f>
        <v>0</v>
      </c>
      <c r="K264" s="1821" t="s">
        <v>1935</v>
      </c>
      <c r="L264" s="1965" t="str">
        <f>'Part II-Development Team'!L43</f>
        <v>bbarringer@monarchprivate.com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2466</v>
      </c>
      <c r="D266" s="1827" t="s">
        <v>632</v>
      </c>
      <c r="E266" s="1819"/>
      <c r="F266" s="1819"/>
      <c r="G266" s="1819"/>
      <c r="H266" s="1819"/>
      <c r="I266" s="1819"/>
      <c r="J266" s="1819"/>
      <c r="K266" s="1820" t="s">
        <v>3891</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N/A</v>
      </c>
      <c r="I267" s="1827"/>
      <c r="J267" s="1827"/>
      <c r="K267" s="1827"/>
      <c r="L267" s="1827"/>
      <c r="M267" s="1827"/>
      <c r="N267" s="1827"/>
      <c r="O267" s="1823" t="s">
        <v>1940</v>
      </c>
      <c r="P267" s="1823"/>
      <c r="Q267" s="1819">
        <f>'Part II-Development Team'!Q46</f>
        <v>0</v>
      </c>
      <c r="R267" s="1827"/>
      <c r="S267" s="1827"/>
    </row>
    <row r="268" spans="1:19" ht="13.8">
      <c r="A268" s="1819"/>
      <c r="B268" s="1819"/>
      <c r="C268" s="1819"/>
      <c r="D268" s="1831"/>
      <c r="E268" s="1823" t="s">
        <v>998</v>
      </c>
      <c r="F268" s="1826"/>
      <c r="G268" s="1819"/>
      <c r="H268" s="1819">
        <f>'Part II-Development Team'!H47</f>
        <v>0</v>
      </c>
      <c r="I268" s="1827"/>
      <c r="J268" s="1827"/>
      <c r="K268" s="1827"/>
      <c r="L268" s="1827"/>
      <c r="M268" s="1827"/>
      <c r="N268" s="1827"/>
      <c r="O268" s="1823" t="s">
        <v>1703</v>
      </c>
      <c r="P268" s="1819"/>
      <c r="Q268" s="1819">
        <f>'Part II-Development Team'!Q47</f>
        <v>0</v>
      </c>
      <c r="R268" s="1827"/>
      <c r="S268" s="1827"/>
    </row>
    <row r="269" spans="1:19" ht="13.8">
      <c r="A269" s="1819"/>
      <c r="B269" s="1819"/>
      <c r="C269" s="1819"/>
      <c r="D269" s="1831"/>
      <c r="E269" s="1823" t="s">
        <v>599</v>
      </c>
      <c r="F269" s="1819"/>
      <c r="G269" s="1819"/>
      <c r="H269" s="1819">
        <f>'Part II-Development Team'!H48</f>
        <v>0</v>
      </c>
      <c r="I269" s="1827"/>
      <c r="J269" s="1827"/>
      <c r="K269" s="1821" t="s">
        <v>2623</v>
      </c>
      <c r="L269" s="1819">
        <f>'Part II-Development Team'!L48</f>
        <v>0</v>
      </c>
      <c r="M269" s="1827"/>
      <c r="N269" s="1827"/>
      <c r="O269" s="1823" t="s">
        <v>1678</v>
      </c>
      <c r="P269" s="1819"/>
      <c r="Q269" s="2188">
        <f>'Part II-Development Team'!Q48</f>
        <v>0</v>
      </c>
      <c r="R269" s="2188"/>
      <c r="S269" s="2188"/>
    </row>
    <row r="270" spans="1:19" ht="13.8">
      <c r="A270" s="1819"/>
      <c r="B270" s="1819"/>
      <c r="C270" s="1819"/>
      <c r="D270" s="1819"/>
      <c r="E270" s="1823" t="s">
        <v>1753</v>
      </c>
      <c r="F270" s="1819"/>
      <c r="G270" s="1819"/>
      <c r="H270" s="1823">
        <f>'Part II-Development Team'!H49</f>
        <v>0</v>
      </c>
      <c r="I270" s="1819"/>
      <c r="J270" s="1819"/>
      <c r="K270" s="1821" t="s">
        <v>2171</v>
      </c>
      <c r="L270" s="2187">
        <f>'Part II-Development Team'!L49</f>
        <v>0</v>
      </c>
      <c r="M270" s="1827"/>
      <c r="N270" s="1819"/>
      <c r="O270" s="1823" t="s">
        <v>1930</v>
      </c>
      <c r="P270" s="1819"/>
      <c r="Q270" s="2188">
        <f>'Part II-Development Team'!Q49</f>
        <v>0</v>
      </c>
      <c r="R270" s="2188"/>
      <c r="S270" s="2188"/>
    </row>
    <row r="271" spans="1:19" ht="13.8">
      <c r="A271" s="1819"/>
      <c r="B271" s="1819"/>
      <c r="C271" s="1819"/>
      <c r="D271" s="1831"/>
      <c r="E271" s="1823" t="s">
        <v>3892</v>
      </c>
      <c r="F271" s="1819"/>
      <c r="G271" s="1819"/>
      <c r="H271" s="2188">
        <f>'Part II-Development Team'!H50</f>
        <v>0</v>
      </c>
      <c r="I271" s="2188"/>
      <c r="J271" s="1829">
        <f>'Part II-Development Team'!J50</f>
        <v>0</v>
      </c>
      <c r="K271" s="1821" t="s">
        <v>1935</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721</v>
      </c>
      <c r="B273" s="1819" t="s">
        <v>633</v>
      </c>
      <c r="C273" s="1819"/>
      <c r="D273" s="1819"/>
      <c r="E273" s="1819"/>
      <c r="F273" s="1819"/>
      <c r="G273" s="1821"/>
      <c r="H273" s="1821"/>
      <c r="I273" s="1821"/>
      <c r="J273" s="1819"/>
      <c r="K273" s="1820" t="s">
        <v>3891</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1934</v>
      </c>
      <c r="C275" s="1819" t="s">
        <v>277</v>
      </c>
      <c r="D275" s="1819"/>
      <c r="E275" s="1819"/>
      <c r="F275" s="1819"/>
      <c r="G275" s="1819"/>
      <c r="H275" s="1819" t="str">
        <f>'Part II-Development Team'!H54</f>
        <v>MVAH Development LLC</v>
      </c>
      <c r="I275" s="1827"/>
      <c r="J275" s="1827"/>
      <c r="K275" s="1827"/>
      <c r="L275" s="1827"/>
      <c r="M275" s="1827"/>
      <c r="N275" s="1827"/>
      <c r="O275" s="1823" t="s">
        <v>1940</v>
      </c>
      <c r="P275" s="1823"/>
      <c r="Q275" s="1819" t="str">
        <f>'Part II-Development Team'!Q54</f>
        <v>Brian McGeady</v>
      </c>
      <c r="R275" s="1827"/>
      <c r="S275" s="1827"/>
    </row>
    <row r="276" spans="1:19" ht="13.8">
      <c r="A276" s="1819"/>
      <c r="B276" s="1819"/>
      <c r="C276" s="1819"/>
      <c r="D276" s="1831"/>
      <c r="E276" s="1823" t="s">
        <v>998</v>
      </c>
      <c r="F276" s="1826"/>
      <c r="G276" s="1819"/>
      <c r="H276" s="1819" t="str">
        <f>'Part II-Development Team'!H55</f>
        <v>9100 Centre Pointe Dr.</v>
      </c>
      <c r="I276" s="1827"/>
      <c r="J276" s="1827"/>
      <c r="K276" s="1827"/>
      <c r="L276" s="1827"/>
      <c r="M276" s="1827"/>
      <c r="N276" s="1827"/>
      <c r="O276" s="1823" t="s">
        <v>1703</v>
      </c>
      <c r="P276" s="1819"/>
      <c r="Q276" s="1819" t="str">
        <f>'Part II-Development Team'!Q55</f>
        <v>Managing Partner</v>
      </c>
      <c r="R276" s="1827"/>
      <c r="S276" s="1827"/>
    </row>
    <row r="277" spans="1:19" ht="13.8">
      <c r="A277" s="1819"/>
      <c r="B277" s="1819"/>
      <c r="C277" s="1819"/>
      <c r="D277" s="1831"/>
      <c r="E277" s="1823" t="s">
        <v>599</v>
      </c>
      <c r="F277" s="1819"/>
      <c r="G277" s="1819"/>
      <c r="H277" s="1819" t="str">
        <f>'Part II-Development Team'!H56</f>
        <v>West Chester</v>
      </c>
      <c r="I277" s="1827"/>
      <c r="J277" s="1827"/>
      <c r="K277" s="1821" t="s">
        <v>2623</v>
      </c>
      <c r="L277" s="1819" t="str">
        <f>'Part II-Development Team'!L56</f>
        <v>mvahpartners.com</v>
      </c>
      <c r="M277" s="1827"/>
      <c r="N277" s="1827"/>
      <c r="O277" s="1823" t="s">
        <v>1678</v>
      </c>
      <c r="P277" s="1819"/>
      <c r="Q277" s="2188">
        <f>'Part II-Development Team'!Q56</f>
        <v>5135882694</v>
      </c>
      <c r="R277" s="2188"/>
      <c r="S277" s="2188"/>
    </row>
    <row r="278" spans="1:19" ht="13.8">
      <c r="A278" s="1819"/>
      <c r="B278" s="1819"/>
      <c r="C278" s="1819"/>
      <c r="D278" s="1819"/>
      <c r="E278" s="1823" t="s">
        <v>1753</v>
      </c>
      <c r="F278" s="1819"/>
      <c r="G278" s="1819"/>
      <c r="H278" s="1823" t="str">
        <f>'Part II-Development Team'!H57</f>
        <v>OH</v>
      </c>
      <c r="I278" s="1819"/>
      <c r="J278" s="1819"/>
      <c r="K278" s="1821" t="s">
        <v>2171</v>
      </c>
      <c r="L278" s="2187">
        <f>'Part II-Development Team'!L57</f>
        <v>450694817</v>
      </c>
      <c r="M278" s="1827"/>
      <c r="N278" s="1819"/>
      <c r="O278" s="1823" t="s">
        <v>1930</v>
      </c>
      <c r="P278" s="1819"/>
      <c r="Q278" s="2188">
        <f>'Part II-Development Team'!Q57</f>
        <v>5132563810</v>
      </c>
      <c r="R278" s="2188"/>
      <c r="S278" s="2188"/>
    </row>
    <row r="279" spans="1:19" ht="13.8">
      <c r="A279" s="1819"/>
      <c r="B279" s="1819"/>
      <c r="C279" s="1819"/>
      <c r="D279" s="1831"/>
      <c r="E279" s="1823" t="s">
        <v>3892</v>
      </c>
      <c r="F279" s="1819"/>
      <c r="G279" s="1819"/>
      <c r="H279" s="2188">
        <f>'Part II-Development Team'!H58</f>
        <v>5139641141</v>
      </c>
      <c r="I279" s="2188"/>
      <c r="J279" s="1829">
        <f>'Part II-Development Team'!J58</f>
        <v>0</v>
      </c>
      <c r="K279" s="1821" t="s">
        <v>1935</v>
      </c>
      <c r="L279" s="1965" t="str">
        <f>'Part II-Development Team'!L58</f>
        <v>brian.mcgeady@mvahpartners.com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1936</v>
      </c>
      <c r="C281" s="1819" t="s">
        <v>278</v>
      </c>
      <c r="D281" s="1819"/>
      <c r="E281" s="1819"/>
      <c r="F281" s="1819"/>
      <c r="G281" s="1819"/>
      <c r="H281" s="1819" t="str">
        <f>'Part II-Development Team'!H60</f>
        <v>N/A</v>
      </c>
      <c r="I281" s="1827"/>
      <c r="J281" s="1827"/>
      <c r="K281" s="1827"/>
      <c r="L281" s="1827"/>
      <c r="M281" s="1827"/>
      <c r="N281" s="1827"/>
      <c r="O281" s="1823" t="s">
        <v>1940</v>
      </c>
      <c r="P281" s="1823"/>
      <c r="Q281" s="1819">
        <f>'Part II-Development Team'!Q60</f>
        <v>0</v>
      </c>
      <c r="R281" s="1827"/>
      <c r="S281" s="1827"/>
    </row>
    <row r="282" spans="1:19" ht="13.8">
      <c r="A282" s="1819"/>
      <c r="B282" s="1819"/>
      <c r="C282" s="1819"/>
      <c r="D282" s="1831"/>
      <c r="E282" s="1823" t="s">
        <v>998</v>
      </c>
      <c r="F282" s="1826"/>
      <c r="G282" s="1819"/>
      <c r="H282" s="1819">
        <f>'Part II-Development Team'!H61</f>
        <v>0</v>
      </c>
      <c r="I282" s="1827"/>
      <c r="J282" s="1827"/>
      <c r="K282" s="1827"/>
      <c r="L282" s="1827"/>
      <c r="M282" s="1827"/>
      <c r="N282" s="1827"/>
      <c r="O282" s="1823" t="s">
        <v>1703</v>
      </c>
      <c r="P282" s="1819"/>
      <c r="Q282" s="1819">
        <f>'Part II-Development Team'!Q61</f>
        <v>0</v>
      </c>
      <c r="R282" s="1827"/>
      <c r="S282" s="1827"/>
    </row>
    <row r="283" spans="1:19" ht="13.8">
      <c r="A283" s="1819"/>
      <c r="B283" s="1819"/>
      <c r="C283" s="1819"/>
      <c r="D283" s="1831"/>
      <c r="E283" s="1823" t="s">
        <v>599</v>
      </c>
      <c r="F283" s="1819"/>
      <c r="G283" s="1819"/>
      <c r="H283" s="1819">
        <f>'Part II-Development Team'!H62</f>
        <v>0</v>
      </c>
      <c r="I283" s="1827"/>
      <c r="J283" s="1827"/>
      <c r="K283" s="1821" t="s">
        <v>2623</v>
      </c>
      <c r="L283" s="1819">
        <f>'Part II-Development Team'!L62</f>
        <v>0</v>
      </c>
      <c r="M283" s="1827"/>
      <c r="N283" s="1827"/>
      <c r="O283" s="1823" t="s">
        <v>1678</v>
      </c>
      <c r="P283" s="1819"/>
      <c r="Q283" s="2188">
        <f>'Part II-Development Team'!Q62</f>
        <v>0</v>
      </c>
      <c r="R283" s="2188"/>
      <c r="S283" s="2188"/>
    </row>
    <row r="284" spans="1:19" ht="13.8">
      <c r="A284" s="1819"/>
      <c r="B284" s="1819"/>
      <c r="C284" s="1819"/>
      <c r="D284" s="1819"/>
      <c r="E284" s="1823" t="s">
        <v>1753</v>
      </c>
      <c r="F284" s="1819"/>
      <c r="G284" s="1819"/>
      <c r="H284" s="1823">
        <f>'Part II-Development Team'!H63</f>
        <v>0</v>
      </c>
      <c r="I284" s="1819"/>
      <c r="J284" s="1819"/>
      <c r="K284" s="1821" t="s">
        <v>2171</v>
      </c>
      <c r="L284" s="2187">
        <f>'Part II-Development Team'!L63</f>
        <v>0</v>
      </c>
      <c r="M284" s="1827"/>
      <c r="N284" s="1819"/>
      <c r="O284" s="1823" t="s">
        <v>1930</v>
      </c>
      <c r="P284" s="1819"/>
      <c r="Q284" s="2188">
        <f>'Part II-Development Team'!Q63</f>
        <v>0</v>
      </c>
      <c r="R284" s="2188"/>
      <c r="S284" s="2188"/>
    </row>
    <row r="285" spans="1:19" ht="13.8">
      <c r="A285" s="1819"/>
      <c r="B285" s="1819"/>
      <c r="C285" s="1819"/>
      <c r="D285" s="1831"/>
      <c r="E285" s="1823" t="s">
        <v>3892</v>
      </c>
      <c r="F285" s="1819"/>
      <c r="G285" s="1819"/>
      <c r="H285" s="2188">
        <f>'Part II-Development Team'!H64</f>
        <v>0</v>
      </c>
      <c r="I285" s="2188"/>
      <c r="J285" s="1829">
        <f>'Part II-Development Team'!J64</f>
        <v>0</v>
      </c>
      <c r="K285" s="1821" t="s">
        <v>1935</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730</v>
      </c>
      <c r="C287" s="1819" t="s">
        <v>1495</v>
      </c>
      <c r="D287" s="1819"/>
      <c r="E287" s="1819"/>
      <c r="F287" s="1819"/>
      <c r="G287" s="1819"/>
      <c r="H287" s="1819" t="str">
        <f>'Part II-Development Team'!H66</f>
        <v>N/A</v>
      </c>
      <c r="I287" s="1827"/>
      <c r="J287" s="1827"/>
      <c r="K287" s="1827"/>
      <c r="L287" s="1827"/>
      <c r="M287" s="1827"/>
      <c r="N287" s="1827"/>
      <c r="O287" s="1823" t="s">
        <v>1940</v>
      </c>
      <c r="P287" s="1823"/>
      <c r="Q287" s="1819">
        <f>'Part II-Development Team'!Q66</f>
        <v>0</v>
      </c>
      <c r="R287" s="1827"/>
      <c r="S287" s="1827"/>
    </row>
    <row r="288" spans="1:19" ht="13.8">
      <c r="A288" s="1819"/>
      <c r="B288" s="1819"/>
      <c r="C288" s="1819"/>
      <c r="D288" s="1831"/>
      <c r="E288" s="1823" t="s">
        <v>998</v>
      </c>
      <c r="F288" s="1826"/>
      <c r="G288" s="1819"/>
      <c r="H288" s="1819">
        <f>'Part II-Development Team'!H67</f>
        <v>0</v>
      </c>
      <c r="I288" s="1827"/>
      <c r="J288" s="1827"/>
      <c r="K288" s="1827"/>
      <c r="L288" s="1827"/>
      <c r="M288" s="1827"/>
      <c r="N288" s="1827"/>
      <c r="O288" s="1823" t="s">
        <v>1703</v>
      </c>
      <c r="P288" s="1819"/>
      <c r="Q288" s="1819">
        <f>'Part II-Development Team'!Q67</f>
        <v>0</v>
      </c>
      <c r="R288" s="1827"/>
      <c r="S288" s="1827"/>
    </row>
    <row r="289" spans="1:19" ht="13.8">
      <c r="A289" s="1819"/>
      <c r="B289" s="1819"/>
      <c r="C289" s="1819"/>
      <c r="D289" s="1831"/>
      <c r="E289" s="1823" t="s">
        <v>599</v>
      </c>
      <c r="F289" s="1819"/>
      <c r="G289" s="1819"/>
      <c r="H289" s="1819">
        <f>'Part II-Development Team'!H68</f>
        <v>0</v>
      </c>
      <c r="I289" s="1827"/>
      <c r="J289" s="1827"/>
      <c r="K289" s="1821" t="s">
        <v>2623</v>
      </c>
      <c r="L289" s="1819">
        <f>'Part II-Development Team'!L68</f>
        <v>0</v>
      </c>
      <c r="M289" s="1827"/>
      <c r="N289" s="1827"/>
      <c r="O289" s="1823" t="s">
        <v>1678</v>
      </c>
      <c r="P289" s="1819"/>
      <c r="Q289" s="2188">
        <f>'Part II-Development Team'!Q68</f>
        <v>0</v>
      </c>
      <c r="R289" s="2188"/>
      <c r="S289" s="2188"/>
    </row>
    <row r="290" spans="1:19" ht="13.8">
      <c r="A290" s="1819"/>
      <c r="B290" s="1819"/>
      <c r="C290" s="1819"/>
      <c r="D290" s="1819"/>
      <c r="E290" s="1823" t="s">
        <v>1753</v>
      </c>
      <c r="F290" s="1819"/>
      <c r="G290" s="1819"/>
      <c r="H290" s="1823">
        <f>'Part II-Development Team'!H69</f>
        <v>0</v>
      </c>
      <c r="I290" s="1819"/>
      <c r="J290" s="1819"/>
      <c r="K290" s="1821" t="s">
        <v>2171</v>
      </c>
      <c r="L290" s="2187">
        <f>'Part II-Development Team'!L69</f>
        <v>0</v>
      </c>
      <c r="M290" s="1827"/>
      <c r="N290" s="1819"/>
      <c r="O290" s="1823" t="s">
        <v>1930</v>
      </c>
      <c r="P290" s="1819"/>
      <c r="Q290" s="2188">
        <f>'Part II-Development Team'!Q69</f>
        <v>0</v>
      </c>
      <c r="R290" s="2188"/>
      <c r="S290" s="2188"/>
    </row>
    <row r="291" spans="1:19" ht="13.8">
      <c r="A291" s="1819"/>
      <c r="B291" s="1819"/>
      <c r="C291" s="1819"/>
      <c r="D291" s="1831"/>
      <c r="E291" s="1823" t="s">
        <v>3892</v>
      </c>
      <c r="F291" s="1819"/>
      <c r="G291" s="1819"/>
      <c r="H291" s="2188">
        <f>'Part II-Development Team'!H70</f>
        <v>0</v>
      </c>
      <c r="I291" s="2188"/>
      <c r="J291" s="1829">
        <f>'Part II-Development Team'!J70</f>
        <v>0</v>
      </c>
      <c r="K291" s="1821" t="s">
        <v>1935</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2063</v>
      </c>
      <c r="C293" s="1819" t="s">
        <v>279</v>
      </c>
      <c r="D293" s="1819"/>
      <c r="E293" s="1819"/>
      <c r="F293" s="1819"/>
      <c r="G293" s="1819"/>
      <c r="H293" s="1819" t="str">
        <f>'Part II-Development Team'!H72</f>
        <v>N/A</v>
      </c>
      <c r="I293" s="1827"/>
      <c r="J293" s="1827"/>
      <c r="K293" s="1827"/>
      <c r="L293" s="1827"/>
      <c r="M293" s="1827"/>
      <c r="N293" s="1827"/>
      <c r="O293" s="1823" t="s">
        <v>1940</v>
      </c>
      <c r="P293" s="1823"/>
      <c r="Q293" s="1819">
        <f>'Part II-Development Team'!Q72</f>
        <v>0</v>
      </c>
      <c r="R293" s="1827"/>
      <c r="S293" s="1827"/>
    </row>
    <row r="294" spans="1:19" ht="13.8">
      <c r="A294" s="1819"/>
      <c r="B294" s="1819"/>
      <c r="C294" s="1819"/>
      <c r="D294" s="1831"/>
      <c r="E294" s="1823" t="s">
        <v>998</v>
      </c>
      <c r="F294" s="1826"/>
      <c r="G294" s="1819"/>
      <c r="H294" s="1819">
        <f>'Part II-Development Team'!H73</f>
        <v>0</v>
      </c>
      <c r="I294" s="1827"/>
      <c r="J294" s="1827"/>
      <c r="K294" s="1827"/>
      <c r="L294" s="1827"/>
      <c r="M294" s="1827"/>
      <c r="N294" s="1827"/>
      <c r="O294" s="1823" t="s">
        <v>1703</v>
      </c>
      <c r="P294" s="1819"/>
      <c r="Q294" s="1819">
        <f>'Part II-Development Team'!Q73</f>
        <v>0</v>
      </c>
      <c r="R294" s="1827"/>
      <c r="S294" s="1827"/>
    </row>
    <row r="295" spans="1:19" ht="13.8">
      <c r="A295" s="1819"/>
      <c r="B295" s="1819"/>
      <c r="C295" s="1819"/>
      <c r="D295" s="1831"/>
      <c r="E295" s="1823" t="s">
        <v>599</v>
      </c>
      <c r="F295" s="1819"/>
      <c r="G295" s="1819"/>
      <c r="H295" s="1819">
        <f>'Part II-Development Team'!H74</f>
        <v>0</v>
      </c>
      <c r="I295" s="1827"/>
      <c r="J295" s="1827"/>
      <c r="K295" s="1821" t="s">
        <v>2623</v>
      </c>
      <c r="L295" s="1819">
        <f>'Part II-Development Team'!L74</f>
        <v>0</v>
      </c>
      <c r="M295" s="1827"/>
      <c r="N295" s="1827"/>
      <c r="O295" s="1823" t="s">
        <v>1678</v>
      </c>
      <c r="P295" s="1819"/>
      <c r="Q295" s="2188">
        <f>'Part II-Development Team'!Q74</f>
        <v>0</v>
      </c>
      <c r="R295" s="2188"/>
      <c r="S295" s="2188"/>
    </row>
    <row r="296" spans="1:19" ht="13.8">
      <c r="A296" s="1819"/>
      <c r="B296" s="1819"/>
      <c r="C296" s="1819"/>
      <c r="D296" s="1819"/>
      <c r="E296" s="1823" t="s">
        <v>1753</v>
      </c>
      <c r="F296" s="1819"/>
      <c r="G296" s="1819"/>
      <c r="H296" s="1823">
        <f>'Part II-Development Team'!H75</f>
        <v>0</v>
      </c>
      <c r="I296" s="1819"/>
      <c r="J296" s="1819"/>
      <c r="K296" s="1821" t="s">
        <v>2171</v>
      </c>
      <c r="L296" s="2187">
        <f>'Part II-Development Team'!L75</f>
        <v>0</v>
      </c>
      <c r="M296" s="1827"/>
      <c r="N296" s="1819"/>
      <c r="O296" s="1823" t="s">
        <v>1930</v>
      </c>
      <c r="P296" s="1819"/>
      <c r="Q296" s="2188">
        <f>'Part II-Development Team'!Q75</f>
        <v>0</v>
      </c>
      <c r="R296" s="2188"/>
      <c r="S296" s="2188"/>
    </row>
    <row r="297" spans="1:19" ht="13.8">
      <c r="A297" s="1819"/>
      <c r="B297" s="1819"/>
      <c r="C297" s="1819"/>
      <c r="D297" s="1831"/>
      <c r="E297" s="1823" t="s">
        <v>3892</v>
      </c>
      <c r="F297" s="1819"/>
      <c r="G297" s="1819"/>
      <c r="H297" s="2188">
        <f>'Part II-Development Team'!H76</f>
        <v>0</v>
      </c>
      <c r="I297" s="2188"/>
      <c r="J297" s="1829">
        <f>'Part II-Development Team'!J76</f>
        <v>0</v>
      </c>
      <c r="K297" s="1821" t="s">
        <v>1935</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723</v>
      </c>
      <c r="B299" s="1823" t="s">
        <v>280</v>
      </c>
      <c r="C299" s="1823"/>
      <c r="D299" s="1823"/>
      <c r="E299" s="1823"/>
      <c r="F299" s="1823"/>
      <c r="G299" s="1823"/>
      <c r="H299" s="1823"/>
      <c r="I299" s="1823"/>
      <c r="J299" s="1823"/>
      <c r="K299" s="1820" t="s">
        <v>3891</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1934</v>
      </c>
      <c r="C301" s="1819" t="s">
        <v>281</v>
      </c>
      <c r="D301" s="1819"/>
      <c r="E301" s="1819"/>
      <c r="F301" s="1819"/>
      <c r="G301" s="1819"/>
      <c r="H301" s="1819" t="str">
        <f>'Part II-Development Team'!H80</f>
        <v>N/A</v>
      </c>
      <c r="I301" s="1827"/>
      <c r="J301" s="1827"/>
      <c r="K301" s="1827"/>
      <c r="L301" s="1827"/>
      <c r="M301" s="1827"/>
      <c r="N301" s="1827"/>
      <c r="O301" s="1823" t="s">
        <v>1940</v>
      </c>
      <c r="P301" s="1823"/>
      <c r="Q301" s="1819">
        <f>'Part II-Development Team'!Q80</f>
        <v>0</v>
      </c>
      <c r="R301" s="1827"/>
      <c r="S301" s="1827"/>
    </row>
    <row r="302" spans="1:19" ht="13.8">
      <c r="A302" s="1819"/>
      <c r="B302" s="1819"/>
      <c r="C302" s="1819"/>
      <c r="D302" s="1831"/>
      <c r="E302" s="1823" t="s">
        <v>998</v>
      </c>
      <c r="F302" s="1826"/>
      <c r="G302" s="1819"/>
      <c r="H302" s="1819">
        <f>'Part II-Development Team'!H81</f>
        <v>0</v>
      </c>
      <c r="I302" s="1827"/>
      <c r="J302" s="1827"/>
      <c r="K302" s="1827"/>
      <c r="L302" s="1827"/>
      <c r="M302" s="1827"/>
      <c r="N302" s="1827"/>
      <c r="O302" s="1823" t="s">
        <v>1703</v>
      </c>
      <c r="P302" s="1819"/>
      <c r="Q302" s="1819">
        <f>'Part II-Development Team'!Q81</f>
        <v>0</v>
      </c>
      <c r="R302" s="1827"/>
      <c r="S302" s="1827"/>
    </row>
    <row r="303" spans="1:19" ht="13.8">
      <c r="A303" s="1819"/>
      <c r="B303" s="1819"/>
      <c r="C303" s="1819"/>
      <c r="D303" s="1831"/>
      <c r="E303" s="1823" t="s">
        <v>599</v>
      </c>
      <c r="F303" s="1819"/>
      <c r="G303" s="1819"/>
      <c r="H303" s="1819">
        <f>'Part II-Development Team'!H82</f>
        <v>0</v>
      </c>
      <c r="I303" s="1827"/>
      <c r="J303" s="1827"/>
      <c r="K303" s="1821" t="s">
        <v>2623</v>
      </c>
      <c r="L303" s="1819">
        <f>'Part II-Development Team'!L82</f>
        <v>0</v>
      </c>
      <c r="M303" s="1827"/>
      <c r="N303" s="1827"/>
      <c r="O303" s="1823" t="s">
        <v>1678</v>
      </c>
      <c r="P303" s="1819"/>
      <c r="Q303" s="2188">
        <f>'Part II-Development Team'!Q82</f>
        <v>0</v>
      </c>
      <c r="R303" s="2188"/>
      <c r="S303" s="2188"/>
    </row>
    <row r="304" spans="1:19" ht="13.8">
      <c r="A304" s="1819"/>
      <c r="B304" s="1819"/>
      <c r="C304" s="1819"/>
      <c r="D304" s="1819"/>
      <c r="E304" s="1823" t="s">
        <v>1753</v>
      </c>
      <c r="F304" s="1819"/>
      <c r="G304" s="1819"/>
      <c r="H304" s="1823">
        <f>'Part II-Development Team'!H83</f>
        <v>0</v>
      </c>
      <c r="I304" s="1819"/>
      <c r="J304" s="1819"/>
      <c r="K304" s="1821" t="s">
        <v>2171</v>
      </c>
      <c r="L304" s="2187">
        <f>'Part II-Development Team'!L83</f>
        <v>0</v>
      </c>
      <c r="M304" s="1827"/>
      <c r="N304" s="1819"/>
      <c r="O304" s="1823" t="s">
        <v>1930</v>
      </c>
      <c r="P304" s="1819"/>
      <c r="Q304" s="2188">
        <f>'Part II-Development Team'!Q83</f>
        <v>0</v>
      </c>
      <c r="R304" s="2188"/>
      <c r="S304" s="2188"/>
    </row>
    <row r="305" spans="1:19" ht="13.8">
      <c r="A305" s="1819"/>
      <c r="B305" s="1819"/>
      <c r="C305" s="1819"/>
      <c r="D305" s="1831"/>
      <c r="E305" s="1823" t="s">
        <v>3892</v>
      </c>
      <c r="F305" s="1819"/>
      <c r="G305" s="1819"/>
      <c r="H305" s="2188">
        <f>'Part II-Development Team'!H84</f>
        <v>0</v>
      </c>
      <c r="I305" s="2188"/>
      <c r="J305" s="1829">
        <f>'Part II-Development Team'!J84</f>
        <v>0</v>
      </c>
      <c r="K305" s="1821" t="s">
        <v>1935</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1936</v>
      </c>
      <c r="C307" s="1819" t="s">
        <v>282</v>
      </c>
      <c r="D307" s="1819"/>
      <c r="E307" s="1819"/>
      <c r="F307" s="1819"/>
      <c r="G307" s="1819"/>
      <c r="H307" s="1819" t="str">
        <f>'Part II-Development Team'!H86</f>
        <v>Empire Corporation of Tennessee, Inc.</v>
      </c>
      <c r="I307" s="1827"/>
      <c r="J307" s="1827"/>
      <c r="K307" s="1827"/>
      <c r="L307" s="1827"/>
      <c r="M307" s="1827"/>
      <c r="N307" s="1827"/>
      <c r="O307" s="1823" t="s">
        <v>1940</v>
      </c>
      <c r="P307" s="1823"/>
      <c r="Q307" s="1819" t="str">
        <f>'Part II-Development Team'!Q86</f>
        <v>Drew Sutherland</v>
      </c>
      <c r="R307" s="1827"/>
      <c r="S307" s="1827"/>
    </row>
    <row r="308" spans="1:19" ht="13.8">
      <c r="A308" s="1819"/>
      <c r="B308" s="1819"/>
      <c r="C308" s="1819"/>
      <c r="D308" s="1831"/>
      <c r="E308" s="1823" t="s">
        <v>998</v>
      </c>
      <c r="F308" s="1826"/>
      <c r="G308" s="1819"/>
      <c r="H308" s="1819" t="str">
        <f>'Part II-Development Team'!H87</f>
        <v>3600 Henson Road</v>
      </c>
      <c r="I308" s="1827"/>
      <c r="J308" s="1827"/>
      <c r="K308" s="1827"/>
      <c r="L308" s="1827"/>
      <c r="M308" s="1827"/>
      <c r="N308" s="1827"/>
      <c r="O308" s="1823" t="s">
        <v>1703</v>
      </c>
      <c r="P308" s="1819"/>
      <c r="Q308" s="1819" t="str">
        <f>'Part II-Development Team'!Q87</f>
        <v>Senior Project Manager</v>
      </c>
      <c r="R308" s="1827"/>
      <c r="S308" s="1827"/>
    </row>
    <row r="309" spans="1:19" ht="13.8">
      <c r="A309" s="1819"/>
      <c r="B309" s="1819"/>
      <c r="C309" s="1819"/>
      <c r="D309" s="1831"/>
      <c r="E309" s="1823" t="s">
        <v>599</v>
      </c>
      <c r="F309" s="1819"/>
      <c r="G309" s="1819"/>
      <c r="H309" s="1819" t="str">
        <f>'Part II-Development Team'!H88</f>
        <v>Knoxville</v>
      </c>
      <c r="I309" s="1827"/>
      <c r="J309" s="1827"/>
      <c r="K309" s="1821" t="s">
        <v>2623</v>
      </c>
      <c r="L309" s="1819" t="str">
        <f>'Part II-Development Team'!L88</f>
        <v>https://empireinctn.com/</v>
      </c>
      <c r="M309" s="1827"/>
      <c r="N309" s="1827"/>
      <c r="O309" s="1823" t="s">
        <v>1678</v>
      </c>
      <c r="P309" s="1819"/>
      <c r="Q309" s="2188">
        <f>'Part II-Development Team'!Q88</f>
        <v>8652514800</v>
      </c>
      <c r="R309" s="2188"/>
      <c r="S309" s="2188"/>
    </row>
    <row r="310" spans="1:19" ht="13.8">
      <c r="A310" s="1819"/>
      <c r="B310" s="1819"/>
      <c r="C310" s="1819"/>
      <c r="D310" s="1819"/>
      <c r="E310" s="1823" t="s">
        <v>1753</v>
      </c>
      <c r="F310" s="1819"/>
      <c r="G310" s="1819"/>
      <c r="H310" s="1823" t="str">
        <f>'Part II-Development Team'!H89</f>
        <v>TN</v>
      </c>
      <c r="I310" s="1819"/>
      <c r="J310" s="1819"/>
      <c r="K310" s="1821" t="s">
        <v>2171</v>
      </c>
      <c r="L310" s="2187">
        <f>'Part II-Development Team'!L89</f>
        <v>379215353</v>
      </c>
      <c r="M310" s="1827"/>
      <c r="N310" s="1819"/>
      <c r="O310" s="1823" t="s">
        <v>1930</v>
      </c>
      <c r="P310" s="1819"/>
      <c r="Q310" s="2188">
        <f>'Part II-Development Team'!Q89</f>
        <v>8652514800</v>
      </c>
      <c r="R310" s="2188"/>
      <c r="S310" s="2188"/>
    </row>
    <row r="311" spans="1:19" ht="13.8">
      <c r="A311" s="1819"/>
      <c r="B311" s="1819"/>
      <c r="C311" s="1819"/>
      <c r="D311" s="1831"/>
      <c r="E311" s="1823" t="s">
        <v>3892</v>
      </c>
      <c r="F311" s="1819"/>
      <c r="G311" s="1819"/>
      <c r="H311" s="2188">
        <f>'Part II-Development Team'!H90</f>
        <v>8652514800</v>
      </c>
      <c r="I311" s="2188"/>
      <c r="J311" s="1829">
        <f>'Part II-Development Team'!J90</f>
        <v>0</v>
      </c>
      <c r="K311" s="1821" t="s">
        <v>1935</v>
      </c>
      <c r="L311" s="1965" t="str">
        <f>'Part II-Development Team'!L90</f>
        <v>drews@empireinctn.com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730</v>
      </c>
      <c r="C313" s="1819" t="s">
        <v>283</v>
      </c>
      <c r="D313" s="1819"/>
      <c r="E313" s="1819"/>
      <c r="F313" s="1827"/>
      <c r="G313" s="1819"/>
      <c r="H313" s="1819" t="str">
        <f>'Part II-Development Team'!H92</f>
        <v>MVAH Management LLC</v>
      </c>
      <c r="I313" s="1827"/>
      <c r="J313" s="1827"/>
      <c r="K313" s="1827"/>
      <c r="L313" s="1827"/>
      <c r="M313" s="1827"/>
      <c r="N313" s="1827"/>
      <c r="O313" s="1823" t="s">
        <v>1940</v>
      </c>
      <c r="P313" s="1823"/>
      <c r="Q313" s="1819" t="str">
        <f>'Part II-Development Team'!Q92</f>
        <v>Brian McGeady</v>
      </c>
      <c r="R313" s="1827"/>
      <c r="S313" s="1827"/>
    </row>
    <row r="314" spans="1:19" ht="13.8">
      <c r="A314" s="1819"/>
      <c r="B314" s="1819"/>
      <c r="C314" s="1819"/>
      <c r="D314" s="1831"/>
      <c r="E314" s="1823" t="s">
        <v>998</v>
      </c>
      <c r="F314" s="1826"/>
      <c r="G314" s="1819"/>
      <c r="H314" s="1819" t="str">
        <f>'Part II-Development Team'!H93</f>
        <v>9100 Centre Pointe Dr.</v>
      </c>
      <c r="I314" s="1827"/>
      <c r="J314" s="1827"/>
      <c r="K314" s="1827"/>
      <c r="L314" s="1827"/>
      <c r="M314" s="1827"/>
      <c r="N314" s="1827"/>
      <c r="O314" s="1823" t="s">
        <v>1703</v>
      </c>
      <c r="P314" s="1819"/>
      <c r="Q314" s="1819" t="str">
        <f>'Part II-Development Team'!Q93</f>
        <v>Managing Partner</v>
      </c>
      <c r="R314" s="1827"/>
      <c r="S314" s="1827"/>
    </row>
    <row r="315" spans="1:19" ht="13.8">
      <c r="A315" s="1819"/>
      <c r="B315" s="1819"/>
      <c r="C315" s="1819"/>
      <c r="D315" s="1831"/>
      <c r="E315" s="1823" t="s">
        <v>599</v>
      </c>
      <c r="F315" s="1819"/>
      <c r="G315" s="1819"/>
      <c r="H315" s="1819" t="str">
        <f>'Part II-Development Team'!H94</f>
        <v>West Chester</v>
      </c>
      <c r="I315" s="1827"/>
      <c r="J315" s="1827"/>
      <c r="K315" s="1821" t="s">
        <v>2623</v>
      </c>
      <c r="L315" s="1819" t="str">
        <f>'Part II-Development Team'!L94</f>
        <v>mvahpartners.com</v>
      </c>
      <c r="M315" s="1827"/>
      <c r="N315" s="1827"/>
      <c r="O315" s="1823" t="s">
        <v>1678</v>
      </c>
      <c r="P315" s="1819"/>
      <c r="Q315" s="2188">
        <f>'Part II-Development Team'!Q94</f>
        <v>5139641141</v>
      </c>
      <c r="R315" s="2188"/>
      <c r="S315" s="2188"/>
    </row>
    <row r="316" spans="1:19" ht="13.8">
      <c r="A316" s="1819"/>
      <c r="B316" s="1819"/>
      <c r="C316" s="1819"/>
      <c r="D316" s="1831"/>
      <c r="E316" s="1823" t="s">
        <v>1753</v>
      </c>
      <c r="F316" s="1819"/>
      <c r="G316" s="1819"/>
      <c r="H316" s="1823" t="str">
        <f>'Part II-Development Team'!H95</f>
        <v>OH</v>
      </c>
      <c r="I316" s="1819"/>
      <c r="J316" s="1819"/>
      <c r="K316" s="1821" t="s">
        <v>2171</v>
      </c>
      <c r="L316" s="2187">
        <f>'Part II-Development Team'!L95</f>
        <v>450694817</v>
      </c>
      <c r="M316" s="1827"/>
      <c r="N316" s="1819"/>
      <c r="O316" s="1823" t="s">
        <v>1930</v>
      </c>
      <c r="P316" s="1819"/>
      <c r="Q316" s="2188">
        <f>'Part II-Development Team'!Q95</f>
        <v>5132563810</v>
      </c>
      <c r="R316" s="2188"/>
      <c r="S316" s="2188"/>
    </row>
    <row r="317" spans="1:19" ht="13.8">
      <c r="A317" s="1819"/>
      <c r="B317" s="1819"/>
      <c r="C317" s="1819"/>
      <c r="D317" s="1831"/>
      <c r="E317" s="1823" t="s">
        <v>3892</v>
      </c>
      <c r="F317" s="1819"/>
      <c r="G317" s="1819"/>
      <c r="H317" s="2188">
        <f>'Part II-Development Team'!H96</f>
        <v>5139641141</v>
      </c>
      <c r="I317" s="2188"/>
      <c r="J317" s="1829">
        <f>'Part II-Development Team'!J96</f>
        <v>0</v>
      </c>
      <c r="K317" s="1821" t="s">
        <v>1935</v>
      </c>
      <c r="L317" s="1965" t="str">
        <f>'Part II-Development Team'!L96</f>
        <v>brian.mcgeady@mvahpartners.com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2063</v>
      </c>
      <c r="C319" s="1819" t="s">
        <v>284</v>
      </c>
      <c r="D319" s="1819"/>
      <c r="E319" s="1819"/>
      <c r="F319" s="1819"/>
      <c r="G319" s="1819"/>
      <c r="H319" s="1819" t="str">
        <f>'Part II-Development Team'!H98</f>
        <v>Coleman Talley LLP</v>
      </c>
      <c r="I319" s="1827"/>
      <c r="J319" s="1827"/>
      <c r="K319" s="1827"/>
      <c r="L319" s="1827"/>
      <c r="M319" s="1827"/>
      <c r="N319" s="1827"/>
      <c r="O319" s="1823" t="s">
        <v>1940</v>
      </c>
      <c r="P319" s="1823"/>
      <c r="Q319" s="1819" t="str">
        <f>'Part II-Development Team'!Q98</f>
        <v>Gregory Q. Clark</v>
      </c>
      <c r="R319" s="1827"/>
      <c r="S319" s="1827"/>
    </row>
    <row r="320" spans="1:19" ht="13.8">
      <c r="A320" s="1819"/>
      <c r="B320" s="1819"/>
      <c r="C320" s="1819"/>
      <c r="D320" s="1831"/>
      <c r="E320" s="1823" t="s">
        <v>998</v>
      </c>
      <c r="F320" s="1826"/>
      <c r="G320" s="1819"/>
      <c r="H320" s="1819" t="str">
        <f>'Part II-Development Team'!H99</f>
        <v xml:space="preserve">910 N Patterson St </v>
      </c>
      <c r="I320" s="1827"/>
      <c r="J320" s="1827"/>
      <c r="K320" s="1827"/>
      <c r="L320" s="1827"/>
      <c r="M320" s="1827"/>
      <c r="N320" s="1827"/>
      <c r="O320" s="1823" t="s">
        <v>1703</v>
      </c>
      <c r="P320" s="1819"/>
      <c r="Q320" s="1819" t="str">
        <f>'Part II-Development Team'!Q99</f>
        <v>Partner</v>
      </c>
      <c r="R320" s="1827"/>
      <c r="S320" s="1827"/>
    </row>
    <row r="321" spans="1:19" ht="13.8">
      <c r="A321" s="1819"/>
      <c r="B321" s="1819"/>
      <c r="C321" s="1819"/>
      <c r="D321" s="1831"/>
      <c r="E321" s="1823" t="s">
        <v>599</v>
      </c>
      <c r="F321" s="1819"/>
      <c r="G321" s="1819"/>
      <c r="H321" s="1819" t="str">
        <f>'Part II-Development Team'!H100</f>
        <v>Valdosta</v>
      </c>
      <c r="I321" s="1827"/>
      <c r="J321" s="1827"/>
      <c r="K321" s="1821" t="s">
        <v>2623</v>
      </c>
      <c r="L321" s="1819" t="str">
        <f>'Part II-Development Team'!L100</f>
        <v>www.ColemanTalley.com</v>
      </c>
      <c r="M321" s="1827"/>
      <c r="N321" s="1827"/>
      <c r="O321" s="1823" t="s">
        <v>1678</v>
      </c>
      <c r="P321" s="1819"/>
      <c r="Q321" s="2188">
        <f>'Part II-Development Team'!Q100</f>
        <v>2296718260</v>
      </c>
      <c r="R321" s="2188"/>
      <c r="S321" s="2188"/>
    </row>
    <row r="322" spans="1:19" ht="13.8">
      <c r="A322" s="1819"/>
      <c r="B322" s="1819"/>
      <c r="C322" s="1819"/>
      <c r="D322" s="1831"/>
      <c r="E322" s="1823" t="s">
        <v>1753</v>
      </c>
      <c r="F322" s="1819"/>
      <c r="G322" s="1819"/>
      <c r="H322" s="1823" t="str">
        <f>'Part II-Development Team'!H101</f>
        <v>GA</v>
      </c>
      <c r="I322" s="1819"/>
      <c r="J322" s="1819"/>
      <c r="K322" s="1821" t="s">
        <v>2171</v>
      </c>
      <c r="L322" s="2187">
        <f>'Part II-Development Team'!L101</f>
        <v>316014531</v>
      </c>
      <c r="M322" s="1827"/>
      <c r="N322" s="1819"/>
      <c r="O322" s="1823" t="s">
        <v>1930</v>
      </c>
      <c r="P322" s="1819"/>
      <c r="Q322" s="2188">
        <f>'Part II-Development Team'!Q101</f>
        <v>2298349704</v>
      </c>
      <c r="R322" s="2188"/>
      <c r="S322" s="2188"/>
    </row>
    <row r="323" spans="1:19" ht="13.8">
      <c r="A323" s="1827"/>
      <c r="B323" s="1827"/>
      <c r="C323" s="1827"/>
      <c r="D323" s="1827"/>
      <c r="E323" s="1823" t="s">
        <v>3892</v>
      </c>
      <c r="F323" s="1819"/>
      <c r="G323" s="1819"/>
      <c r="H323" s="2188">
        <f>'Part II-Development Team'!H102</f>
        <v>2296718260</v>
      </c>
      <c r="I323" s="2188"/>
      <c r="J323" s="1829">
        <f>'Part II-Development Team'!J102</f>
        <v>0</v>
      </c>
      <c r="K323" s="1821" t="s">
        <v>1935</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1691</v>
      </c>
      <c r="C325" s="1819" t="s">
        <v>285</v>
      </c>
      <c r="D325" s="1819"/>
      <c r="E325" s="1819"/>
      <c r="F325" s="1819"/>
      <c r="G325" s="1819"/>
      <c r="H325" s="1819" t="str">
        <f>'Part II-Development Team'!H104</f>
        <v>Tidwell Group</v>
      </c>
      <c r="I325" s="1827"/>
      <c r="J325" s="1827"/>
      <c r="K325" s="1827"/>
      <c r="L325" s="1827"/>
      <c r="M325" s="1827"/>
      <c r="N325" s="1827"/>
      <c r="O325" s="1823" t="s">
        <v>1940</v>
      </c>
      <c r="P325" s="1823"/>
      <c r="Q325" s="1819" t="str">
        <f>'Part II-Development Team'!Q104</f>
        <v>Jessica R. Smith, CPA</v>
      </c>
      <c r="R325" s="1827"/>
      <c r="S325" s="1827"/>
    </row>
    <row r="326" spans="1:19" ht="13.8">
      <c r="A326" s="1819"/>
      <c r="B326" s="1819"/>
      <c r="C326" s="1819"/>
      <c r="D326" s="1831"/>
      <c r="E326" s="1823" t="s">
        <v>998</v>
      </c>
      <c r="F326" s="1826"/>
      <c r="G326" s="1819"/>
      <c r="H326" s="1819" t="str">
        <f>'Part II-Development Team'!H105</f>
        <v>5901 Peachtree Dunwoody Rd. Building A, Suite 125</v>
      </c>
      <c r="I326" s="1827"/>
      <c r="J326" s="1827"/>
      <c r="K326" s="1827"/>
      <c r="L326" s="1827"/>
      <c r="M326" s="1827"/>
      <c r="N326" s="1827"/>
      <c r="O326" s="1823" t="s">
        <v>1703</v>
      </c>
      <c r="P326" s="1819"/>
      <c r="Q326" s="1819" t="str">
        <f>'Part II-Development Team'!Q105</f>
        <v>Manager</v>
      </c>
      <c r="R326" s="1827"/>
      <c r="S326" s="1827"/>
    </row>
    <row r="327" spans="1:19" ht="13.8">
      <c r="A327" s="1819"/>
      <c r="B327" s="1819"/>
      <c r="C327" s="1819"/>
      <c r="D327" s="1831"/>
      <c r="E327" s="1823" t="s">
        <v>599</v>
      </c>
      <c r="F327" s="1819"/>
      <c r="G327" s="1819"/>
      <c r="H327" s="1819" t="str">
        <f>'Part II-Development Team'!H106</f>
        <v>Atlanta</v>
      </c>
      <c r="I327" s="1827"/>
      <c r="J327" s="1827"/>
      <c r="K327" s="1821" t="s">
        <v>2623</v>
      </c>
      <c r="L327" s="1819" t="str">
        <f>'Part II-Development Team'!L106</f>
        <v>tidwellgroup.com</v>
      </c>
      <c r="M327" s="1827"/>
      <c r="N327" s="1827"/>
      <c r="O327" s="1823" t="s">
        <v>1678</v>
      </c>
      <c r="P327" s="1819"/>
      <c r="Q327" s="2188">
        <f>'Part II-Development Team'!Q106</f>
        <v>2052715514</v>
      </c>
      <c r="R327" s="2188"/>
      <c r="S327" s="2188"/>
    </row>
    <row r="328" spans="1:19" ht="13.8">
      <c r="A328" s="1819"/>
      <c r="B328" s="1819"/>
      <c r="C328" s="1819"/>
      <c r="D328" s="1831"/>
      <c r="E328" s="1823" t="s">
        <v>1753</v>
      </c>
      <c r="F328" s="1819"/>
      <c r="G328" s="1819"/>
      <c r="H328" s="1823" t="str">
        <f>'Part II-Development Team'!H107</f>
        <v>GA</v>
      </c>
      <c r="I328" s="1819"/>
      <c r="J328" s="1819"/>
      <c r="K328" s="1821" t="s">
        <v>2171</v>
      </c>
      <c r="L328" s="2187">
        <f>'Part II-Development Team'!L107</f>
        <v>303285382</v>
      </c>
      <c r="M328" s="1827"/>
      <c r="N328" s="1819"/>
      <c r="O328" s="1823" t="s">
        <v>1930</v>
      </c>
      <c r="P328" s="1819"/>
      <c r="Q328" s="2188">
        <f>'Part II-Development Team'!Q107</f>
        <v>7403577487</v>
      </c>
      <c r="R328" s="2188"/>
      <c r="S328" s="2188"/>
    </row>
    <row r="329" spans="1:19" ht="13.8">
      <c r="A329" s="1827"/>
      <c r="B329" s="1827"/>
      <c r="C329" s="1827"/>
      <c r="D329" s="1827"/>
      <c r="E329" s="1823" t="s">
        <v>3892</v>
      </c>
      <c r="F329" s="1819"/>
      <c r="G329" s="1819"/>
      <c r="H329" s="2188">
        <f>'Part II-Development Team'!H108</f>
        <v>2052715514</v>
      </c>
      <c r="I329" s="2188"/>
      <c r="J329" s="1829">
        <f>'Part II-Development Team'!J108</f>
        <v>0</v>
      </c>
      <c r="K329" s="1821" t="s">
        <v>1935</v>
      </c>
      <c r="L329" s="1965" t="str">
        <f>'Part II-Development Team'!L108</f>
        <v>jessica.smith@tidwellgroup.com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1692</v>
      </c>
      <c r="C331" s="1819" t="s">
        <v>286</v>
      </c>
      <c r="D331" s="1819"/>
      <c r="E331" s="1819"/>
      <c r="F331" s="1819"/>
      <c r="G331" s="1819"/>
      <c r="H331" s="1819" t="str">
        <f>'Part II-Development Team'!H110</f>
        <v>BDCL Architects</v>
      </c>
      <c r="I331" s="1827"/>
      <c r="J331" s="1827"/>
      <c r="K331" s="1827"/>
      <c r="L331" s="1827"/>
      <c r="M331" s="1827"/>
      <c r="N331" s="1827"/>
      <c r="O331" s="1823" t="s">
        <v>1940</v>
      </c>
      <c r="P331" s="1823"/>
      <c r="Q331" s="1819" t="str">
        <f>'Part II-Development Team'!Q110</f>
        <v>Kirk Paisley</v>
      </c>
      <c r="R331" s="1827"/>
      <c r="S331" s="1827"/>
    </row>
    <row r="332" spans="1:19" ht="13.8">
      <c r="A332" s="1819"/>
      <c r="B332" s="1819"/>
      <c r="C332" s="1819"/>
      <c r="D332" s="1831"/>
      <c r="E332" s="1823" t="s">
        <v>998</v>
      </c>
      <c r="F332" s="1826"/>
      <c r="G332" s="1819"/>
      <c r="H332" s="1819" t="str">
        <f>'Part II-Development Team'!H111</f>
        <v>9100 Centre Pointe Dr.</v>
      </c>
      <c r="I332" s="1827"/>
      <c r="J332" s="1827"/>
      <c r="K332" s="1827"/>
      <c r="L332" s="1827"/>
      <c r="M332" s="1827"/>
      <c r="N332" s="1827"/>
      <c r="O332" s="1823" t="s">
        <v>1703</v>
      </c>
      <c r="P332" s="1819"/>
      <c r="Q332" s="1819" t="str">
        <f>'Part II-Development Team'!Q111</f>
        <v>President</v>
      </c>
      <c r="R332" s="1827"/>
      <c r="S332" s="1827"/>
    </row>
    <row r="333" spans="1:19" ht="13.8">
      <c r="A333" s="1819"/>
      <c r="B333" s="1819"/>
      <c r="C333" s="1819"/>
      <c r="D333" s="1831"/>
      <c r="E333" s="1823" t="s">
        <v>599</v>
      </c>
      <c r="F333" s="1819"/>
      <c r="G333" s="1819"/>
      <c r="H333" s="1819" t="str">
        <f>'Part II-Development Team'!H112</f>
        <v>West Chester</v>
      </c>
      <c r="I333" s="1827"/>
      <c r="J333" s="1827"/>
      <c r="K333" s="1821" t="s">
        <v>2623</v>
      </c>
      <c r="L333" s="1819" t="str">
        <f>'Part II-Development Team'!L112</f>
        <v>mvahpartners.com</v>
      </c>
      <c r="M333" s="1827"/>
      <c r="N333" s="1827"/>
      <c r="O333" s="1823" t="s">
        <v>1678</v>
      </c>
      <c r="P333" s="1819"/>
      <c r="Q333" s="2188">
        <f>'Part II-Development Team'!Q112</f>
        <v>5139641154</v>
      </c>
      <c r="R333" s="2188"/>
      <c r="S333" s="2188"/>
    </row>
    <row r="334" spans="1:19" ht="13.8">
      <c r="A334" s="1819"/>
      <c r="B334" s="1819"/>
      <c r="C334" s="1819"/>
      <c r="D334" s="1831"/>
      <c r="E334" s="1823" t="s">
        <v>1753</v>
      </c>
      <c r="F334" s="1819"/>
      <c r="G334" s="1819"/>
      <c r="H334" s="1823" t="str">
        <f>'Part II-Development Team'!H113</f>
        <v>OH</v>
      </c>
      <c r="I334" s="1819"/>
      <c r="J334" s="1819"/>
      <c r="K334" s="1821" t="s">
        <v>2171</v>
      </c>
      <c r="L334" s="2187">
        <f>'Part II-Development Team'!L113</f>
        <v>450694817</v>
      </c>
      <c r="M334" s="1827"/>
      <c r="N334" s="1819"/>
      <c r="O334" s="1823" t="s">
        <v>1930</v>
      </c>
      <c r="P334" s="1819"/>
      <c r="Q334" s="2188">
        <f>'Part II-Development Team'!Q113</f>
        <v>6145719540</v>
      </c>
      <c r="R334" s="2188"/>
      <c r="S334" s="2188"/>
    </row>
    <row r="335" spans="1:19" ht="13.8">
      <c r="A335" s="1819"/>
      <c r="B335" s="1819"/>
      <c r="C335" s="1819"/>
      <c r="D335" s="1831"/>
      <c r="E335" s="1823" t="s">
        <v>3892</v>
      </c>
      <c r="F335" s="1819"/>
      <c r="G335" s="1819"/>
      <c r="H335" s="2188">
        <f>'Part II-Development Team'!H114</f>
        <v>5139641154</v>
      </c>
      <c r="I335" s="2188"/>
      <c r="J335" s="1829">
        <f>'Part II-Development Team'!J114</f>
        <v>0</v>
      </c>
      <c r="K335" s="1821" t="s">
        <v>1935</v>
      </c>
      <c r="L335" s="1965" t="str">
        <f>'Part II-Development Team'!L114</f>
        <v>kirk.paisley@mvahpartners.com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1747</v>
      </c>
      <c r="B337" s="1819" t="s">
        <v>2534</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1934</v>
      </c>
      <c r="C338" s="1819" t="s">
        <v>6852</v>
      </c>
      <c r="D338" s="1819"/>
      <c r="E338" s="1819"/>
      <c r="F338" s="1819"/>
      <c r="G338" s="1819"/>
      <c r="H338" s="1819" t="str">
        <f>'Part II-Development Team'!H117</f>
        <v>Sams Partners LP</v>
      </c>
      <c r="I338" s="1819"/>
      <c r="J338" s="1819"/>
      <c r="K338" s="1821" t="s">
        <v>2408</v>
      </c>
      <c r="L338" s="1819" t="str">
        <f>'Part II-Development Team'!L117</f>
        <v>Griffin Lotson</v>
      </c>
      <c r="M338" s="1827"/>
      <c r="N338" s="1827"/>
      <c r="O338" s="1823" t="s">
        <v>3438</v>
      </c>
      <c r="P338" s="1819"/>
      <c r="Q338" s="2188">
        <f>'Part II-Development Team'!Q117</f>
        <v>9125719014</v>
      </c>
      <c r="R338" s="2188"/>
      <c r="S338" s="2188"/>
    </row>
    <row r="339" spans="1:19" ht="13.8">
      <c r="A339" s="1819"/>
      <c r="B339" s="1819"/>
      <c r="C339" s="1819"/>
      <c r="D339" s="1831"/>
      <c r="E339" s="1823" t="s">
        <v>998</v>
      </c>
      <c r="F339" s="1826"/>
      <c r="G339" s="1819"/>
      <c r="H339" s="1819" t="str">
        <f>'Part II-Development Team'!H118</f>
        <v>1072 Morning Glory Ln</v>
      </c>
      <c r="I339" s="1827"/>
      <c r="J339" s="1827"/>
      <c r="K339" s="1827"/>
      <c r="L339" s="1827"/>
      <c r="M339" s="1827"/>
      <c r="N339" s="1827"/>
      <c r="O339" s="1823" t="s">
        <v>599</v>
      </c>
      <c r="P339" s="1819"/>
      <c r="Q339" s="1819" t="str">
        <f>'Part II-Development Team'!Q118</f>
        <v>Darien</v>
      </c>
      <c r="R339" s="1827"/>
      <c r="S339" s="1827"/>
    </row>
    <row r="340" spans="1:19" ht="13.8">
      <c r="A340" s="1819"/>
      <c r="B340" s="1819"/>
      <c r="C340" s="1819"/>
      <c r="D340" s="1831"/>
      <c r="E340" s="1823" t="s">
        <v>1753</v>
      </c>
      <c r="F340" s="1819"/>
      <c r="G340" s="1819"/>
      <c r="H340" s="1823" t="str">
        <f>'Part II-Development Team'!H119</f>
        <v>GA</v>
      </c>
      <c r="I340" s="1821" t="s">
        <v>2171</v>
      </c>
      <c r="J340" s="2187">
        <f>'Part II-Development Team'!J119</f>
        <v>313053328</v>
      </c>
      <c r="K340" s="1827"/>
      <c r="L340" s="1821" t="s">
        <v>1935</v>
      </c>
      <c r="M340" s="1965" t="str">
        <f>'Part II-Development Team'!M119</f>
        <v>griffinlotson@gmail.com</v>
      </c>
      <c r="N340" s="1965"/>
      <c r="O340" s="1965"/>
      <c r="P340" s="1965"/>
      <c r="Q340" s="1965"/>
      <c r="R340" s="1965"/>
      <c r="S340" s="1965"/>
    </row>
    <row r="341" spans="1:19" ht="13.8">
      <c r="A341" s="1827"/>
      <c r="B341" s="1819" t="s">
        <v>1936</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3654</v>
      </c>
      <c r="B342" s="1819"/>
      <c r="C342" s="1819"/>
      <c r="D342" s="1819"/>
      <c r="E342" s="1819"/>
      <c r="F342" s="1821" t="s">
        <v>2442</v>
      </c>
      <c r="G342" s="1819" t="s">
        <v>3355</v>
      </c>
      <c r="H342" s="1819"/>
      <c r="I342" s="1819"/>
      <c r="J342" s="1819"/>
      <c r="K342" s="1819"/>
      <c r="L342" s="1819"/>
      <c r="M342" s="1819"/>
      <c r="N342" s="1819"/>
      <c r="O342" s="1819"/>
      <c r="P342" s="1819"/>
      <c r="Q342" s="1819"/>
      <c r="R342" s="1819"/>
      <c r="S342" s="1819"/>
    </row>
    <row r="343" spans="1:19" ht="13.95" customHeight="1">
      <c r="A343" s="1819"/>
      <c r="B343" s="1844"/>
      <c r="C343" s="2070" t="s">
        <v>1937</v>
      </c>
      <c r="D343" s="1844" t="s">
        <v>2735</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1939</v>
      </c>
      <c r="D344" s="1844" t="s">
        <v>2796</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2466</v>
      </c>
      <c r="D345" s="1844" t="s">
        <v>2775</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1197</v>
      </c>
      <c r="D346" s="1844" t="s">
        <v>2736</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1198</v>
      </c>
      <c r="D347" s="1844" t="s">
        <v>3346</v>
      </c>
      <c r="E347" s="1844"/>
      <c r="F347" s="2071" t="str">
        <f>'Part II-Development Team'!F126</f>
        <v>Yes</v>
      </c>
      <c r="G347" s="1956" t="str">
        <f>'Part II-Development Team'!G126</f>
        <v>State Investment Partner, Monarch Private Capital, is a passive Investor in MVAH Partners but is not a managing partner and does not have day to day control or decisionmaking authority over MVAH Partners and related parties.</v>
      </c>
      <c r="H347" s="1956"/>
      <c r="I347" s="1956"/>
      <c r="J347" s="1956"/>
      <c r="K347" s="1956"/>
      <c r="L347" s="1956"/>
      <c r="M347" s="1956"/>
      <c r="N347" s="1956"/>
      <c r="O347" s="1956"/>
      <c r="P347" s="1956"/>
      <c r="Q347" s="1956"/>
      <c r="R347" s="1956"/>
      <c r="S347" s="1956"/>
    </row>
    <row r="348" spans="1:19" ht="13.95" customHeight="1">
      <c r="A348" s="1819"/>
      <c r="B348" s="1844"/>
      <c r="C348" s="2070" t="s">
        <v>1832</v>
      </c>
      <c r="D348" s="1844" t="s">
        <v>3347</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491</v>
      </c>
      <c r="D349" s="1844" t="s">
        <v>2737</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492</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Other (Indicate here the two roles involved)</v>
      </c>
      <c r="E351" s="1844"/>
      <c r="F351" s="2071" t="str">
        <f>'Part II-Development Team'!F130</f>
        <v>Yes</v>
      </c>
      <c r="G351" s="1956" t="str">
        <f>'Part II-Development Team'!G130</f>
        <v>MVAH Partners LLC owns MVAH Development LLC (co-developer), MVAH Twin Oaks Commons LLC (managing general partner / member), and MVAH Management LLC (management company).</v>
      </c>
      <c r="H351" s="1956"/>
      <c r="I351" s="1956"/>
      <c r="J351" s="1956"/>
      <c r="K351" s="1956"/>
      <c r="L351" s="1956"/>
      <c r="M351" s="1956"/>
      <c r="N351" s="1956"/>
      <c r="O351" s="1956"/>
      <c r="P351" s="1956"/>
      <c r="Q351" s="1956"/>
      <c r="R351" s="1956"/>
      <c r="S351" s="1956"/>
    </row>
    <row r="352" spans="1:19" ht="13.8">
      <c r="A352" s="1819" t="s">
        <v>1747</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730</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621</v>
      </c>
      <c r="B355" s="1844"/>
      <c r="C355" s="1844"/>
      <c r="D355" s="1844"/>
      <c r="E355" s="1844" t="s">
        <v>3331</v>
      </c>
      <c r="F355" s="1844"/>
      <c r="G355" s="1844"/>
      <c r="H355" s="1844"/>
      <c r="I355" s="1844"/>
      <c r="J355" s="1844" t="s">
        <v>3332</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2442</v>
      </c>
      <c r="J359" s="1844"/>
      <c r="K359" s="1844"/>
      <c r="L359" s="1844"/>
      <c r="M359" s="1829" t="s">
        <v>2442</v>
      </c>
      <c r="N359" s="1827" t="s">
        <v>2801</v>
      </c>
      <c r="O359" s="1827"/>
      <c r="P359" s="1827"/>
      <c r="Q359" s="1827"/>
      <c r="R359" s="1827"/>
      <c r="S359" s="1827"/>
    </row>
    <row r="360" spans="1:19" ht="13.95" customHeight="1">
      <c r="A360" s="1887" t="s">
        <v>3326</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 xml:space="preserve">MVAH Partners LLC owns MVAH Development LLC (co-developer), MVAH Twin Oaks Commons LLC (managing general partner / member), and MVAH Management LLC (management company). </v>
      </c>
      <c r="O360" s="1956"/>
      <c r="P360" s="1956"/>
      <c r="Q360" s="1956"/>
      <c r="R360" s="1956"/>
      <c r="S360" s="1956"/>
    </row>
    <row r="361" spans="1:19" ht="13.95" customHeight="1">
      <c r="A361" s="1887" t="s">
        <v>3327</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3328</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3329</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3330</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Yes</v>
      </c>
      <c r="N364" s="1956" t="str">
        <f>'Part II-Development Team'!N143</f>
        <v>State Investment Partner, Monarch Private Capital, is a passive Investor in MVAH Partners but is not a managing partner and does not have day to day control or decisionmaking authority over MVAH Partners and related parties.</v>
      </c>
      <c r="O364" s="1956"/>
      <c r="P364" s="1956"/>
      <c r="Q364" s="1956"/>
      <c r="R364" s="1956"/>
      <c r="S364" s="1956"/>
    </row>
    <row r="365" spans="1:19" ht="13.95" customHeight="1">
      <c r="A365" s="1887" t="s">
        <v>2790</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634</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MVAH Partners LLC owns MVAH Development LLC (co-developer), MVAH Twin Oaks Commons LLC (managing general partner / member), and MVAH Management LLC (management company). </v>
      </c>
      <c r="O366" s="1956"/>
      <c r="P366" s="1956"/>
      <c r="Q366" s="1956"/>
      <c r="R366" s="1956"/>
      <c r="S366" s="1956"/>
    </row>
    <row r="367" spans="1:19" ht="13.95" customHeight="1">
      <c r="A367" s="1887" t="s">
        <v>2791</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2792</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2794</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2793</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1496</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2795</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 xml:space="preserve">MVAH Partners LLC owns MVAH Development LLC (co-developer), MVAH Twin Oaks Commons LLC (managing general partner / member), and MVAH Management LLC (management company). </v>
      </c>
      <c r="O372" s="1956"/>
      <c r="P372" s="1956"/>
      <c r="Q372" s="1956"/>
      <c r="R372" s="1956"/>
      <c r="S372" s="1956"/>
    </row>
    <row r="373" spans="1:20" ht="13.8">
      <c r="A373" s="1819"/>
      <c r="B373" s="1819"/>
      <c r="C373" s="1819"/>
      <c r="D373" s="1819"/>
      <c r="E373" s="1819"/>
      <c r="F373" s="1819"/>
      <c r="G373" s="1819"/>
      <c r="H373" s="1819"/>
      <c r="I373" s="1819"/>
      <c r="J373" s="1821"/>
      <c r="K373" s="1840" t="s">
        <v>523</v>
      </c>
      <c r="L373" s="1848">
        <f>SUM(L360:L372)</f>
        <v>1</v>
      </c>
      <c r="M373" s="1821"/>
      <c r="N373" s="1819"/>
      <c r="O373" s="1819"/>
      <c r="P373" s="1827"/>
      <c r="Q373" s="1819"/>
      <c r="R373" s="1819"/>
      <c r="S373" s="1819"/>
    </row>
    <row r="374" spans="1:20" ht="13.8">
      <c r="A374" s="1827" t="s">
        <v>515</v>
      </c>
      <c r="B374" s="1827"/>
      <c r="C374" s="1827" t="s">
        <v>554</v>
      </c>
      <c r="D374" s="1827"/>
      <c r="E374" s="1827"/>
      <c r="F374" s="1827"/>
      <c r="G374" s="1827"/>
      <c r="H374" s="1827"/>
      <c r="I374" s="1827"/>
      <c r="J374" s="1827"/>
      <c r="K374" s="1827"/>
      <c r="L374" s="1827"/>
      <c r="M374" s="1827"/>
      <c r="N374" s="1827" t="s">
        <v>515</v>
      </c>
      <c r="O374" s="1827" t="s">
        <v>77</v>
      </c>
      <c r="P374" s="1827"/>
      <c r="Q374" s="1827"/>
      <c r="R374" s="1827"/>
      <c r="S374" s="1827"/>
    </row>
    <row r="375" spans="1:20">
      <c r="A375" s="1887" t="str">
        <f>'Part II-Development Team'!A154</f>
        <v>MVAH Partners LLC owns MVAH Development LLC (co-developer), MVAH Twin Oaks Commons LLC (managing general partner / member), and MVAH Management LLC (management company).</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2020-050 Twin Oaks Commons, Ludowici, Long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597</v>
      </c>
      <c r="B382" s="1819" t="s">
        <v>2424</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2605</v>
      </c>
    </row>
    <row r="384" spans="1:20" ht="13.95" customHeight="1">
      <c r="A384" s="1821"/>
      <c r="B384" s="1821" t="str">
        <f>'Part III-Sources of Funds'!B5</f>
        <v>Yes</v>
      </c>
      <c r="C384" s="1823" t="s">
        <v>2346</v>
      </c>
      <c r="D384" s="1819"/>
      <c r="E384" s="1821" t="str">
        <f>'Part III-Sources of Funds'!E5</f>
        <v>No</v>
      </c>
      <c r="F384" s="1823" t="s">
        <v>6816</v>
      </c>
      <c r="G384" s="1819"/>
      <c r="H384" s="2199">
        <f>'Part III-Sources of Funds'!H5</f>
        <v>0</v>
      </c>
      <c r="I384" s="1815"/>
      <c r="J384" s="1849"/>
      <c r="K384" s="1849"/>
      <c r="L384" s="1821" t="str">
        <f>'Part III-Sources of Funds'!L5</f>
        <v>No</v>
      </c>
      <c r="M384" s="1823" t="s">
        <v>1503</v>
      </c>
      <c r="N384" s="1849"/>
      <c r="O384" s="1821" t="str">
        <f>'Part III-Sources of Funds'!O5</f>
        <v>No</v>
      </c>
      <c r="P384" s="1887" t="s">
        <v>4486</v>
      </c>
      <c r="Q384" s="1887"/>
      <c r="R384" s="1849"/>
      <c r="S384" s="1887"/>
      <c r="T384" s="1887"/>
    </row>
    <row r="385" spans="1:20" ht="13.8">
      <c r="A385" s="1821"/>
      <c r="B385" s="1821" t="str">
        <f>'Part III-Sources of Funds'!B6</f>
        <v>No</v>
      </c>
      <c r="C385" s="1823" t="s">
        <v>4426</v>
      </c>
      <c r="D385" s="1819"/>
      <c r="E385" s="1821" t="str">
        <f>'Part III-Sources of Funds'!E6</f>
        <v>No</v>
      </c>
      <c r="F385" s="1823" t="s">
        <v>6817</v>
      </c>
      <c r="G385" s="1849"/>
      <c r="H385" s="2199">
        <f>'Part III-Sources of Funds'!H6</f>
        <v>0</v>
      </c>
      <c r="I385" s="1815"/>
      <c r="J385" s="1849"/>
      <c r="K385" s="1849"/>
      <c r="L385" s="1821" t="str">
        <f>'Part III-Sources of Funds'!L6</f>
        <v>No</v>
      </c>
      <c r="M385" s="1823" t="s">
        <v>533</v>
      </c>
      <c r="N385" s="1849"/>
      <c r="O385" s="1849"/>
      <c r="P385" s="1887"/>
      <c r="Q385" s="1887"/>
      <c r="R385" s="1849"/>
      <c r="S385" s="1887"/>
      <c r="T385" s="1887"/>
    </row>
    <row r="386" spans="1:20" ht="13.8">
      <c r="A386" s="1819"/>
      <c r="B386" s="1821" t="str">
        <f>'Part III-Sources of Funds'!B7</f>
        <v>No</v>
      </c>
      <c r="C386" s="1823" t="s">
        <v>534</v>
      </c>
      <c r="D386" s="1849"/>
      <c r="E386" s="1849"/>
      <c r="F386" s="1819" t="s">
        <v>6818</v>
      </c>
      <c r="G386" s="1849"/>
      <c r="H386" s="1849" t="str">
        <f>'Part III-Sources of Funds'!H7</f>
        <v>Specify Other HOME Source here</v>
      </c>
      <c r="I386" s="1849"/>
      <c r="J386" s="1849"/>
      <c r="K386" s="1849"/>
      <c r="L386" s="1821" t="str">
        <f>'Part III-Sources of Funds'!L7</f>
        <v>No</v>
      </c>
      <c r="M386" s="1823" t="s">
        <v>3453</v>
      </c>
      <c r="N386" s="1849"/>
      <c r="O386" s="1849"/>
      <c r="P386" s="1887"/>
      <c r="Q386" s="1887"/>
      <c r="R386" s="1849"/>
      <c r="S386" s="1887"/>
      <c r="T386" s="1887"/>
    </row>
    <row r="387" spans="1:20" ht="13.8">
      <c r="A387" s="1821"/>
      <c r="B387" s="1821" t="str">
        <f>'Part III-Sources of Funds'!B8</f>
        <v>No</v>
      </c>
      <c r="C387" s="1823" t="s">
        <v>2532</v>
      </c>
      <c r="D387" s="1849"/>
      <c r="E387" s="1821" t="str">
        <f>'Part III-Sources of Funds'!E8</f>
        <v>No</v>
      </c>
      <c r="F387" s="1823" t="s">
        <v>2540</v>
      </c>
      <c r="G387" s="1849"/>
      <c r="H387" s="1849"/>
      <c r="I387" s="1849"/>
      <c r="J387" s="1849"/>
      <c r="K387" s="1849"/>
      <c r="L387" s="1821" t="str">
        <f>'Part III-Sources of Funds'!L8</f>
        <v>No</v>
      </c>
      <c r="M387" s="1823" t="s">
        <v>4427</v>
      </c>
      <c r="N387" s="1849"/>
      <c r="O387" s="1849"/>
      <c r="P387" s="1849"/>
      <c r="Q387" s="1849"/>
      <c r="R387" s="1849"/>
      <c r="S387" s="1887"/>
      <c r="T387" s="1887"/>
    </row>
    <row r="388" spans="1:20" ht="13.8">
      <c r="A388" s="1821"/>
      <c r="B388" s="1821" t="str">
        <f>'Part III-Sources of Funds'!B9</f>
        <v>No</v>
      </c>
      <c r="C388" s="1823" t="s">
        <v>2533</v>
      </c>
      <c r="D388" s="1849"/>
      <c r="E388" s="1821" t="str">
        <f>'Part III-Sources of Funds'!E9</f>
        <v>No</v>
      </c>
      <c r="F388" s="1823" t="s">
        <v>3537</v>
      </c>
      <c r="G388" s="1849"/>
      <c r="H388" s="1849" t="str">
        <f>'Part III-Sources of Funds'!H9</f>
        <v>Specify Other PBRA Source here</v>
      </c>
      <c r="I388" s="1849"/>
      <c r="J388" s="1849"/>
      <c r="K388" s="1849"/>
      <c r="L388" s="1821" t="str">
        <f>'Part III-Sources of Funds'!L9</f>
        <v>No</v>
      </c>
      <c r="M388" s="1823" t="s">
        <v>3502</v>
      </c>
      <c r="N388" s="1849"/>
      <c r="O388" s="1849"/>
      <c r="P388" s="1849"/>
      <c r="Q388" s="1849"/>
      <c r="R388" s="1849"/>
      <c r="S388" s="1887"/>
      <c r="T388" s="1887"/>
    </row>
    <row r="389" spans="1:20" ht="13.8">
      <c r="A389" s="1821"/>
      <c r="B389" s="1821" t="str">
        <f>'Part III-Sources of Funds'!B10</f>
        <v>No</v>
      </c>
      <c r="C389" s="1823" t="s">
        <v>3506</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2541</v>
      </c>
      <c r="N389" s="1849"/>
      <c r="O389" s="1849"/>
      <c r="P389" s="1849"/>
      <c r="Q389" s="1849"/>
      <c r="R389" s="1849"/>
      <c r="S389" s="1887"/>
      <c r="T389" s="1887"/>
    </row>
    <row r="390" spans="1:20" ht="13.8">
      <c r="A390" s="1821"/>
      <c r="B390" s="1821" t="str">
        <f>'Part III-Sources of Funds'!B11</f>
        <v>No</v>
      </c>
      <c r="C390" s="1819" t="s">
        <v>3659</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3540</v>
      </c>
      <c r="N390" s="1849"/>
      <c r="O390" s="1849"/>
      <c r="P390" s="1849"/>
      <c r="Q390" s="1849"/>
      <c r="R390" s="1849"/>
      <c r="S390" s="1887"/>
      <c r="T390" s="1887"/>
    </row>
    <row r="391" spans="1:20" ht="13.8">
      <c r="A391" s="1821"/>
      <c r="B391" s="1821" t="str">
        <f>'Part III-Sources of Funds'!B12</f>
        <v>No</v>
      </c>
      <c r="C391" s="1819" t="s">
        <v>2539</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2703</v>
      </c>
      <c r="N391" s="1849"/>
      <c r="O391" s="1849"/>
      <c r="P391" s="1849"/>
      <c r="Q391" s="1849"/>
      <c r="R391" s="1849"/>
      <c r="S391" s="1887"/>
      <c r="T391" s="1887"/>
    </row>
    <row r="392" spans="1:20" ht="13.8">
      <c r="A392" s="1821"/>
      <c r="B392" s="1821" t="str">
        <f>'Part III-Sources of Funds'!B13</f>
        <v>No</v>
      </c>
      <c r="C392" s="1819" t="s">
        <v>3536</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3658</v>
      </c>
      <c r="N392" s="1849"/>
      <c r="O392" s="1849"/>
      <c r="P392" s="1849"/>
      <c r="Q392" s="1849"/>
      <c r="R392" s="1849"/>
      <c r="S392" s="1887"/>
      <c r="T392" s="1887"/>
    </row>
    <row r="393" spans="1:20" ht="13.8">
      <c r="A393" s="1821"/>
      <c r="B393" s="1821" t="str">
        <f>'Part III-Sources of Funds'!B14</f>
        <v>No</v>
      </c>
      <c r="C393" s="1823" t="s">
        <v>1756</v>
      </c>
      <c r="D393" s="1849"/>
      <c r="E393" s="1821" t="str">
        <f>'Part III-Sources of Funds'!E14</f>
        <v>No</v>
      </c>
      <c r="F393" s="1823" t="s">
        <v>4424</v>
      </c>
      <c r="G393" s="1849"/>
      <c r="H393" s="1849"/>
      <c r="I393" s="2199">
        <f>'Part III-Sources of Funds'!I14</f>
        <v>0</v>
      </c>
      <c r="J393" s="1815"/>
      <c r="K393" s="1849"/>
      <c r="L393" s="1821" t="str">
        <f>'Part III-Sources of Funds'!L14</f>
        <v>No</v>
      </c>
      <c r="M393" s="1820" t="s">
        <v>6819</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721</v>
      </c>
      <c r="B396" s="1823" t="s">
        <v>2284</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1822</v>
      </c>
      <c r="C398" s="1819"/>
      <c r="D398" s="1819"/>
      <c r="E398" s="1819"/>
      <c r="F398" s="1819"/>
      <c r="G398" s="1819"/>
      <c r="H398" s="1819" t="s">
        <v>1270</v>
      </c>
      <c r="I398" s="1819"/>
      <c r="J398" s="1819"/>
      <c r="K398" s="1819"/>
      <c r="L398" s="1819" t="s">
        <v>4387</v>
      </c>
      <c r="M398" s="1819"/>
      <c r="N398" s="1819" t="s">
        <v>1474</v>
      </c>
      <c r="O398" s="1819"/>
      <c r="P398" s="1819" t="s">
        <v>1596</v>
      </c>
      <c r="Q398" s="1819"/>
      <c r="R398" s="1849"/>
      <c r="S398" s="1995" t="s">
        <v>2605</v>
      </c>
    </row>
    <row r="399" spans="1:20" ht="13.8">
      <c r="A399" s="1819"/>
      <c r="B399" s="1819" t="s">
        <v>1557</v>
      </c>
      <c r="C399" s="1819"/>
      <c r="D399" s="1819"/>
      <c r="E399" s="1819"/>
      <c r="F399" s="1819"/>
      <c r="G399" s="1819"/>
      <c r="H399" s="1819" t="str">
        <f>'Part III-Sources of Funds'!H20</f>
        <v>PNC Bank, N.A.</v>
      </c>
      <c r="I399" s="1819"/>
      <c r="J399" s="1819"/>
      <c r="K399" s="1819"/>
      <c r="L399" s="1861">
        <f>'Part III-Sources of Funds'!L20</f>
        <v>5010000</v>
      </c>
      <c r="M399" s="1861"/>
      <c r="N399" s="1850">
        <f>'Part III-Sources of Funds'!N20</f>
        <v>0.04</v>
      </c>
      <c r="O399" s="1850"/>
      <c r="P399" s="2200">
        <f>'Part III-Sources of Funds'!P20</f>
        <v>24</v>
      </c>
      <c r="Q399" s="2200"/>
      <c r="R399" s="1849"/>
      <c r="S399" s="1887"/>
      <c r="T399" s="1887"/>
    </row>
    <row r="400" spans="1:20" ht="13.8">
      <c r="A400" s="1819"/>
      <c r="B400" s="1819" t="s">
        <v>1558</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1559</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2157</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780</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622</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781</v>
      </c>
      <c r="C405" s="1819"/>
      <c r="D405" s="1819"/>
      <c r="E405" s="1819"/>
      <c r="F405" s="1849"/>
      <c r="G405" s="1849"/>
      <c r="H405" s="1819" t="str">
        <f>'Part III-Sources of Funds'!H26</f>
        <v>PNC Bank, N.A.</v>
      </c>
      <c r="I405" s="1819"/>
      <c r="J405" s="1819"/>
      <c r="K405" s="1819"/>
      <c r="L405" s="1861">
        <f>'Part III-Sources of Funds'!L26</f>
        <v>329967</v>
      </c>
      <c r="M405" s="1861"/>
      <c r="N405" s="1819"/>
      <c r="O405" s="1849"/>
      <c r="P405" s="1849"/>
      <c r="Q405" s="1819"/>
      <c r="R405" s="1849"/>
      <c r="S405" s="1887"/>
      <c r="T405" s="1887"/>
    </row>
    <row r="406" spans="1:20" ht="13.8">
      <c r="A406" s="1819"/>
      <c r="B406" s="1819" t="s">
        <v>782</v>
      </c>
      <c r="C406" s="1819"/>
      <c r="D406" s="1819"/>
      <c r="E406" s="1819"/>
      <c r="F406" s="1849"/>
      <c r="G406" s="1849"/>
      <c r="H406" s="1819" t="str">
        <f>'Part III-Sources of Funds'!H27</f>
        <v>Monarch Private Capital</v>
      </c>
      <c r="I406" s="1819"/>
      <c r="J406" s="1819"/>
      <c r="K406" s="1819"/>
      <c r="L406" s="1861">
        <f>'Part III-Sources of Funds'!L27</f>
        <v>198750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1271</v>
      </c>
      <c r="C410" s="1819"/>
      <c r="D410" s="1819"/>
      <c r="E410" s="1819"/>
      <c r="F410" s="1819"/>
      <c r="G410" s="1819"/>
      <c r="H410" s="1819"/>
      <c r="I410" s="1819"/>
      <c r="J410" s="1849"/>
      <c r="K410" s="1849"/>
      <c r="L410" s="1852">
        <f>SUM(L399:L409)</f>
        <v>5538717</v>
      </c>
      <c r="M410" s="1852"/>
      <c r="N410" s="1827"/>
      <c r="O410" s="1849"/>
      <c r="P410" s="1849"/>
      <c r="Q410" s="1849"/>
      <c r="R410" s="1849"/>
      <c r="S410" s="1887"/>
      <c r="T410" s="1887"/>
    </row>
    <row r="411" spans="1:20" ht="13.8">
      <c r="A411" s="1819"/>
      <c r="B411" s="1823" t="s">
        <v>1272</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4817874.55</v>
      </c>
      <c r="M411" s="1852"/>
      <c r="N411" s="1827"/>
      <c r="O411" s="1849"/>
      <c r="P411" s="1849"/>
      <c r="Q411" s="1849"/>
      <c r="R411" s="1849"/>
      <c r="S411" s="1887"/>
      <c r="T411" s="1887"/>
    </row>
    <row r="412" spans="1:20" ht="13.8">
      <c r="A412" s="1819"/>
      <c r="B412" s="1823" t="s">
        <v>2105</v>
      </c>
      <c r="C412" s="1819"/>
      <c r="D412" s="1819"/>
      <c r="E412" s="1819"/>
      <c r="F412" s="1819"/>
      <c r="G412" s="1819"/>
      <c r="H412" s="1819"/>
      <c r="I412" s="1819"/>
      <c r="J412" s="1849"/>
      <c r="K412" s="1849"/>
      <c r="L412" s="1882">
        <f>L410-L411</f>
        <v>720842.45000000019</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723</v>
      </c>
      <c r="B414" s="1823" t="s">
        <v>779</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2049</v>
      </c>
      <c r="L415" s="1821" t="s">
        <v>1268</v>
      </c>
      <c r="M415" s="1821" t="s">
        <v>1273</v>
      </c>
      <c r="N415" s="1849"/>
      <c r="O415" s="1849"/>
      <c r="P415" s="1827" t="s">
        <v>32</v>
      </c>
      <c r="Q415" s="1827"/>
      <c r="R415" s="1849"/>
      <c r="S415" s="1849"/>
      <c r="T415" s="1849"/>
    </row>
    <row r="416" spans="1:20" ht="13.8">
      <c r="A416" s="1819"/>
      <c r="B416" s="1823" t="s">
        <v>1822</v>
      </c>
      <c r="C416" s="1819"/>
      <c r="D416" s="1819"/>
      <c r="E416" s="1819" t="s">
        <v>1270</v>
      </c>
      <c r="F416" s="1819"/>
      <c r="G416" s="1819"/>
      <c r="H416" s="1819"/>
      <c r="I416" s="1819" t="s">
        <v>4386</v>
      </c>
      <c r="J416" s="1819"/>
      <c r="K416" s="1821" t="s">
        <v>1759</v>
      </c>
      <c r="L416" s="1821" t="s">
        <v>2156</v>
      </c>
      <c r="M416" s="1821" t="s">
        <v>2156</v>
      </c>
      <c r="N416" s="1819" t="s">
        <v>72</v>
      </c>
      <c r="O416" s="1819"/>
      <c r="P416" s="1827"/>
      <c r="Q416" s="1827"/>
      <c r="R416" s="1849"/>
      <c r="S416" s="1995" t="s">
        <v>2605</v>
      </c>
    </row>
    <row r="417" spans="1:20" ht="13.8">
      <c r="A417" s="1819"/>
      <c r="B417" s="1819" t="s">
        <v>2545</v>
      </c>
      <c r="C417" s="1819"/>
      <c r="D417" s="1819"/>
      <c r="E417" s="1819" t="str">
        <f>'Part III-Sources of Funds'!E38</f>
        <v>PNC Bank, N.A.</v>
      </c>
      <c r="F417" s="1819"/>
      <c r="G417" s="1819"/>
      <c r="H417" s="1819"/>
      <c r="I417" s="1882">
        <f>'Part III-Sources of Funds'!I38</f>
        <v>375000</v>
      </c>
      <c r="J417" s="1819"/>
      <c r="K417" s="1851">
        <f>'Part III-Sources of Funds'!K38</f>
        <v>4.2500000000000003E-2</v>
      </c>
      <c r="L417" s="1821">
        <f>-'Part III-Sources of Funds'!L38</f>
        <v>-15</v>
      </c>
      <c r="M417" s="1821">
        <f>-'Part III-Sources of Funds'!M38</f>
        <v>-30</v>
      </c>
      <c r="N417" s="1819" t="e">
        <f>-'Part III-Sources of Funds'!N38</f>
        <v>#VALUE!</v>
      </c>
      <c r="O417" s="1819"/>
      <c r="P417" s="1852">
        <f>-'Part III-Sources of Funds'!P38</f>
        <v>-22137.295098576764</v>
      </c>
      <c r="Q417" s="1852"/>
      <c r="R417" s="1849"/>
      <c r="S417" s="1887"/>
      <c r="T417" s="1887"/>
    </row>
    <row r="418" spans="1:20" ht="13.8">
      <c r="A418" s="1819"/>
      <c r="B418" s="1819" t="s">
        <v>2546</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2547</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722</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5.9062000000000003E-2</v>
      </c>
      <c r="E422" s="1819" t="str">
        <f>'Part III-Sources of Funds'!E43</f>
        <v>MVAH Development LLC</v>
      </c>
      <c r="F422" s="1819"/>
      <c r="G422" s="1819"/>
      <c r="H422" s="1819"/>
      <c r="I422" s="1882">
        <f>'Part III-Sources of Funds'!I43</f>
        <v>29531</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245591.43822867528</v>
      </c>
      <c r="G424" s="1849"/>
      <c r="H424" s="1855" t="s">
        <v>3829</v>
      </c>
      <c r="I424" s="1854">
        <f>'Part III-Sources of Funds'!I45</f>
        <v>29528.725701423235</v>
      </c>
      <c r="J424" s="1849"/>
      <c r="K424" s="1855" t="s">
        <v>3831</v>
      </c>
      <c r="L424" s="1856">
        <f>'Part III-Sources of Funds'!L45</f>
        <v>0.12023515931336509</v>
      </c>
      <c r="M424" s="1856"/>
      <c r="N424" s="1852" t="s">
        <v>4394</v>
      </c>
      <c r="O424" s="1852"/>
      <c r="P424" s="1857">
        <f>'Part III-Sources of Funds'!P45</f>
        <v>0.19754928816109896</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2157</v>
      </c>
      <c r="C426" s="1819"/>
      <c r="D426" s="1819"/>
      <c r="E426" s="1819">
        <f>'Part III-Sources of Funds'!E47</f>
        <v>0</v>
      </c>
      <c r="F426" s="1819"/>
      <c r="G426" s="1819"/>
      <c r="H426" s="1819"/>
      <c r="I426" s="1882">
        <f>'Part III-Sources of Funds'!I47</f>
        <v>0</v>
      </c>
      <c r="J426" s="1819"/>
      <c r="K426" s="1819"/>
      <c r="L426" s="1819"/>
      <c r="M426" s="1819"/>
      <c r="N426" s="1819"/>
      <c r="O426" s="1819"/>
      <c r="P426" s="1821" t="s">
        <v>501</v>
      </c>
      <c r="Q426" s="1819"/>
      <c r="R426" s="1849"/>
      <c r="S426" s="1887"/>
      <c r="T426" s="1887"/>
    </row>
    <row r="427" spans="1:20" ht="13.8">
      <c r="A427" s="1819"/>
      <c r="B427" s="1819" t="s">
        <v>780</v>
      </c>
      <c r="C427" s="1819"/>
      <c r="D427" s="1819"/>
      <c r="E427" s="1819">
        <f>'Part III-Sources of Funds'!E48</f>
        <v>0</v>
      </c>
      <c r="F427" s="1819"/>
      <c r="G427" s="1819"/>
      <c r="H427" s="1819"/>
      <c r="I427" s="1882">
        <f>'Part III-Sources of Funds'!I48</f>
        <v>0</v>
      </c>
      <c r="J427" s="1819"/>
      <c r="K427" s="1849"/>
      <c r="L427" s="1849" t="s">
        <v>502</v>
      </c>
      <c r="M427" s="1849"/>
      <c r="N427" s="1836" t="s">
        <v>503</v>
      </c>
      <c r="O427" s="1836"/>
      <c r="P427" s="2074" t="s">
        <v>2492</v>
      </c>
      <c r="Q427" s="1819"/>
      <c r="R427" s="1849"/>
      <c r="S427" s="1887"/>
      <c r="T427" s="1887"/>
    </row>
    <row r="428" spans="1:20" ht="13.8">
      <c r="A428" s="1819"/>
      <c r="B428" s="1819" t="s">
        <v>781</v>
      </c>
      <c r="C428" s="1819"/>
      <c r="D428" s="1819"/>
      <c r="E428" s="1819" t="str">
        <f>'Part III-Sources of Funds'!E49</f>
        <v>PNC Bank, N.A.</v>
      </c>
      <c r="F428" s="1819"/>
      <c r="G428" s="1819"/>
      <c r="H428" s="1819"/>
      <c r="I428" s="1882">
        <f>'Part III-Sources of Funds'!I49</f>
        <v>3299670</v>
      </c>
      <c r="J428" s="1819"/>
      <c r="K428" s="1849"/>
      <c r="L428" s="1858">
        <f>'Part III-Sources of Funds'!L49</f>
        <v>3300000</v>
      </c>
      <c r="M428" s="1858"/>
      <c r="N428" s="1859">
        <f>'Part III-Sources of Funds'!N49</f>
        <v>-330</v>
      </c>
      <c r="O428" s="1859"/>
      <c r="P428" s="1860">
        <f>I428/I438</f>
        <v>0.57973352526319544</v>
      </c>
      <c r="Q428" s="1819"/>
      <c r="R428" s="1849"/>
      <c r="S428" s="1887"/>
      <c r="T428" s="1887"/>
    </row>
    <row r="429" spans="1:20" ht="13.8">
      <c r="A429" s="1819"/>
      <c r="B429" s="1819" t="s">
        <v>782</v>
      </c>
      <c r="C429" s="1819"/>
      <c r="D429" s="1819"/>
      <c r="E429" s="1819" t="str">
        <f>'Part III-Sources of Funds'!E50</f>
        <v>Monarch Private Capital</v>
      </c>
      <c r="F429" s="1819"/>
      <c r="G429" s="1819"/>
      <c r="H429" s="1819"/>
      <c r="I429" s="1882">
        <f>'Part III-Sources of Funds'!I50</f>
        <v>1987500</v>
      </c>
      <c r="J429" s="1819"/>
      <c r="K429" s="1849"/>
      <c r="L429" s="1858">
        <f>'Part III-Sources of Funds'!L50</f>
        <v>1987500</v>
      </c>
      <c r="M429" s="1858"/>
      <c r="N429" s="1859">
        <f>'Part III-Sources of Funds'!N50</f>
        <v>0</v>
      </c>
      <c r="O429" s="1859"/>
      <c r="P429" s="1860">
        <f>I429/I438</f>
        <v>0.34919261061275852</v>
      </c>
      <c r="Q429" s="1819"/>
      <c r="R429" s="1849"/>
      <c r="S429" s="1887"/>
      <c r="T429" s="1887"/>
    </row>
    <row r="430" spans="1:20" ht="13.8">
      <c r="A430" s="1819"/>
      <c r="B430" s="1819" t="s">
        <v>1382</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0.92892613587595396</v>
      </c>
      <c r="Q430" s="1819"/>
      <c r="R430" s="1849"/>
      <c r="S430" s="1887"/>
      <c r="T430" s="1887"/>
    </row>
    <row r="431" spans="1:20" ht="13.8">
      <c r="A431" s="1819"/>
      <c r="B431" s="1819" t="s">
        <v>516</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1820</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1821</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722</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722</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722</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2158</v>
      </c>
      <c r="C437" s="1819"/>
      <c r="D437" s="1819"/>
      <c r="E437" s="1819"/>
      <c r="F437" s="1819"/>
      <c r="G437" s="1819"/>
      <c r="H437" s="1849"/>
      <c r="I437" s="1852">
        <f>SUM(I417:J422)+SUM(I426:J436)</f>
        <v>5691701</v>
      </c>
      <c r="J437" s="1852"/>
      <c r="K437" s="1819"/>
      <c r="L437" s="1821"/>
      <c r="M437" s="1819"/>
      <c r="N437" s="1819"/>
      <c r="O437" s="1819"/>
      <c r="P437" s="1819"/>
      <c r="Q437" s="1819"/>
      <c r="R437" s="1849"/>
      <c r="S437" s="1887"/>
      <c r="T437" s="1887"/>
    </row>
    <row r="438" spans="1:24" ht="13.8">
      <c r="A438" s="1819"/>
      <c r="B438" s="1823" t="s">
        <v>2159</v>
      </c>
      <c r="C438" s="1819"/>
      <c r="D438" s="1819"/>
      <c r="E438" s="1819"/>
      <c r="F438" s="1819"/>
      <c r="G438" s="1819"/>
      <c r="H438" s="1849"/>
      <c r="I438" s="1852">
        <f>'Part IV-A-Uses of Funds'!$G$132</f>
        <v>5691701.1975492882</v>
      </c>
      <c r="J438" s="1852"/>
      <c r="K438" s="1819"/>
      <c r="L438" s="1821"/>
      <c r="M438" s="1819"/>
      <c r="N438" s="1819"/>
      <c r="O438" s="1819"/>
      <c r="P438" s="1819"/>
      <c r="Q438" s="1819"/>
      <c r="R438" s="1849"/>
      <c r="S438" s="1887"/>
      <c r="T438" s="1887"/>
    </row>
    <row r="439" spans="1:24" ht="13.8">
      <c r="A439" s="1819"/>
      <c r="B439" s="1823" t="s">
        <v>1492</v>
      </c>
      <c r="C439" s="1819"/>
      <c r="D439" s="1819"/>
      <c r="E439" s="1819"/>
      <c r="F439" s="1819"/>
      <c r="G439" s="1819"/>
      <c r="H439" s="1849"/>
      <c r="I439" s="1882">
        <f>I437-I438</f>
        <v>-0.19754928816109896</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1747</v>
      </c>
      <c r="B442" s="1819" t="s">
        <v>554</v>
      </c>
      <c r="C442" s="1827"/>
      <c r="D442" s="1827"/>
      <c r="E442" s="1827"/>
      <c r="F442" s="1827"/>
      <c r="G442" s="1827"/>
      <c r="H442" s="1827"/>
      <c r="I442" s="1827"/>
      <c r="J442" s="1827"/>
      <c r="K442" s="2072"/>
      <c r="L442" s="2072"/>
      <c r="M442" s="1819" t="s">
        <v>1747</v>
      </c>
      <c r="N442" s="1819" t="s">
        <v>77</v>
      </c>
      <c r="O442" s="1827"/>
      <c r="P442" s="1827"/>
      <c r="Q442" s="1827"/>
      <c r="R442" s="2072"/>
      <c r="S442" s="2072"/>
      <c r="T442" s="2072"/>
    </row>
    <row r="443" spans="1:24" ht="15.6" customHeight="1">
      <c r="A443" s="1887" t="str">
        <f>'Part III-Sources of Funds'!A64</f>
        <v>The Federal Equity will be coming from PNC Bank, N.A. and State Equity will coming from Monarch Private Capital. The construction loan will be coming from PNC Bank, N.A.</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2612</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2020-050 Twin Oaks Commons,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2020-050 Twin Oaks Commons,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597</v>
      </c>
      <c r="B451" s="2075" t="s">
        <v>878</v>
      </c>
      <c r="C451" s="1819"/>
      <c r="D451" s="2076" t="str">
        <f>'Part I-Project Information'!$B$6</f>
        <v>May 26, 2020 Version</v>
      </c>
      <c r="E451" s="2076"/>
      <c r="F451" s="2076"/>
      <c r="G451" s="2076"/>
      <c r="H451" s="2076"/>
      <c r="I451" s="2075"/>
      <c r="J451" s="1819" t="s">
        <v>266</v>
      </c>
      <c r="K451" s="1819"/>
      <c r="L451" s="1861"/>
      <c r="M451" s="1861" t="s">
        <v>478</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2605</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1951</v>
      </c>
      <c r="C454" s="1819"/>
      <c r="D454" s="1819"/>
      <c r="E454" s="1819"/>
      <c r="F454" s="1819"/>
      <c r="G454" s="1861">
        <f>'Part IV-A-Uses of Funds'!G8</f>
        <v>8000</v>
      </c>
      <c r="H454" s="1861"/>
      <c r="I454" s="1819"/>
      <c r="J454" s="1861">
        <f>'Part IV-A-Uses of Funds'!J8</f>
        <v>0</v>
      </c>
      <c r="K454" s="1861"/>
      <c r="L454" s="1832"/>
      <c r="M454" s="1861">
        <f>'Part IV-A-Uses of Funds'!M8</f>
        <v>0</v>
      </c>
      <c r="N454" s="1861"/>
      <c r="O454" s="1819"/>
      <c r="P454" s="1861">
        <f>'Part IV-A-Uses of Funds'!P8</f>
        <v>8000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5100</v>
      </c>
      <c r="H455" s="1861"/>
      <c r="I455" s="1819"/>
      <c r="J455" s="1861">
        <f>'Part IV-A-Uses of Funds'!J9</f>
        <v>0</v>
      </c>
      <c r="K455" s="1861"/>
      <c r="L455" s="1832"/>
      <c r="M455" s="1861">
        <f>'Part IV-A-Uses of Funds'!M9</f>
        <v>0</v>
      </c>
      <c r="N455" s="1861"/>
      <c r="O455" s="1819"/>
      <c r="P455" s="1861">
        <f>'Part IV-A-Uses of Funds'!P9</f>
        <v>5100</v>
      </c>
      <c r="Q455" s="1861"/>
      <c r="R455" s="1819"/>
      <c r="S455" s="1861">
        <f>'Part IV-A-Uses of Funds'!S9</f>
        <v>0</v>
      </c>
      <c r="T455" s="1861"/>
      <c r="U455" s="1819"/>
      <c r="V455" s="1862"/>
      <c r="W455" s="1772"/>
      <c r="X455" s="1772"/>
    </row>
    <row r="456" spans="1:24" ht="13.8">
      <c r="A456" s="1819"/>
      <c r="B456" s="1819" t="s">
        <v>476</v>
      </c>
      <c r="C456" s="1819"/>
      <c r="D456" s="1819"/>
      <c r="E456" s="1819"/>
      <c r="F456" s="1819"/>
      <c r="G456" s="1861">
        <f>'Part IV-A-Uses of Funds'!G10</f>
        <v>35400</v>
      </c>
      <c r="H456" s="1861"/>
      <c r="I456" s="1819"/>
      <c r="J456" s="1861">
        <f>'Part IV-A-Uses of Funds'!J10</f>
        <v>0</v>
      </c>
      <c r="K456" s="1861"/>
      <c r="L456" s="1832"/>
      <c r="M456" s="1861">
        <f>'Part IV-A-Uses of Funds'!M10</f>
        <v>0</v>
      </c>
      <c r="N456" s="1861"/>
      <c r="O456" s="1819"/>
      <c r="P456" s="1861">
        <f>'Part IV-A-Uses of Funds'!P10</f>
        <v>35400</v>
      </c>
      <c r="Q456" s="1861"/>
      <c r="R456" s="1819"/>
      <c r="S456" s="1861">
        <f>'Part IV-A-Uses of Funds'!S10</f>
        <v>0</v>
      </c>
      <c r="T456" s="1861"/>
      <c r="U456" s="1819"/>
      <c r="V456" s="1862"/>
      <c r="W456" s="1772"/>
      <c r="X456" s="1772"/>
    </row>
    <row r="457" spans="1:24" ht="13.8">
      <c r="A457" s="1819"/>
      <c r="B457" s="1819" t="s">
        <v>477</v>
      </c>
      <c r="C457" s="1819"/>
      <c r="D457" s="1819"/>
      <c r="E457" s="1819"/>
      <c r="F457" s="1819"/>
      <c r="G457" s="1861">
        <f>'Part IV-A-Uses of Funds'!G11</f>
        <v>15000</v>
      </c>
      <c r="H457" s="1861"/>
      <c r="I457" s="1819"/>
      <c r="J457" s="1861">
        <f>'Part IV-A-Uses of Funds'!J11</f>
        <v>0</v>
      </c>
      <c r="K457" s="1861"/>
      <c r="L457" s="1832"/>
      <c r="M457" s="1861">
        <f>'Part IV-A-Uses of Funds'!M11</f>
        <v>0</v>
      </c>
      <c r="N457" s="1861"/>
      <c r="O457" s="1819"/>
      <c r="P457" s="1861">
        <f>'Part IV-A-Uses of Funds'!P11</f>
        <v>15000</v>
      </c>
      <c r="Q457" s="1861"/>
      <c r="R457" s="1819"/>
      <c r="S457" s="1861">
        <f>'Part IV-A-Uses of Funds'!S11</f>
        <v>0</v>
      </c>
      <c r="T457" s="1861"/>
      <c r="U457" s="1819"/>
      <c r="V457" s="1862"/>
      <c r="W457" s="1772"/>
      <c r="X457" s="1772"/>
    </row>
    <row r="458" spans="1:24" ht="13.8">
      <c r="A458" s="1819"/>
      <c r="B458" s="1819" t="s">
        <v>2433</v>
      </c>
      <c r="C458" s="1819"/>
      <c r="D458" s="1819"/>
      <c r="E458" s="1819"/>
      <c r="F458" s="1819"/>
      <c r="G458" s="1861">
        <f>'Part IV-A-Uses of Funds'!G12</f>
        <v>15000</v>
      </c>
      <c r="H458" s="1861"/>
      <c r="I458" s="1819"/>
      <c r="J458" s="1861">
        <f>'Part IV-A-Uses of Funds'!J12</f>
        <v>0</v>
      </c>
      <c r="K458" s="1861"/>
      <c r="L458" s="1832"/>
      <c r="M458" s="1861">
        <f>'Part IV-A-Uses of Funds'!M12</f>
        <v>0</v>
      </c>
      <c r="N458" s="1861"/>
      <c r="O458" s="1819"/>
      <c r="P458" s="1861">
        <f>'Part IV-A-Uses of Funds'!P12</f>
        <v>15000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0</v>
      </c>
      <c r="K459" s="1861"/>
      <c r="L459" s="1832"/>
      <c r="M459" s="1861">
        <f>'Part IV-A-Uses of Funds'!M13</f>
        <v>0</v>
      </c>
      <c r="N459" s="1861"/>
      <c r="O459" s="1819"/>
      <c r="P459" s="1861">
        <f>'Part IV-A-Uses of Funds'!P13</f>
        <v>5000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722</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722</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722</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83500</v>
      </c>
      <c r="H463" s="1861"/>
      <c r="I463" s="1819"/>
      <c r="J463" s="1861">
        <f>SUM(J454:K462)</f>
        <v>0</v>
      </c>
      <c r="K463" s="1827"/>
      <c r="L463" s="1832"/>
      <c r="M463" s="1861">
        <f>SUM(M454:N462)</f>
        <v>0</v>
      </c>
      <c r="N463" s="1861"/>
      <c r="O463" s="1819"/>
      <c r="P463" s="1861">
        <f>SUM(P454:Q462)</f>
        <v>83500</v>
      </c>
      <c r="Q463" s="1861"/>
      <c r="R463" s="1819"/>
      <c r="S463" s="1861">
        <f>SUM(S454:T462)</f>
        <v>0</v>
      </c>
      <c r="T463" s="1861"/>
      <c r="U463" s="1819"/>
      <c r="V463" s="1862">
        <f>SUM(V454:V462)</f>
        <v>0</v>
      </c>
      <c r="W463" s="1772"/>
      <c r="X463" s="1772"/>
    </row>
    <row r="464" spans="1:24" ht="13.8">
      <c r="A464" s="1819"/>
      <c r="B464" s="1819" t="s">
        <v>2145</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2146</v>
      </c>
      <c r="C465" s="1819"/>
      <c r="D465" s="1819"/>
      <c r="E465" s="1863" t="s">
        <v>3541</v>
      </c>
      <c r="F465" s="1864">
        <f>IF('Part I-Project Information'!$O$37="","",G465/'Part I-Project Information'!$O$37)</f>
        <v>20746.887966804978</v>
      </c>
      <c r="G465" s="1861">
        <f>'Part IV-A-Uses of Funds'!G19</f>
        <v>100000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1096</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1050000</v>
      </c>
      <c r="H467" s="1861"/>
      <c r="I467" s="1819"/>
      <c r="J467" s="1832"/>
      <c r="K467" s="1861"/>
      <c r="L467" s="1832"/>
      <c r="M467" s="1861">
        <f>'Part IV-A-Uses of Funds'!M21</f>
        <v>1050000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1150000</v>
      </c>
      <c r="H469" s="1861"/>
      <c r="I469" s="1819"/>
      <c r="J469" s="1832"/>
      <c r="K469" s="1861"/>
      <c r="L469" s="1832"/>
      <c r="M469" s="1861">
        <f>SUM(M467:N468)</f>
        <v>1050000</v>
      </c>
      <c r="N469" s="1861"/>
      <c r="O469" s="1819"/>
      <c r="P469" s="1832"/>
      <c r="Q469" s="1861"/>
      <c r="R469" s="1819"/>
      <c r="S469" s="1861">
        <f>SUM(S465:T468)</f>
        <v>0</v>
      </c>
      <c r="T469" s="1861"/>
      <c r="U469" s="1819"/>
      <c r="V469" s="1862">
        <f>SUM(V465:V468)</f>
        <v>0</v>
      </c>
      <c r="W469" s="1772"/>
      <c r="X469" s="1772"/>
    </row>
    <row r="470" spans="1:24" ht="13.8">
      <c r="A470" s="1819"/>
      <c r="B470" s="1819" t="s">
        <v>1097</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1098</v>
      </c>
      <c r="C471" s="1819"/>
      <c r="D471" s="1819"/>
      <c r="E471" s="1863" t="s">
        <v>3541</v>
      </c>
      <c r="F471" s="1864">
        <f>IF('Part I-Project Information'!$O$37="","",G471/'Part I-Project Information'!$O$37)</f>
        <v>50961.618257261405</v>
      </c>
      <c r="G471" s="1861">
        <f>'Part IV-A-Uses of Funds'!G25</f>
        <v>245635</v>
      </c>
      <c r="H471" s="1861"/>
      <c r="I471" s="1819"/>
      <c r="J471" s="1861">
        <f>'Part IV-A-Uses of Funds'!J25</f>
        <v>0</v>
      </c>
      <c r="K471" s="1861"/>
      <c r="L471" s="1832"/>
      <c r="M471" s="1861">
        <f>'Part IV-A-Uses of Funds'!M25</f>
        <v>0</v>
      </c>
      <c r="N471" s="1861"/>
      <c r="O471" s="1819"/>
      <c r="P471" s="1861">
        <f>'Part IV-A-Uses of Funds'!P25</f>
        <v>245635</v>
      </c>
      <c r="Q471" s="1861"/>
      <c r="R471" s="1819"/>
      <c r="S471" s="1861">
        <f>'Part IV-A-Uses of Funds'!S25</f>
        <v>0</v>
      </c>
      <c r="T471" s="1861"/>
      <c r="U471" s="1819"/>
      <c r="V471" s="1862"/>
      <c r="W471" s="1772"/>
      <c r="X471" s="1772"/>
    </row>
    <row r="472" spans="1:24" ht="13.8">
      <c r="A472" s="1819"/>
      <c r="B472" s="1819" t="s">
        <v>1099</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245635</v>
      </c>
      <c r="H473" s="1861"/>
      <c r="I473" s="1819"/>
      <c r="J473" s="1861">
        <f>SUM(J471:K472)</f>
        <v>0</v>
      </c>
      <c r="K473" s="1861"/>
      <c r="L473" s="1832"/>
      <c r="M473" s="1861">
        <f>M471</f>
        <v>0</v>
      </c>
      <c r="N473" s="1861"/>
      <c r="O473" s="1819"/>
      <c r="P473" s="1861">
        <f>P471</f>
        <v>245635</v>
      </c>
      <c r="Q473" s="1861"/>
      <c r="R473" s="1819"/>
      <c r="S473" s="1861">
        <f>SUM(S471:T472)</f>
        <v>0</v>
      </c>
      <c r="T473" s="1861"/>
      <c r="U473" s="1819"/>
      <c r="V473" s="1862">
        <f>SUM(V471:V472)</f>
        <v>0</v>
      </c>
      <c r="W473" s="1772"/>
      <c r="X473" s="1772"/>
    </row>
    <row r="474" spans="1:24" ht="13.8">
      <c r="A474" s="1819"/>
      <c r="B474" s="1819" t="s">
        <v>1100</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1101</v>
      </c>
      <c r="C475" s="1819"/>
      <c r="D475" s="1819"/>
      <c r="E475" s="1819"/>
      <c r="F475" s="1819"/>
      <c r="G475" s="1861">
        <f>'Part IV-A-Uses of Funds'!G29</f>
        <v>0</v>
      </c>
      <c r="H475" s="1861"/>
      <c r="I475" s="1819"/>
      <c r="J475" s="1861">
        <f>'Part IV-A-Uses of Funds'!J29</f>
        <v>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1102</v>
      </c>
      <c r="C476" s="1819"/>
      <c r="D476" s="1819"/>
      <c r="E476" s="1819"/>
      <c r="F476" s="1819"/>
      <c r="G476" s="1861">
        <f>'Part IV-A-Uses of Funds'!G30</f>
        <v>1814763</v>
      </c>
      <c r="H476" s="1861"/>
      <c r="I476" s="1819"/>
      <c r="J476" s="1861">
        <f>'Part IV-A-Uses of Funds'!J30</f>
        <v>0</v>
      </c>
      <c r="K476" s="1861"/>
      <c r="L476" s="1832"/>
      <c r="M476" s="1861">
        <f>'Part IV-A-Uses of Funds'!M30</f>
        <v>0</v>
      </c>
      <c r="N476" s="1861"/>
      <c r="O476" s="1819"/>
      <c r="P476" s="1861">
        <f>'Part IV-A-Uses of Funds'!P30</f>
        <v>1814763</v>
      </c>
      <c r="Q476" s="1861"/>
      <c r="R476" s="1819"/>
      <c r="S476" s="1861">
        <f>'Part IV-A-Uses of Funds'!S30</f>
        <v>0</v>
      </c>
      <c r="T476" s="1861"/>
      <c r="U476" s="1819"/>
      <c r="V476" s="1862"/>
      <c r="W476" s="1772"/>
      <c r="X476" s="1772"/>
    </row>
    <row r="477" spans="1:24" ht="13.8">
      <c r="A477" s="1819"/>
      <c r="B477" s="1819" t="s">
        <v>2687</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2686</v>
      </c>
      <c r="C478" s="1827"/>
      <c r="D478" s="1827"/>
      <c r="E478" s="1827"/>
      <c r="F478" s="1827"/>
      <c r="G478" s="1861">
        <f>'Part IV-A-Uses of Funds'!G32</f>
        <v>10000</v>
      </c>
      <c r="H478" s="1861"/>
      <c r="I478" s="1819"/>
      <c r="J478" s="1861">
        <f>'Part IV-A-Uses of Funds'!J32</f>
        <v>0</v>
      </c>
      <c r="K478" s="1861"/>
      <c r="L478" s="1832"/>
      <c r="M478" s="1861">
        <f>'Part IV-A-Uses of Funds'!M32</f>
        <v>0</v>
      </c>
      <c r="N478" s="1861"/>
      <c r="O478" s="1819"/>
      <c r="P478" s="1861">
        <f>'Part IV-A-Uses of Funds'!P32</f>
        <v>10000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1824763</v>
      </c>
      <c r="H479" s="1861"/>
      <c r="I479" s="1819"/>
      <c r="J479" s="1861">
        <f>SUM(J475:K478)</f>
        <v>0</v>
      </c>
      <c r="K479" s="1861"/>
      <c r="L479" s="1832"/>
      <c r="M479" s="1861">
        <f>SUM(M475:N478)</f>
        <v>0</v>
      </c>
      <c r="N479" s="1861"/>
      <c r="O479" s="1819"/>
      <c r="P479" s="1861">
        <f>SUM(P475:Q478)</f>
        <v>1824763</v>
      </c>
      <c r="Q479" s="1861"/>
      <c r="R479" s="1819"/>
      <c r="S479" s="1861">
        <f>SUM(S475:T478)</f>
        <v>0</v>
      </c>
      <c r="T479" s="1861"/>
      <c r="U479" s="1819"/>
      <c r="V479" s="1862">
        <f>SUM(V475:V478)</f>
        <v>0</v>
      </c>
      <c r="W479" s="1772"/>
      <c r="X479" s="1772"/>
    </row>
    <row r="480" spans="1:24" ht="13.8">
      <c r="A480" s="1819"/>
      <c r="B480" s="1819" t="s">
        <v>2282</v>
      </c>
      <c r="C480" s="1819"/>
      <c r="D480" s="1849" t="s">
        <v>3545</v>
      </c>
      <c r="E480" s="1849"/>
      <c r="F480" s="2081">
        <f>SUM(F481:F483)</f>
        <v>0.13999991789018346</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2283</v>
      </c>
      <c r="C481" s="1819"/>
      <c r="D481" s="1865">
        <f>'DCA Underwriting Assumptions'!$R$77</f>
        <v>0.06</v>
      </c>
      <c r="E481" s="1866">
        <f>D481*(G473+G479)</f>
        <v>124223.87999999999</v>
      </c>
      <c r="F481" s="1865">
        <f>'Part IV-A-Uses of Funds'!F35</f>
        <v>5.9999961360086326E-2</v>
      </c>
      <c r="G481" s="1861">
        <f>'Part IV-A-Uses of Funds'!G35</f>
        <v>124223.8</v>
      </c>
      <c r="H481" s="1861"/>
      <c r="I481" s="1827"/>
      <c r="J481" s="1861">
        <f>'Part IV-A-Uses of Funds'!J35</f>
        <v>0</v>
      </c>
      <c r="K481" s="1861"/>
      <c r="L481" s="1832"/>
      <c r="M481" s="1861">
        <f>'Part IV-A-Uses of Funds'!M35</f>
        <v>0</v>
      </c>
      <c r="N481" s="1861"/>
      <c r="O481" s="1819"/>
      <c r="P481" s="1861">
        <f>'Part IV-A-Uses of Funds'!P35</f>
        <v>124223.5</v>
      </c>
      <c r="Q481" s="1861"/>
      <c r="R481" s="1819"/>
      <c r="S481" s="1861">
        <f>'Part IV-A-Uses of Funds'!S35</f>
        <v>0</v>
      </c>
      <c r="T481" s="1861"/>
      <c r="U481" s="1819"/>
      <c r="V481" s="1862"/>
      <c r="W481" s="1772"/>
      <c r="X481" s="1772"/>
    </row>
    <row r="482" spans="1:24" ht="13.8">
      <c r="A482" s="1819"/>
      <c r="B482" s="1819" t="s">
        <v>2649</v>
      </c>
      <c r="C482" s="1819"/>
      <c r="D482" s="1865">
        <f>'DCA Underwriting Assumptions'!$R$78</f>
        <v>0.02</v>
      </c>
      <c r="E482" s="1866">
        <f>D482*(G473+G479)</f>
        <v>41407.96</v>
      </c>
      <c r="F482" s="1865">
        <f>'Part IV-A-Uses of Funds'!F36</f>
        <v>1.9999971020064743E-2</v>
      </c>
      <c r="G482" s="1861">
        <f>'Part IV-A-Uses of Funds'!G36</f>
        <v>41407.9</v>
      </c>
      <c r="H482" s="1861"/>
      <c r="I482" s="1827"/>
      <c r="J482" s="1861">
        <f>'Part IV-A-Uses of Funds'!J36</f>
        <v>0</v>
      </c>
      <c r="K482" s="1861"/>
      <c r="L482" s="1832"/>
      <c r="M482" s="1861">
        <f>'Part IV-A-Uses of Funds'!M36</f>
        <v>0</v>
      </c>
      <c r="N482" s="1861"/>
      <c r="O482" s="1819"/>
      <c r="P482" s="1861">
        <f>'Part IV-A-Uses of Funds'!P36</f>
        <v>41407.5</v>
      </c>
      <c r="Q482" s="1861"/>
      <c r="R482" s="1819"/>
      <c r="S482" s="1861">
        <f>'Part IV-A-Uses of Funds'!S36</f>
        <v>0</v>
      </c>
      <c r="T482" s="1861"/>
      <c r="U482" s="1819"/>
      <c r="V482" s="1862"/>
      <c r="W482" s="1772"/>
      <c r="X482" s="1772"/>
    </row>
    <row r="483" spans="1:24" ht="13.8">
      <c r="A483" s="1819"/>
      <c r="B483" s="1819" t="s">
        <v>2650</v>
      </c>
      <c r="C483" s="1819"/>
      <c r="D483" s="1865">
        <f>'DCA Underwriting Assumptions'!$R$79</f>
        <v>0.06</v>
      </c>
      <c r="E483" s="1866">
        <f>D483*(G473+G479)</f>
        <v>124223.87999999999</v>
      </c>
      <c r="F483" s="1865">
        <f>'Part IV-A-Uses of Funds'!F37</f>
        <v>5.9999985510032376E-2</v>
      </c>
      <c r="G483" s="1861">
        <f>'Part IV-A-Uses of Funds'!G37</f>
        <v>124223.85</v>
      </c>
      <c r="H483" s="1861"/>
      <c r="I483" s="1827"/>
      <c r="J483" s="1861">
        <f>'Part IV-A-Uses of Funds'!J37</f>
        <v>0</v>
      </c>
      <c r="K483" s="1861"/>
      <c r="L483" s="1832"/>
      <c r="M483" s="1861">
        <f>'Part IV-A-Uses of Funds'!M37</f>
        <v>0</v>
      </c>
      <c r="N483" s="1861"/>
      <c r="O483" s="1819"/>
      <c r="P483" s="1861">
        <f>'Part IV-A-Uses of Funds'!P37</f>
        <v>124223.5</v>
      </c>
      <c r="Q483" s="1861"/>
      <c r="R483" s="1819"/>
      <c r="S483" s="1861">
        <f>'Part IV-A-Uses of Funds'!S37</f>
        <v>0</v>
      </c>
      <c r="T483" s="1861"/>
      <c r="U483" s="1819"/>
      <c r="V483" s="1862"/>
      <c r="W483" s="1772"/>
      <c r="X483" s="1772"/>
    </row>
    <row r="484" spans="1:24" ht="13.8">
      <c r="A484" s="1819"/>
      <c r="B484" s="1822" t="s">
        <v>3546</v>
      </c>
      <c r="C484" s="1819"/>
      <c r="D484" s="2081">
        <f>SUM(D481:D483)</f>
        <v>0.14000000000000001</v>
      </c>
      <c r="E484" s="2082">
        <f>SUM(E481:E483)</f>
        <v>289855.71999999997</v>
      </c>
      <c r="F484" s="1826" t="s">
        <v>187</v>
      </c>
      <c r="G484" s="1861">
        <f>SUM(G481:H483)</f>
        <v>289855.55000000005</v>
      </c>
      <c r="H484" s="1861"/>
      <c r="I484" s="1819"/>
      <c r="J484" s="1861">
        <f>SUM(J481:K483)</f>
        <v>0</v>
      </c>
      <c r="K484" s="1861"/>
      <c r="L484" s="1832"/>
      <c r="M484" s="1861">
        <f>SUM(M481:N483)</f>
        <v>0</v>
      </c>
      <c r="N484" s="1861"/>
      <c r="O484" s="1819"/>
      <c r="P484" s="1861">
        <f>SUM(P481:Q483)</f>
        <v>289854.5</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722</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2657</v>
      </c>
      <c r="F489" s="2083">
        <f>B490/'Part VI-Revenues &amp; Expenses'!$P$65</f>
        <v>59006.338749999995</v>
      </c>
      <c r="G489" s="2084" t="s">
        <v>6898</v>
      </c>
      <c r="H489" s="1819"/>
      <c r="I489" s="1819"/>
      <c r="J489" s="1880">
        <f>B490/'Part VI-Revenues &amp; Expenses'!$P$67</f>
        <v>59006.338749999995</v>
      </c>
      <c r="K489" s="1880"/>
      <c r="L489" s="1819"/>
      <c r="M489" s="2085" t="s">
        <v>1374</v>
      </c>
      <c r="N489" s="2085"/>
      <c r="O489" s="1819"/>
      <c r="P489" s="1880">
        <f>B490/'Part I-Project Information'!$P$75</f>
        <v>61.94891207349081</v>
      </c>
      <c r="Q489" s="1880"/>
      <c r="R489" s="1819"/>
      <c r="S489" s="1822" t="s">
        <v>2685</v>
      </c>
      <c r="T489" s="1822"/>
      <c r="U489" s="1819"/>
      <c r="V489" s="1862"/>
      <c r="W489" s="1772"/>
      <c r="X489" s="1772"/>
    </row>
    <row r="490" spans="1:24" ht="13.8">
      <c r="A490" s="1819"/>
      <c r="B490" s="2086">
        <f>G473+G479+G484+G487</f>
        <v>2360253.5499999998</v>
      </c>
      <c r="C490" s="2086"/>
      <c r="D490" s="1819"/>
      <c r="E490" s="1819"/>
      <c r="F490" s="2083">
        <f>B490/'Part VI-Revenues &amp; Expenses'!$P$168</f>
        <v>67.24369088319088</v>
      </c>
      <c r="G490" s="1822" t="s">
        <v>6899</v>
      </c>
      <c r="H490" s="1819"/>
      <c r="I490" s="1819"/>
      <c r="J490" s="1880">
        <f>B490/'Part VI-Revenues &amp; Expenses'!$P$170</f>
        <v>67.24369088319088</v>
      </c>
      <c r="K490" s="1880"/>
      <c r="L490" s="1819"/>
      <c r="M490" s="1822" t="s">
        <v>2684</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1103</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1912</v>
      </c>
      <c r="C493" s="1827"/>
      <c r="D493" s="1868" t="s">
        <v>3834</v>
      </c>
      <c r="E493" s="2087">
        <f>'Part IV-A-Uses of Funds'!E47</f>
        <v>236025.35499999998</v>
      </c>
      <c r="F493" s="1869">
        <f>G493/B490</f>
        <v>9.9999849592430454E-2</v>
      </c>
      <c r="G493" s="1861">
        <f>'Part IV-A-Uses of Funds'!G47</f>
        <v>236025</v>
      </c>
      <c r="H493" s="1861"/>
      <c r="I493" s="1819"/>
      <c r="J493" s="1861">
        <f>'Part IV-A-Uses of Funds'!J47</f>
        <v>0</v>
      </c>
      <c r="K493" s="1861"/>
      <c r="L493" s="1832"/>
      <c r="M493" s="1861">
        <f>'Part IV-A-Uses of Funds'!M47</f>
        <v>0</v>
      </c>
      <c r="N493" s="1861"/>
      <c r="O493" s="1819"/>
      <c r="P493" s="1861">
        <f>'Part IV-A-Uses of Funds'!P47</f>
        <v>236025</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597</v>
      </c>
      <c r="B495" s="2075" t="s">
        <v>6966</v>
      </c>
      <c r="C495" s="1819"/>
      <c r="D495" s="1819"/>
      <c r="E495" s="1819"/>
      <c r="F495" s="1819"/>
      <c r="G495" s="1819"/>
      <c r="H495" s="1819"/>
      <c r="I495" s="1819"/>
      <c r="J495" s="1819" t="s">
        <v>266</v>
      </c>
      <c r="K495" s="1819"/>
      <c r="L495" s="1861"/>
      <c r="M495" s="1861" t="s">
        <v>478</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2605</v>
      </c>
      <c r="X496" s="1827"/>
    </row>
    <row r="497" spans="1:24" ht="13.8">
      <c r="A497" s="1819"/>
      <c r="B497" s="1819" t="s">
        <v>703</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3547</v>
      </c>
      <c r="C498" s="1819"/>
      <c r="D498" s="1819"/>
      <c r="E498" s="1819"/>
      <c r="F498" s="1819"/>
      <c r="G498" s="1861">
        <f>'Part IV-A-Uses of Funds'!G52</f>
        <v>50100</v>
      </c>
      <c r="H498" s="1861"/>
      <c r="I498" s="1819"/>
      <c r="J498" s="1861">
        <f>'Part IV-A-Uses of Funds'!J52</f>
        <v>0</v>
      </c>
      <c r="K498" s="1861"/>
      <c r="L498" s="1832"/>
      <c r="M498" s="1861">
        <f>'Part IV-A-Uses of Funds'!M52</f>
        <v>0</v>
      </c>
      <c r="N498" s="1861"/>
      <c r="O498" s="1819"/>
      <c r="P498" s="1861">
        <f>'Part IV-A-Uses of Funds'!P52</f>
        <v>50100</v>
      </c>
      <c r="Q498" s="1861"/>
      <c r="R498" s="1819"/>
      <c r="S498" s="1861">
        <f>'Part IV-A-Uses of Funds'!S52</f>
        <v>0</v>
      </c>
      <c r="T498" s="1861"/>
      <c r="U498" s="1819"/>
      <c r="V498" s="1862"/>
      <c r="W498" s="1772"/>
      <c r="X498" s="1772"/>
    </row>
    <row r="499" spans="1:24" ht="13.8">
      <c r="A499" s="1819"/>
      <c r="B499" s="1819" t="s">
        <v>3548</v>
      </c>
      <c r="C499" s="1819"/>
      <c r="D499" s="1819"/>
      <c r="E499" s="1819"/>
      <c r="F499" s="1819"/>
      <c r="G499" s="1861">
        <f>'Part IV-A-Uses of Funds'!G53</f>
        <v>202083</v>
      </c>
      <c r="H499" s="1861"/>
      <c r="I499" s="1819"/>
      <c r="J499" s="1861">
        <f>'Part IV-A-Uses of Funds'!J53</f>
        <v>0</v>
      </c>
      <c r="K499" s="1861"/>
      <c r="L499" s="1832"/>
      <c r="M499" s="1861">
        <f>'Part IV-A-Uses of Funds'!M53</f>
        <v>0</v>
      </c>
      <c r="N499" s="1861"/>
      <c r="O499" s="1819"/>
      <c r="P499" s="1861">
        <f>'Part IV-A-Uses of Funds'!P53</f>
        <v>105083</v>
      </c>
      <c r="Q499" s="1861"/>
      <c r="R499" s="1819"/>
      <c r="S499" s="1861">
        <f>'Part IV-A-Uses of Funds'!S53</f>
        <v>0</v>
      </c>
      <c r="T499" s="1861"/>
      <c r="U499" s="1819"/>
      <c r="V499" s="1862"/>
      <c r="W499" s="1772"/>
      <c r="X499" s="1772"/>
    </row>
    <row r="500" spans="1:24" ht="13.8">
      <c r="A500" s="1819"/>
      <c r="B500" s="1819" t="s">
        <v>2285</v>
      </c>
      <c r="C500" s="1819"/>
      <c r="D500" s="1819"/>
      <c r="E500" s="1819"/>
      <c r="F500" s="1819"/>
      <c r="G500" s="1861">
        <f>'Part IV-A-Uses of Funds'!G54</f>
        <v>0</v>
      </c>
      <c r="H500" s="1861"/>
      <c r="I500" s="1819"/>
      <c r="J500" s="1861">
        <f>'Part IV-A-Uses of Funds'!J54</f>
        <v>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2286</v>
      </c>
      <c r="C501" s="1819"/>
      <c r="D501" s="1819"/>
      <c r="E501" s="1819"/>
      <c r="F501" s="1819"/>
      <c r="G501" s="1861">
        <f>'Part IV-A-Uses of Funds'!G55</f>
        <v>0</v>
      </c>
      <c r="H501" s="1861"/>
      <c r="I501" s="1819"/>
      <c r="J501" s="1861">
        <f>'Part IV-A-Uses of Funds'!J55</f>
        <v>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2287</v>
      </c>
      <c r="C502" s="1819"/>
      <c r="D502" s="1819"/>
      <c r="E502" s="1819"/>
      <c r="F502" s="1819"/>
      <c r="G502" s="1861">
        <f>'Part IV-A-Uses of Funds'!G56</f>
        <v>5000</v>
      </c>
      <c r="H502" s="1861"/>
      <c r="I502" s="1819"/>
      <c r="J502" s="1861">
        <f>'Part IV-A-Uses of Funds'!J56</f>
        <v>0</v>
      </c>
      <c r="K502" s="1861"/>
      <c r="L502" s="1832"/>
      <c r="M502" s="1861">
        <f>'Part IV-A-Uses of Funds'!M56</f>
        <v>0</v>
      </c>
      <c r="N502" s="1861"/>
      <c r="O502" s="1819"/>
      <c r="P502" s="1861">
        <f>'Part IV-A-Uses of Funds'!P56</f>
        <v>5000</v>
      </c>
      <c r="Q502" s="1861"/>
      <c r="R502" s="1819"/>
      <c r="S502" s="1861">
        <f>'Part IV-A-Uses of Funds'!S56</f>
        <v>0</v>
      </c>
      <c r="T502" s="1861"/>
      <c r="U502" s="1819"/>
      <c r="V502" s="1862"/>
      <c r="W502" s="1772"/>
      <c r="X502" s="1772"/>
    </row>
    <row r="503" spans="1:24" ht="13.8">
      <c r="A503" s="1819"/>
      <c r="B503" s="1819" t="s">
        <v>2608</v>
      </c>
      <c r="C503" s="1819"/>
      <c r="D503" s="1819"/>
      <c r="E503" s="1819"/>
      <c r="F503" s="1819"/>
      <c r="G503" s="1861">
        <f>'Part IV-A-Uses of Funds'!G57</f>
        <v>15000</v>
      </c>
      <c r="H503" s="1861"/>
      <c r="I503" s="1819"/>
      <c r="J503" s="1861">
        <f>'Part IV-A-Uses of Funds'!J57</f>
        <v>0</v>
      </c>
      <c r="K503" s="1861"/>
      <c r="L503" s="1832"/>
      <c r="M503" s="1861">
        <f>'Part IV-A-Uses of Funds'!M57</f>
        <v>0</v>
      </c>
      <c r="N503" s="1861"/>
      <c r="O503" s="1819"/>
      <c r="P503" s="1861">
        <f>'Part IV-A-Uses of Funds'!P57</f>
        <v>15000</v>
      </c>
      <c r="Q503" s="1861"/>
      <c r="R503" s="1819"/>
      <c r="S503" s="1861">
        <f>'Part IV-A-Uses of Funds'!S57</f>
        <v>0</v>
      </c>
      <c r="T503" s="1861"/>
      <c r="U503" s="1819"/>
      <c r="V503" s="1862"/>
      <c r="W503" s="1772"/>
      <c r="X503" s="1772"/>
    </row>
    <row r="504" spans="1:24" ht="13.8">
      <c r="A504" s="1819"/>
      <c r="B504" s="1819" t="s">
        <v>704</v>
      </c>
      <c r="C504" s="1819"/>
      <c r="D504" s="1819"/>
      <c r="E504" s="1819"/>
      <c r="F504" s="1819"/>
      <c r="G504" s="1861">
        <f>'Part IV-A-Uses of Funds'!G58</f>
        <v>10000</v>
      </c>
      <c r="H504" s="1861"/>
      <c r="I504" s="1819"/>
      <c r="J504" s="1861">
        <f>'Part IV-A-Uses of Funds'!J58</f>
        <v>0</v>
      </c>
      <c r="K504" s="1861"/>
      <c r="L504" s="1832"/>
      <c r="M504" s="1861">
        <f>'Part IV-A-Uses of Funds'!M58</f>
        <v>0</v>
      </c>
      <c r="N504" s="1861"/>
      <c r="O504" s="1819"/>
      <c r="P504" s="1861">
        <f>'Part IV-A-Uses of Funds'!P58</f>
        <v>10000</v>
      </c>
      <c r="Q504" s="1861"/>
      <c r="R504" s="1819"/>
      <c r="S504" s="1861">
        <f>'Part IV-A-Uses of Funds'!S58</f>
        <v>0</v>
      </c>
      <c r="T504" s="1861"/>
      <c r="U504" s="1819"/>
      <c r="V504" s="1862"/>
      <c r="W504" s="1772"/>
      <c r="X504" s="1772"/>
    </row>
    <row r="505" spans="1:24" ht="13.8">
      <c r="A505" s="1819"/>
      <c r="B505" s="1819" t="s">
        <v>2288</v>
      </c>
      <c r="C505" s="1819"/>
      <c r="D505" s="1819"/>
      <c r="E505" s="1819"/>
      <c r="F505" s="1819"/>
      <c r="G505" s="1861">
        <f>'Part IV-A-Uses of Funds'!G59</f>
        <v>16000</v>
      </c>
      <c r="H505" s="1861"/>
      <c r="I505" s="1819"/>
      <c r="J505" s="1861">
        <f>'Part IV-A-Uses of Funds'!J59</f>
        <v>0</v>
      </c>
      <c r="K505" s="1861"/>
      <c r="L505" s="1832"/>
      <c r="M505" s="1861">
        <f>'Part IV-A-Uses of Funds'!M59</f>
        <v>0</v>
      </c>
      <c r="N505" s="1861"/>
      <c r="O505" s="1819"/>
      <c r="P505" s="1861">
        <f>'Part IV-A-Uses of Funds'!P59</f>
        <v>16000</v>
      </c>
      <c r="Q505" s="1861"/>
      <c r="R505" s="1819"/>
      <c r="S505" s="1861">
        <f>'Part IV-A-Uses of Funds'!S59</f>
        <v>0</v>
      </c>
      <c r="T505" s="1861"/>
      <c r="U505" s="1819"/>
      <c r="V505" s="1862"/>
      <c r="W505" s="1772"/>
      <c r="X505" s="1772"/>
    </row>
    <row r="506" spans="1:24" ht="13.8">
      <c r="A506" s="1819"/>
      <c r="B506" s="1819" t="s">
        <v>1249</v>
      </c>
      <c r="C506" s="1819"/>
      <c r="D506" s="1819"/>
      <c r="E506" s="1819"/>
      <c r="F506" s="1819"/>
      <c r="G506" s="1861">
        <f>'Part IV-A-Uses of Funds'!G60</f>
        <v>20413</v>
      </c>
      <c r="H506" s="1861"/>
      <c r="I506" s="1819"/>
      <c r="J506" s="1861">
        <f>'Part IV-A-Uses of Funds'!J60</f>
        <v>0</v>
      </c>
      <c r="K506" s="1861"/>
      <c r="L506" s="1832"/>
      <c r="M506" s="1861">
        <f>'Part IV-A-Uses of Funds'!M60</f>
        <v>0</v>
      </c>
      <c r="N506" s="1861"/>
      <c r="O506" s="1819"/>
      <c r="P506" s="1861">
        <f>'Part IV-A-Uses of Funds'!P60</f>
        <v>20413</v>
      </c>
      <c r="Q506" s="1861"/>
      <c r="R506" s="1819"/>
      <c r="S506" s="1861">
        <f>'Part IV-A-Uses of Funds'!S60</f>
        <v>0</v>
      </c>
      <c r="T506" s="1861"/>
      <c r="U506" s="1819"/>
      <c r="V506" s="1862"/>
      <c r="W506" s="1772"/>
      <c r="X506" s="1772"/>
    </row>
    <row r="507" spans="1:24" ht="13.8">
      <c r="A507" s="1819"/>
      <c r="B507" s="1870" t="s">
        <v>1130</v>
      </c>
      <c r="C507" s="1819"/>
      <c r="D507" s="1869"/>
      <c r="E507" s="1869"/>
      <c r="F507" s="1871"/>
      <c r="G507" s="1861">
        <f>'Part IV-A-Uses of Funds'!G61</f>
        <v>30000</v>
      </c>
      <c r="H507" s="1861"/>
      <c r="I507" s="1827"/>
      <c r="J507" s="1861">
        <f>'Part IV-A-Uses of Funds'!J61</f>
        <v>0</v>
      </c>
      <c r="K507" s="1861"/>
      <c r="L507" s="1832"/>
      <c r="M507" s="1861">
        <f>'Part IV-A-Uses of Funds'!M61</f>
        <v>0</v>
      </c>
      <c r="N507" s="1861"/>
      <c r="O507" s="1819"/>
      <c r="P507" s="1861">
        <f>'Part IV-A-Uses of Funds'!P61</f>
        <v>30000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722</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722</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348596</v>
      </c>
      <c r="H510" s="1861"/>
      <c r="I510" s="1819"/>
      <c r="J510" s="1861">
        <f>SUM(J498:K509)</f>
        <v>0</v>
      </c>
      <c r="K510" s="1861"/>
      <c r="L510" s="1832"/>
      <c r="M510" s="1861">
        <f>SUM(M498:N509)</f>
        <v>0</v>
      </c>
      <c r="N510" s="1861"/>
      <c r="O510" s="1819"/>
      <c r="P510" s="1861">
        <f>SUM(P498:Q509)</f>
        <v>251596</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350000</v>
      </c>
      <c r="H512" s="1861"/>
      <c r="I512" s="1819"/>
      <c r="J512" s="1861">
        <f>'Part IV-A-Uses of Funds'!J66</f>
        <v>0</v>
      </c>
      <c r="K512" s="1861"/>
      <c r="L512" s="1832"/>
      <c r="M512" s="1861">
        <f>'Part IV-A-Uses of Funds'!M66</f>
        <v>0</v>
      </c>
      <c r="N512" s="1861"/>
      <c r="O512" s="1819"/>
      <c r="P512" s="1861">
        <f>'Part IV-A-Uses of Funds'!P66</f>
        <v>350000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50000</v>
      </c>
      <c r="H513" s="1861"/>
      <c r="I513" s="1819"/>
      <c r="J513" s="1861">
        <f>'Part IV-A-Uses of Funds'!J67</f>
        <v>0</v>
      </c>
      <c r="K513" s="1861"/>
      <c r="L513" s="1832"/>
      <c r="M513" s="1861">
        <f>'Part IV-A-Uses of Funds'!M67</f>
        <v>0</v>
      </c>
      <c r="N513" s="1861"/>
      <c r="O513" s="1819"/>
      <c r="P513" s="1861">
        <f>'Part IV-A-Uses of Funds'!P67</f>
        <v>50000</v>
      </c>
      <c r="Q513" s="1861"/>
      <c r="R513" s="1819"/>
      <c r="S513" s="1861">
        <f>'Part IV-A-Uses of Funds'!S67</f>
        <v>0</v>
      </c>
      <c r="T513" s="1861"/>
      <c r="U513" s="1819"/>
      <c r="V513" s="1862"/>
      <c r="W513" s="1772"/>
      <c r="X513" s="1772"/>
    </row>
    <row r="514" spans="1:24" ht="13.8">
      <c r="A514" s="1819"/>
      <c r="B514" s="1819" t="s">
        <v>1104</v>
      </c>
      <c r="C514" s="1819"/>
      <c r="D514" s="1826" t="s">
        <v>3630</v>
      </c>
      <c r="E514" s="1872">
        <f>'Part IV-A-Uses of Funds'!E68</f>
        <v>20000</v>
      </c>
      <c r="F514" s="1819" t="str">
        <f>IF(G514&gt;E514,"CHECK!!!","")</f>
        <v/>
      </c>
      <c r="G514" s="1861">
        <f>'Part IV-A-Uses of Funds'!G68</f>
        <v>20000</v>
      </c>
      <c r="H514" s="1861"/>
      <c r="I514" s="1819"/>
      <c r="J514" s="1861">
        <f>'Part IV-A-Uses of Funds'!J68</f>
        <v>0</v>
      </c>
      <c r="K514" s="1861"/>
      <c r="L514" s="1832"/>
      <c r="M514" s="1861">
        <f>'Part IV-A-Uses of Funds'!M68</f>
        <v>0</v>
      </c>
      <c r="N514" s="1861"/>
      <c r="O514" s="1819"/>
      <c r="P514" s="1861">
        <f>'Part IV-A-Uses of Funds'!P68</f>
        <v>20000</v>
      </c>
      <c r="Q514" s="1861"/>
      <c r="R514" s="1819"/>
      <c r="S514" s="1861">
        <f>'Part IV-A-Uses of Funds'!S68</f>
        <v>0</v>
      </c>
      <c r="T514" s="1861"/>
      <c r="U514" s="1819"/>
      <c r="V514" s="1862"/>
      <c r="W514" s="1772"/>
      <c r="X514" s="1772"/>
    </row>
    <row r="515" spans="1:24" ht="13.8">
      <c r="A515" s="1819"/>
      <c r="B515" s="1819" t="s">
        <v>1105</v>
      </c>
      <c r="C515" s="1819"/>
      <c r="D515" s="1819"/>
      <c r="E515" s="1819"/>
      <c r="F515" s="1819"/>
      <c r="G515" s="1861">
        <f>'Part IV-A-Uses of Funds'!G69</f>
        <v>15000</v>
      </c>
      <c r="H515" s="1861"/>
      <c r="I515" s="1819"/>
      <c r="J515" s="1861">
        <f>'Part IV-A-Uses of Funds'!J69</f>
        <v>0</v>
      </c>
      <c r="K515" s="1861"/>
      <c r="L515" s="1832"/>
      <c r="M515" s="1861">
        <f>'Part IV-A-Uses of Funds'!M69</f>
        <v>0</v>
      </c>
      <c r="N515" s="1861"/>
      <c r="O515" s="1819"/>
      <c r="P515" s="1861">
        <f>'Part IV-A-Uses of Funds'!P69</f>
        <v>15000</v>
      </c>
      <c r="Q515" s="1861"/>
      <c r="R515" s="1819"/>
      <c r="S515" s="1861">
        <f>'Part IV-A-Uses of Funds'!S69</f>
        <v>0</v>
      </c>
      <c r="T515" s="1861"/>
      <c r="U515" s="1819"/>
      <c r="V515" s="1862"/>
      <c r="W515" s="1772"/>
      <c r="X515" s="1772"/>
    </row>
    <row r="516" spans="1:24" ht="13.8">
      <c r="A516" s="1819"/>
      <c r="B516" s="1819" t="s">
        <v>1106</v>
      </c>
      <c r="C516" s="1819"/>
      <c r="D516" s="1819"/>
      <c r="E516" s="1819"/>
      <c r="F516" s="1819"/>
      <c r="G516" s="1861">
        <f>'Part IV-A-Uses of Funds'!G70</f>
        <v>15000</v>
      </c>
      <c r="H516" s="1861"/>
      <c r="I516" s="1819"/>
      <c r="J516" s="1861">
        <f>'Part IV-A-Uses of Funds'!J70</f>
        <v>0</v>
      </c>
      <c r="K516" s="1861"/>
      <c r="L516" s="1832"/>
      <c r="M516" s="1861">
        <f>'Part IV-A-Uses of Funds'!M70</f>
        <v>0</v>
      </c>
      <c r="N516" s="1861"/>
      <c r="O516" s="1819"/>
      <c r="P516" s="1861">
        <f>'Part IV-A-Uses of Funds'!P70</f>
        <v>15000</v>
      </c>
      <c r="Q516" s="1861"/>
      <c r="R516" s="1819"/>
      <c r="S516" s="1861">
        <f>'Part IV-A-Uses of Funds'!S70</f>
        <v>0</v>
      </c>
      <c r="T516" s="1861"/>
      <c r="U516" s="1819"/>
      <c r="V516" s="1862"/>
      <c r="W516" s="1772"/>
      <c r="X516" s="1772"/>
    </row>
    <row r="517" spans="1:24" ht="13.8">
      <c r="A517" s="1819"/>
      <c r="B517" s="1819" t="s">
        <v>1107</v>
      </c>
      <c r="C517" s="1819"/>
      <c r="D517" s="1819"/>
      <c r="E517" s="1819"/>
      <c r="F517" s="1819"/>
      <c r="G517" s="1861">
        <f>'Part IV-A-Uses of Funds'!G71</f>
        <v>20000</v>
      </c>
      <c r="H517" s="1861"/>
      <c r="I517" s="1819"/>
      <c r="J517" s="1861">
        <f>'Part IV-A-Uses of Funds'!J71</f>
        <v>0</v>
      </c>
      <c r="K517" s="1861"/>
      <c r="L517" s="1832"/>
      <c r="M517" s="1861">
        <f>'Part IV-A-Uses of Funds'!M71</f>
        <v>0</v>
      </c>
      <c r="N517" s="1861"/>
      <c r="O517" s="1819"/>
      <c r="P517" s="1861">
        <f>'Part IV-A-Uses of Funds'!P71</f>
        <v>20000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50000</v>
      </c>
      <c r="H518" s="1861"/>
      <c r="I518" s="1819"/>
      <c r="J518" s="1861">
        <f>'Part IV-A-Uses of Funds'!J72</f>
        <v>0</v>
      </c>
      <c r="K518" s="1861"/>
      <c r="L518" s="1832"/>
      <c r="M518" s="1861">
        <f>'Part IV-A-Uses of Funds'!M72</f>
        <v>0</v>
      </c>
      <c r="N518" s="1861"/>
      <c r="O518" s="1819"/>
      <c r="P518" s="1861">
        <f>'Part IV-A-Uses of Funds'!P72</f>
        <v>50000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25000</v>
      </c>
      <c r="H519" s="1861"/>
      <c r="I519" s="1819"/>
      <c r="J519" s="1861">
        <f>'Part IV-A-Uses of Funds'!J73</f>
        <v>0</v>
      </c>
      <c r="K519" s="1861"/>
      <c r="L519" s="1832"/>
      <c r="M519" s="1861">
        <f>'Part IV-A-Uses of Funds'!M73</f>
        <v>0</v>
      </c>
      <c r="N519" s="1861"/>
      <c r="O519" s="1819"/>
      <c r="P519" s="1861">
        <f>'Part IV-A-Uses of Funds'!P73</f>
        <v>25000</v>
      </c>
      <c r="Q519" s="1861"/>
      <c r="R519" s="1819"/>
      <c r="S519" s="1861">
        <f>'Part IV-A-Uses of Funds'!S73</f>
        <v>0</v>
      </c>
      <c r="T519" s="1861"/>
      <c r="U519" s="1819"/>
      <c r="V519" s="1862"/>
      <c r="W519" s="1772"/>
      <c r="X519" s="1772"/>
    </row>
    <row r="520" spans="1:24" ht="13.8">
      <c r="A520" s="1819"/>
      <c r="B520" s="1819" t="s">
        <v>1999</v>
      </c>
      <c r="C520" s="1819"/>
      <c r="D520" s="1819"/>
      <c r="E520" s="1819"/>
      <c r="F520" s="1819"/>
      <c r="G520" s="1861">
        <f>'Part IV-A-Uses of Funds'!G74</f>
        <v>20000</v>
      </c>
      <c r="H520" s="1861"/>
      <c r="I520" s="1819"/>
      <c r="J520" s="1861">
        <f>'Part IV-A-Uses of Funds'!J74</f>
        <v>0</v>
      </c>
      <c r="K520" s="1861"/>
      <c r="L520" s="1832"/>
      <c r="M520" s="1861">
        <f>'Part IV-A-Uses of Funds'!M74</f>
        <v>0</v>
      </c>
      <c r="N520" s="1861"/>
      <c r="O520" s="1819"/>
      <c r="P520" s="1861">
        <f>'Part IV-A-Uses of Funds'!P74</f>
        <v>20000</v>
      </c>
      <c r="Q520" s="1861"/>
      <c r="R520" s="1819"/>
      <c r="S520" s="1861">
        <f>'Part IV-A-Uses of Funds'!S74</f>
        <v>0</v>
      </c>
      <c r="T520" s="1861"/>
      <c r="U520" s="1819"/>
      <c r="V520" s="1862"/>
      <c r="W520" s="1772"/>
      <c r="X520" s="1772"/>
    </row>
    <row r="521" spans="1:24" ht="13.8">
      <c r="A521" s="1819"/>
      <c r="B521" s="1819" t="s">
        <v>1250</v>
      </c>
      <c r="C521" s="1819"/>
      <c r="D521" s="1819"/>
      <c r="E521" s="1819"/>
      <c r="F521" s="1819"/>
      <c r="G521" s="1861">
        <f>'Part IV-A-Uses of Funds'!G75</f>
        <v>5000</v>
      </c>
      <c r="H521" s="1861"/>
      <c r="I521" s="1819"/>
      <c r="J521" s="1861">
        <f>'Part IV-A-Uses of Funds'!J75</f>
        <v>0</v>
      </c>
      <c r="K521" s="1861"/>
      <c r="L521" s="1832"/>
      <c r="M521" s="1861">
        <f>'Part IV-A-Uses of Funds'!M75</f>
        <v>0</v>
      </c>
      <c r="N521" s="1861"/>
      <c r="O521" s="1819"/>
      <c r="P521" s="1861">
        <f>'Part IV-A-Uses of Funds'!P75</f>
        <v>5000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722</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570000</v>
      </c>
      <c r="H523" s="1861"/>
      <c r="I523" s="1819"/>
      <c r="J523" s="1861">
        <f>SUM(J512:K522)</f>
        <v>0</v>
      </c>
      <c r="K523" s="1861"/>
      <c r="L523" s="1832"/>
      <c r="M523" s="1861">
        <f>SUM(M512:N522)</f>
        <v>0</v>
      </c>
      <c r="N523" s="1861"/>
      <c r="O523" s="1819"/>
      <c r="P523" s="1861">
        <f>SUM(P512:Q522)</f>
        <v>570000</v>
      </c>
      <c r="Q523" s="1861"/>
      <c r="R523" s="1819"/>
      <c r="S523" s="1861">
        <f>SUM(S512:T522)</f>
        <v>0</v>
      </c>
      <c r="T523" s="1861"/>
      <c r="U523" s="1819"/>
      <c r="V523" s="1862">
        <f>SUM(V512:V522)</f>
        <v>0</v>
      </c>
      <c r="W523" s="1772"/>
      <c r="X523" s="1772"/>
    </row>
    <row r="524" spans="1:24" ht="13.8">
      <c r="A524" s="1819"/>
      <c r="B524" s="1819" t="s">
        <v>1242</v>
      </c>
      <c r="C524" s="1819"/>
      <c r="D524" s="1816" t="s">
        <v>3549</v>
      </c>
      <c r="E524" s="2088">
        <f>G529/'Part VI-Revenues &amp; Expenses'!$P$67</f>
        <v>350</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1243</v>
      </c>
      <c r="C525" s="1819"/>
      <c r="D525" s="1819"/>
      <c r="E525" s="1819"/>
      <c r="F525" s="1819"/>
      <c r="G525" s="1861">
        <f>'Part IV-A-Uses of Funds'!G79</f>
        <v>14000</v>
      </c>
      <c r="H525" s="1861"/>
      <c r="I525" s="1819"/>
      <c r="J525" s="1861">
        <f>'Part IV-A-Uses of Funds'!J79</f>
        <v>0</v>
      </c>
      <c r="K525" s="1861"/>
      <c r="L525" s="1832"/>
      <c r="M525" s="1861">
        <f>'Part IV-A-Uses of Funds'!M79</f>
        <v>0</v>
      </c>
      <c r="N525" s="1861"/>
      <c r="O525" s="1819"/>
      <c r="P525" s="1861">
        <f>'Part IV-A-Uses of Funds'!P79</f>
        <v>14000</v>
      </c>
      <c r="Q525" s="1861"/>
      <c r="R525" s="1819"/>
      <c r="S525" s="1861">
        <f>'Part IV-A-Uses of Funds'!S79</f>
        <v>0</v>
      </c>
      <c r="T525" s="1861"/>
      <c r="U525" s="1819"/>
      <c r="V525" s="1862"/>
      <c r="W525" s="1772"/>
      <c r="X525" s="1772"/>
    </row>
    <row r="526" spans="1:24" ht="13.8">
      <c r="A526" s="1819"/>
      <c r="B526" s="1819" t="s">
        <v>1244</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1245</v>
      </c>
      <c r="C527" s="1819"/>
      <c r="D527" s="1826" t="s">
        <v>1375</v>
      </c>
      <c r="E527" s="1821">
        <f>'Part IV-A-Uses of Funds'!E81</f>
        <v>0</v>
      </c>
      <c r="F527" s="1819"/>
      <c r="G527" s="1861">
        <f>'Part IV-A-Uses of Funds'!G81</f>
        <v>0</v>
      </c>
      <c r="H527" s="1861"/>
      <c r="I527" s="1827"/>
      <c r="J527" s="1861">
        <f>'Part IV-A-Uses of Funds'!J81</f>
        <v>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1246</v>
      </c>
      <c r="C528" s="1819"/>
      <c r="D528" s="1826" t="s">
        <v>1375</v>
      </c>
      <c r="E528" s="1821">
        <f>'Part IV-A-Uses of Funds'!E82</f>
        <v>0</v>
      </c>
      <c r="F528" s="1819"/>
      <c r="G528" s="1861">
        <f>'Part IV-A-Uses of Funds'!G82</f>
        <v>0</v>
      </c>
      <c r="H528" s="1861"/>
      <c r="I528" s="1827"/>
      <c r="J528" s="1861">
        <f>'Part IV-A-Uses of Funds'!J82</f>
        <v>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14000</v>
      </c>
      <c r="H529" s="1861"/>
      <c r="I529" s="1819"/>
      <c r="J529" s="1861">
        <f>SUM(J525:K528)</f>
        <v>0</v>
      </c>
      <c r="K529" s="1861"/>
      <c r="L529" s="1832"/>
      <c r="M529" s="1861">
        <f>SUM(M525:N528)</f>
        <v>0</v>
      </c>
      <c r="N529" s="1861"/>
      <c r="O529" s="1819"/>
      <c r="P529" s="1861">
        <f>SUM(P525:Q528)</f>
        <v>14000</v>
      </c>
      <c r="Q529" s="1861"/>
      <c r="R529" s="1819"/>
      <c r="S529" s="1861">
        <f>SUM(S525:T528)</f>
        <v>0</v>
      </c>
      <c r="T529" s="1861"/>
      <c r="U529" s="1819"/>
      <c r="V529" s="1862">
        <f>SUM(V525:V528)</f>
        <v>0</v>
      </c>
      <c r="W529" s="1772"/>
      <c r="X529" s="1772"/>
    </row>
    <row r="530" spans="1:24" ht="13.8">
      <c r="A530" s="1819"/>
      <c r="B530" s="1819" t="s">
        <v>705</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1247</v>
      </c>
      <c r="C531" s="1819"/>
      <c r="D531" s="1819"/>
      <c r="E531" s="1819"/>
      <c r="F531" s="1819"/>
      <c r="G531" s="1861">
        <f>'Part IV-A-Uses of Funds'!G85</f>
        <v>3500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1248</v>
      </c>
      <c r="C532" s="1819"/>
      <c r="D532" s="1819"/>
      <c r="E532" s="1819"/>
      <c r="F532" s="1819"/>
      <c r="G532" s="1861">
        <f>'Part IV-A-Uses of Funds'!G86</f>
        <v>10000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1249</v>
      </c>
      <c r="C533" s="1819"/>
      <c r="D533" s="1819"/>
      <c r="E533" s="1819"/>
      <c r="F533" s="1819"/>
      <c r="G533" s="1861">
        <f>'Part IV-A-Uses of Funds'!G87</f>
        <v>10000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1251</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2238</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722</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23500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597</v>
      </c>
      <c r="B539" s="2075" t="s">
        <v>6967</v>
      </c>
      <c r="C539" s="1819"/>
      <c r="D539" s="1819"/>
      <c r="E539" s="1819"/>
      <c r="F539" s="1819"/>
      <c r="G539" s="1819"/>
      <c r="H539" s="1819"/>
      <c r="I539" s="1819"/>
      <c r="J539" s="1819" t="s">
        <v>266</v>
      </c>
      <c r="K539" s="1819"/>
      <c r="L539" s="1861"/>
      <c r="M539" s="1861" t="s">
        <v>478</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2605</v>
      </c>
      <c r="W540" s="1819"/>
      <c r="X540" s="1827"/>
    </row>
    <row r="541" spans="1:24" ht="13.8">
      <c r="A541" s="1819"/>
      <c r="B541" s="1819" t="s">
        <v>706</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3698</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504</v>
      </c>
      <c r="C545" s="1819"/>
      <c r="D545" s="1819"/>
      <c r="E545" s="1861">
        <f>'Part IV-A-Uses of Funds'!E99</f>
        <v>30000</v>
      </c>
      <c r="F545" s="1861"/>
      <c r="G545" s="1861">
        <f>'Part IV-A-Uses of Funds'!G99</f>
        <v>30000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734</v>
      </c>
      <c r="C546" s="1819"/>
      <c r="D546" s="1819"/>
      <c r="E546" s="1861">
        <f>'Part IV-A-Uses of Funds'!E100</f>
        <v>32000</v>
      </c>
      <c r="F546" s="1861"/>
      <c r="G546" s="1861">
        <f>'Part IV-A-Uses of Funds'!G100</f>
        <v>32000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3877</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3878</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722</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722</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72500</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2239</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5000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2322</v>
      </c>
      <c r="C555" s="1819"/>
      <c r="D555" s="1819"/>
      <c r="E555" s="1819"/>
      <c r="F555" s="1819"/>
      <c r="G555" s="1861">
        <f>'Part IV-A-Uses of Funds'!G109</f>
        <v>25000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722</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55000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1812</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1813</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3464</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1805</v>
      </c>
      <c r="C563" s="1819"/>
      <c r="D563" s="1819"/>
      <c r="E563" s="1819"/>
      <c r="F563" s="1851">
        <f>'Part IV-A-Uses of Funds'!F117</f>
        <v>1</v>
      </c>
      <c r="G563" s="1861">
        <f>'Part IV-A-Uses of Funds'!G117</f>
        <v>500000</v>
      </c>
      <c r="H563" s="1861"/>
      <c r="I563" s="1819"/>
      <c r="J563" s="1861">
        <f>'Part IV-A-Uses of Funds'!J117</f>
        <v>0</v>
      </c>
      <c r="K563" s="1861"/>
      <c r="L563" s="1832"/>
      <c r="M563" s="1861">
        <f>'Part IV-A-Uses of Funds'!M117</f>
        <v>103000</v>
      </c>
      <c r="N563" s="1861"/>
      <c r="O563" s="1819"/>
      <c r="P563" s="1861">
        <f>'Part IV-A-Uses of Funds'!P117</f>
        <v>397000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1000000</v>
      </c>
      <c r="F564" s="1826" t="s">
        <v>187</v>
      </c>
      <c r="G564" s="1877">
        <f>SUM(G559:H563)</f>
        <v>500000</v>
      </c>
      <c r="H564" s="1877"/>
      <c r="I564" s="1819"/>
      <c r="J564" s="1861">
        <f>SUM(J559:K563)</f>
        <v>0</v>
      </c>
      <c r="K564" s="1861"/>
      <c r="L564" s="1832"/>
      <c r="M564" s="1861">
        <f>SUM(M559:N563)</f>
        <v>103000</v>
      </c>
      <c r="N564" s="1861"/>
      <c r="O564" s="1819"/>
      <c r="P564" s="1861">
        <f>SUM(P559:Q563)</f>
        <v>397000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1281</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15000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4497</v>
      </c>
      <c r="Z566" s="1817"/>
      <c r="AA566" s="1819"/>
      <c r="AB566" s="1945"/>
      <c r="AE566" s="1819"/>
    </row>
    <row r="567" spans="1:33" ht="13.8">
      <c r="A567" s="1819"/>
      <c r="B567" s="1819" t="s">
        <v>1502</v>
      </c>
      <c r="C567" s="1819"/>
      <c r="D567" s="1819"/>
      <c r="E567" s="1819"/>
      <c r="F567" s="1864">
        <f>'Part IV-A-Uses of Funds'!F121</f>
        <v>37752</v>
      </c>
      <c r="G567" s="1861">
        <f>'Part IV-A-Uses of Funds'!G121</f>
        <v>37754</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659</v>
      </c>
      <c r="C568" s="1819"/>
      <c r="D568" s="1819"/>
      <c r="E568" s="1819"/>
      <c r="F568" s="1864">
        <f>'Part IV-A-Uses of Funds'!F122</f>
        <v>86572.647549288376</v>
      </c>
      <c r="G568" s="1861">
        <f>'Part IV-A-Uses of Funds'!G122</f>
        <v>86572.647549288376</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1217</v>
      </c>
      <c r="C569" s="1819"/>
      <c r="D569" s="1819"/>
      <c r="E569" s="1819"/>
      <c r="F569" s="1864"/>
      <c r="G569" s="1861">
        <f>'Part IV-A-Uses of Funds'!G123</f>
        <v>14000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1218</v>
      </c>
      <c r="C570" s="1819"/>
      <c r="D570" s="1819"/>
      <c r="E570" s="1863" t="s">
        <v>3432</v>
      </c>
      <c r="F570" s="1864">
        <f>'Part IV-A-Uses of Funds'!F124</f>
        <v>1875</v>
      </c>
      <c r="G570" s="1861">
        <f>'Part IV-A-Uses of Funds'!G124</f>
        <v>75000</v>
      </c>
      <c r="H570" s="1861"/>
      <c r="I570" s="1819"/>
      <c r="J570" s="1861">
        <f>'Part IV-A-Uses of Funds'!J124</f>
        <v>0</v>
      </c>
      <c r="K570" s="1861"/>
      <c r="L570" s="1832"/>
      <c r="M570" s="1861">
        <f>'Part IV-A-Uses of Funds'!M124</f>
        <v>0</v>
      </c>
      <c r="N570" s="1861"/>
      <c r="O570" s="1819"/>
      <c r="P570" s="1861">
        <f>'Part IV-A-Uses of Funds'!P124</f>
        <v>75000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722</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228326.64754928838</v>
      </c>
      <c r="H572" s="1861"/>
      <c r="I572" s="1819"/>
      <c r="J572" s="1861">
        <f>SUM(J570:K571)</f>
        <v>0</v>
      </c>
      <c r="K572" s="1861"/>
      <c r="L572" s="1832"/>
      <c r="M572" s="1861">
        <f>SUM(M570:N571)</f>
        <v>0</v>
      </c>
      <c r="N572" s="1861"/>
      <c r="O572" s="1819"/>
      <c r="P572" s="1861">
        <f>SUM(P570:Q571)</f>
        <v>75000</v>
      </c>
      <c r="Q572" s="1861"/>
      <c r="R572" s="1819"/>
      <c r="S572" s="1861">
        <f>SUM(S566:T571)</f>
        <v>0</v>
      </c>
      <c r="T572" s="1861"/>
      <c r="U572" s="1819"/>
      <c r="V572" s="1862">
        <f>SUM(V566:V571)</f>
        <v>0</v>
      </c>
      <c r="W572" s="1772"/>
      <c r="X572" s="1772"/>
    </row>
    <row r="573" spans="1:33" ht="13.8">
      <c r="A573" s="1819"/>
      <c r="B573" s="1819" t="s">
        <v>592</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593</v>
      </c>
      <c r="C574" s="1823"/>
      <c r="D574" s="1819"/>
      <c r="E574" s="1819"/>
      <c r="F574" s="1819"/>
      <c r="G574" s="1861">
        <f>'Part IV-A-Uses of Funds'!G128</f>
        <v>50000</v>
      </c>
      <c r="H574" s="1861"/>
      <c r="I574" s="1819"/>
      <c r="J574" s="1861">
        <f>'Part IV-A-Uses of Funds'!J128</f>
        <v>0</v>
      </c>
      <c r="K574" s="1861"/>
      <c r="L574" s="1832"/>
      <c r="M574" s="1861">
        <f>'Part IV-A-Uses of Funds'!M128</f>
        <v>0</v>
      </c>
      <c r="N574" s="1861"/>
      <c r="O574" s="1819"/>
      <c r="P574" s="1861">
        <f>'Part IV-A-Uses of Funds'!P128</f>
        <v>50000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722</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50000</v>
      </c>
      <c r="H576" s="1861"/>
      <c r="I576" s="1819"/>
      <c r="J576" s="1861">
        <f>SUM(J574:K575)</f>
        <v>0</v>
      </c>
      <c r="K576" s="1861"/>
      <c r="L576" s="1832"/>
      <c r="M576" s="1861">
        <f>SUM(M574:N575)</f>
        <v>0</v>
      </c>
      <c r="N576" s="1861"/>
      <c r="O576" s="1819"/>
      <c r="P576" s="1861">
        <f>SUM(P574:Q575)</f>
        <v>50000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5691701.1975492882</v>
      </c>
      <c r="H578" s="1861"/>
      <c r="I578" s="1819"/>
      <c r="J578" s="1861">
        <f>J463+J469+J473+J479+J484+J487+J493+J510+J523+J529+J537+J551+J557+J564+J572+J576</f>
        <v>0</v>
      </c>
      <c r="K578" s="1861"/>
      <c r="L578" s="1819"/>
      <c r="M578" s="1861">
        <f>M463+M469+M473+M479+M484+M487+M493+M510+M523+M529+M537+M551+M557+M564+M572+M576</f>
        <v>1153000</v>
      </c>
      <c r="N578" s="1861"/>
      <c r="O578" s="1819"/>
      <c r="P578" s="1861">
        <f>P463+P469+P473+P479+P484+P487+P493+P510+P523+P529+P537+P551+P557+P564+P572+P576</f>
        <v>4037373.5</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142292.52993873222</v>
      </c>
      <c r="E580" s="1880"/>
      <c r="F580" s="1821" t="s">
        <v>2672</v>
      </c>
      <c r="G580" s="1880">
        <f>IF('Part I-Project Information'!$P$75=0,0,G578/'Part I-Project Information'!$P$75)</f>
        <v>149.38848287530939</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721</v>
      </c>
      <c r="B583" s="2093" t="s">
        <v>1397</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1994</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2100</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1815</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1816</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1567</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1817</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2279</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1745</v>
      </c>
      <c r="C595" s="1819"/>
      <c r="D595" s="1819"/>
      <c r="E595" s="1819"/>
      <c r="F595" s="1819"/>
      <c r="G595" s="1819"/>
      <c r="H595" s="1819"/>
      <c r="I595" s="1819"/>
      <c r="J595" s="1882">
        <f>J578</f>
        <v>0</v>
      </c>
      <c r="K595" s="1882"/>
      <c r="L595" s="1819"/>
      <c r="M595" s="1882">
        <f>M578</f>
        <v>1153000</v>
      </c>
      <c r="N595" s="1882"/>
      <c r="O595" s="1819"/>
      <c r="P595" s="1882">
        <f>P578</f>
        <v>4037373.5</v>
      </c>
      <c r="Q595" s="1882"/>
      <c r="R595" s="1822" t="s">
        <v>4227</v>
      </c>
      <c r="S595" s="1822"/>
      <c r="T595" s="1822"/>
      <c r="U595" s="1819"/>
      <c r="V595" s="1862"/>
      <c r="W595" s="1772"/>
      <c r="X595" s="1772"/>
    </row>
    <row r="596" spans="1:24" ht="13.8">
      <c r="A596" s="1819"/>
      <c r="B596" s="1819" t="s">
        <v>2162</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2163</v>
      </c>
      <c r="C597" s="1819"/>
      <c r="D597" s="1819"/>
      <c r="E597" s="1819"/>
      <c r="F597" s="1819"/>
      <c r="G597" s="1819"/>
      <c r="H597" s="1819"/>
      <c r="I597" s="1819"/>
      <c r="J597" s="1882">
        <f>J595-J596</f>
        <v>0</v>
      </c>
      <c r="K597" s="1882"/>
      <c r="L597" s="1819"/>
      <c r="M597" s="1882">
        <f>M595</f>
        <v>1153000</v>
      </c>
      <c r="N597" s="1882"/>
      <c r="O597" s="1819"/>
      <c r="P597" s="1882">
        <f>P595-P596</f>
        <v>4037373.5</v>
      </c>
      <c r="Q597" s="1882"/>
      <c r="R597" s="1822"/>
      <c r="S597" s="1822"/>
      <c r="T597" s="1822"/>
      <c r="U597" s="1822"/>
      <c r="V597" s="1862"/>
      <c r="W597" s="1772"/>
      <c r="X597" s="1772"/>
    </row>
    <row r="598" spans="1:24" ht="13.8">
      <c r="A598" s="1819"/>
      <c r="B598" s="1819" t="s">
        <v>1453</v>
      </c>
      <c r="C598" s="1819"/>
      <c r="D598" s="1819"/>
      <c r="E598" s="1819"/>
      <c r="F598" s="1819"/>
      <c r="G598" s="1821" t="s">
        <v>1671</v>
      </c>
      <c r="H598" s="1819" t="str">
        <f>'Part IV-A-Uses of Funds'!H152</f>
        <v>&lt;&lt;Select&gt;&gt;</v>
      </c>
      <c r="I598" s="1819"/>
      <c r="J598" s="1861">
        <f>'Part IV-A-Uses of Funds'!J152</f>
        <v>1</v>
      </c>
      <c r="K598" s="1861"/>
      <c r="L598" s="1819"/>
      <c r="M598" s="1883"/>
      <c r="N598" s="1883"/>
      <c r="O598" s="1819"/>
      <c r="P598" s="1861">
        <f>'Part IV-A-Uses of Funds'!P152</f>
        <v>1</v>
      </c>
      <c r="Q598" s="1861"/>
      <c r="R598" s="1822" t="str">
        <f>'Part IV-A-Uses of Funds'!R152</f>
        <v>&lt;&lt; Select &gt;&gt;</v>
      </c>
      <c r="S598" s="1822"/>
      <c r="T598" s="1822"/>
      <c r="U598" s="1819"/>
      <c r="V598" s="1862"/>
      <c r="W598" s="1772"/>
      <c r="X598" s="1772"/>
    </row>
    <row r="599" spans="1:24" ht="13.8">
      <c r="A599" s="1819"/>
      <c r="B599" s="1819" t="s">
        <v>2004</v>
      </c>
      <c r="C599" s="1819"/>
      <c r="D599" s="1819"/>
      <c r="E599" s="1819"/>
      <c r="F599" s="1819"/>
      <c r="G599" s="1819"/>
      <c r="H599" s="1819"/>
      <c r="I599" s="1819"/>
      <c r="J599" s="1882">
        <f>J597*J598</f>
        <v>0</v>
      </c>
      <c r="K599" s="1882"/>
      <c r="L599" s="1819"/>
      <c r="M599" s="1882">
        <f>+M597</f>
        <v>1153000</v>
      </c>
      <c r="N599" s="1882"/>
      <c r="O599" s="1819"/>
      <c r="P599" s="1882">
        <f>P597*P598</f>
        <v>4037373.5</v>
      </c>
      <c r="Q599" s="1882"/>
      <c r="R599" s="1822"/>
      <c r="S599" s="1822"/>
      <c r="T599" s="1822"/>
      <c r="U599" s="1819"/>
      <c r="V599" s="1862"/>
      <c r="W599" s="1772"/>
      <c r="X599" s="1772"/>
    </row>
    <row r="600" spans="1:24" ht="13.8">
      <c r="A600" s="1819"/>
      <c r="B600" s="1819" t="s">
        <v>2473</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1995</v>
      </c>
      <c r="C601" s="1819"/>
      <c r="D601" s="1819"/>
      <c r="E601" s="1819"/>
      <c r="F601" s="1819"/>
      <c r="G601" s="1819"/>
      <c r="H601" s="1819"/>
      <c r="I601" s="1819"/>
      <c r="J601" s="1882">
        <f>J599*J600</f>
        <v>0</v>
      </c>
      <c r="K601" s="1882"/>
      <c r="L601" s="1819"/>
      <c r="M601" s="1882">
        <f>M599*M600</f>
        <v>1153000</v>
      </c>
      <c r="N601" s="1882"/>
      <c r="O601" s="1819"/>
      <c r="P601" s="1882">
        <f>P599*P600</f>
        <v>4037373.5</v>
      </c>
      <c r="Q601" s="1882"/>
      <c r="R601" s="1819"/>
      <c r="S601" s="1819"/>
      <c r="T601" s="1819"/>
      <c r="U601" s="1819"/>
      <c r="V601" s="1862"/>
      <c r="W601" s="1772"/>
      <c r="X601" s="1772"/>
    </row>
    <row r="602" spans="1:24" ht="13.8">
      <c r="A602" s="1819"/>
      <c r="B602" s="1819" t="s">
        <v>1996</v>
      </c>
      <c r="C602" s="1819"/>
      <c r="D602" s="1819"/>
      <c r="E602" s="1819"/>
      <c r="F602" s="1819"/>
      <c r="G602" s="1819"/>
      <c r="H602" s="1819"/>
      <c r="I602" s="1819"/>
      <c r="J602" s="1883">
        <f>'Part IV-A-Uses of Funds'!J156</f>
        <v>0.09</v>
      </c>
      <c r="K602" s="1883"/>
      <c r="L602" s="1819"/>
      <c r="M602" s="1883">
        <f>'Part IV-A-Uses of Funds'!M156</f>
        <v>0.09</v>
      </c>
      <c r="N602" s="1883"/>
      <c r="O602" s="1819"/>
      <c r="P602" s="1883">
        <f>'Part IV-A-Uses of Funds'!P156</f>
        <v>0.09</v>
      </c>
      <c r="Q602" s="1883"/>
      <c r="R602" s="1819"/>
      <c r="S602" s="1819"/>
      <c r="T602" s="1819"/>
      <c r="U602" s="1819"/>
      <c r="V602" s="1862"/>
      <c r="W602" s="1772"/>
      <c r="X602" s="1772"/>
    </row>
    <row r="603" spans="1:24" ht="13.8">
      <c r="A603" s="1819"/>
      <c r="B603" s="1819" t="s">
        <v>2474</v>
      </c>
      <c r="C603" s="1819"/>
      <c r="D603" s="1819"/>
      <c r="E603" s="1819"/>
      <c r="F603" s="1819"/>
      <c r="G603" s="1819"/>
      <c r="H603" s="1819"/>
      <c r="I603" s="1819"/>
      <c r="J603" s="1882">
        <f>J601*J602</f>
        <v>0</v>
      </c>
      <c r="K603" s="1882"/>
      <c r="L603" s="1819"/>
      <c r="M603" s="1882">
        <f>M601*M602</f>
        <v>103770</v>
      </c>
      <c r="N603" s="1882"/>
      <c r="O603" s="1819"/>
      <c r="P603" s="1882">
        <f>P601*P602</f>
        <v>363363.61499999999</v>
      </c>
      <c r="Q603" s="1882"/>
      <c r="R603" s="1819"/>
      <c r="S603" s="1819"/>
      <c r="T603" s="1819"/>
      <c r="U603" s="1819"/>
      <c r="V603" s="1862"/>
      <c r="W603" s="1772"/>
      <c r="X603" s="1772"/>
    </row>
    <row r="604" spans="1:24" ht="13.8">
      <c r="A604" s="1819"/>
      <c r="B604" s="1819" t="s">
        <v>1395</v>
      </c>
      <c r="C604" s="1819"/>
      <c r="D604" s="1819"/>
      <c r="E604" s="1819"/>
      <c r="F604" s="1819"/>
      <c r="G604" s="1819"/>
      <c r="H604" s="1819"/>
      <c r="I604" s="1819"/>
      <c r="J604" s="1882">
        <f>ROUNDDOWN(J603+M603+P603,0)</f>
        <v>467133</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723</v>
      </c>
      <c r="B606" s="1963" t="s">
        <v>1398</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5691701.1975492882</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224826.64754928838</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5466874.5499999998</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2677</v>
      </c>
      <c r="C612" s="1823"/>
      <c r="D612" s="1823"/>
      <c r="E612" s="1819"/>
      <c r="F612" s="1819"/>
      <c r="G612" s="1819"/>
      <c r="H612" s="1819"/>
      <c r="I612" s="1819"/>
      <c r="J612" s="2200">
        <f>'Part VIII-Threshold Criteria'!$P$63</f>
        <v>8974025.1999999993</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4527</v>
      </c>
      <c r="C615" s="1819"/>
      <c r="D615" s="1819"/>
      <c r="E615" s="1819"/>
      <c r="F615" s="1819"/>
      <c r="G615" s="1819"/>
      <c r="H615" s="1819"/>
      <c r="I615" s="1819"/>
      <c r="J615" s="1882">
        <f>'Part IV-A-Uses of Funds'!J169</f>
        <v>5691701.1975492882</v>
      </c>
      <c r="K615" s="1882"/>
      <c r="L615" s="1882"/>
      <c r="M615" s="1822" t="s">
        <v>4550</v>
      </c>
      <c r="N615" s="1822"/>
      <c r="O615" s="1822"/>
      <c r="P615" s="1822"/>
      <c r="Q615" s="1822"/>
      <c r="R615" s="1822"/>
      <c r="S615" s="1822" t="s">
        <v>3497</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375000</v>
      </c>
      <c r="K616" s="1882"/>
      <c r="L616" s="1882"/>
      <c r="M616" s="1822"/>
      <c r="N616" s="1822"/>
      <c r="O616" s="1822"/>
      <c r="P616" s="1822"/>
      <c r="Q616" s="1822"/>
      <c r="R616" s="1822"/>
      <c r="S616" s="1822"/>
      <c r="T616" s="1822"/>
      <c r="U616" s="1819"/>
      <c r="V616" s="1862"/>
      <c r="W616" s="1772"/>
      <c r="X616" s="1772"/>
    </row>
    <row r="617" spans="1:24" ht="13.8">
      <c r="A617" s="1819"/>
      <c r="B617" s="1819" t="s">
        <v>2174</v>
      </c>
      <c r="C617" s="1819"/>
      <c r="D617" s="1819"/>
      <c r="E617" s="1819"/>
      <c r="F617" s="1819"/>
      <c r="G617" s="1819"/>
      <c r="H617" s="1819"/>
      <c r="I617" s="1819"/>
      <c r="J617" s="1882">
        <f>+J615-J616</f>
        <v>5316701.1975492882</v>
      </c>
      <c r="K617" s="1882"/>
      <c r="L617" s="1882"/>
      <c r="M617" s="1822"/>
      <c r="N617" s="1822"/>
      <c r="O617" s="1822"/>
      <c r="P617" s="1822"/>
      <c r="Q617" s="1822"/>
      <c r="R617" s="1822"/>
      <c r="S617" s="1822"/>
      <c r="T617" s="1822"/>
      <c r="U617" s="1819"/>
      <c r="V617" s="1862"/>
      <c r="W617" s="1772"/>
      <c r="X617" s="1772"/>
    </row>
    <row r="618" spans="1:24" ht="13.8">
      <c r="A618" s="1819"/>
      <c r="B618" s="1819" t="s">
        <v>1259</v>
      </c>
      <c r="C618" s="1819"/>
      <c r="D618" s="1819"/>
      <c r="E618" s="1819"/>
      <c r="F618" s="1819"/>
      <c r="G618" s="1819"/>
      <c r="H618" s="1819"/>
      <c r="I618" s="1819"/>
      <c r="J618" s="1819" t="str">
        <f>"/ 10"</f>
        <v>/ 10</v>
      </c>
      <c r="K618" s="1819"/>
      <c r="L618" s="1819"/>
      <c r="M618" s="1849" t="s">
        <v>2659</v>
      </c>
      <c r="N618" s="1849"/>
      <c r="O618" s="1886">
        <f>'Part III-Sources of Funds'!$I$42</f>
        <v>0</v>
      </c>
      <c r="P618" s="1886"/>
      <c r="Q618" s="1886"/>
      <c r="R618" s="1886"/>
      <c r="S618" s="1887" t="s">
        <v>1622</v>
      </c>
      <c r="T618" s="2205">
        <f>'Part IV-A-Uses of Funds'!T172</f>
        <v>0</v>
      </c>
      <c r="U618" s="1819"/>
      <c r="V618" s="1862"/>
      <c r="W618" s="1772"/>
      <c r="X618" s="1772"/>
    </row>
    <row r="619" spans="1:24" ht="13.8">
      <c r="A619" s="1819"/>
      <c r="B619" s="1819" t="s">
        <v>1260</v>
      </c>
      <c r="C619" s="1819"/>
      <c r="D619" s="1819"/>
      <c r="E619" s="1819"/>
      <c r="F619" s="1819"/>
      <c r="G619" s="1819"/>
      <c r="H619" s="1819"/>
      <c r="I619" s="1819"/>
      <c r="J619" s="1882">
        <f>J617/10</f>
        <v>531670.11975492886</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1261</v>
      </c>
      <c r="O620" s="1819"/>
      <c r="P620" s="1819"/>
      <c r="Q620" s="1819" t="s">
        <v>1753</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1.4100000000000001</v>
      </c>
      <c r="K621" s="1888"/>
      <c r="L621" s="1888"/>
      <c r="M621" s="1821" t="s">
        <v>1262</v>
      </c>
      <c r="N621" s="2206">
        <f>'Part IV-A-Uses of Funds'!N175</f>
        <v>0.88</v>
      </c>
      <c r="O621" s="2206"/>
      <c r="P621" s="1821" t="s">
        <v>594</v>
      </c>
      <c r="Q621" s="2206">
        <f>'Part IV-A-Uses of Funds'!Q175</f>
        <v>0.53</v>
      </c>
      <c r="R621" s="2206"/>
      <c r="S621" s="1819"/>
      <c r="T621" s="1819"/>
      <c r="U621" s="1819"/>
      <c r="V621" s="1862"/>
      <c r="W621" s="1772"/>
      <c r="X621" s="1772"/>
    </row>
    <row r="622" spans="1:24" ht="13.8">
      <c r="A622" s="1819"/>
      <c r="B622" s="1819" t="s">
        <v>1396</v>
      </c>
      <c r="C622" s="1819"/>
      <c r="D622" s="1819"/>
      <c r="E622" s="1819"/>
      <c r="F622" s="1819"/>
      <c r="G622" s="1819"/>
      <c r="H622" s="1819"/>
      <c r="I622" s="1819"/>
      <c r="J622" s="1882">
        <f>ROUNDDOWN(IF(J621=0,"",J619/J621),0)</f>
        <v>377071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1747</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377071</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375000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375000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1749</v>
      </c>
      <c r="B633" s="1827" t="s">
        <v>554</v>
      </c>
      <c r="C633" s="1827"/>
      <c r="D633" s="1827"/>
      <c r="E633" s="1827"/>
      <c r="F633" s="1827"/>
      <c r="G633" s="1827"/>
      <c r="H633" s="1827"/>
      <c r="I633" s="1827"/>
      <c r="J633" s="1827"/>
      <c r="K633" s="1827"/>
      <c r="L633" s="1827"/>
      <c r="M633" s="1827"/>
      <c r="N633" s="1819" t="s">
        <v>515</v>
      </c>
      <c r="O633" s="1819" t="s">
        <v>77</v>
      </c>
      <c r="P633" s="1827"/>
      <c r="Q633" s="1827"/>
      <c r="R633" s="1827"/>
      <c r="S633" s="1827"/>
      <c r="T633" s="1827"/>
      <c r="U633" s="1827"/>
      <c r="V633" s="1827"/>
      <c r="W633" s="1827"/>
      <c r="X633" s="1827"/>
    </row>
    <row r="634" spans="1:24" ht="15.6" customHeight="1">
      <c r="A634" s="1887" t="str">
        <f>'Part IV-A-Uses of Funds'!A188</f>
        <v>Empire Construction reviewed the applicable conceptual drawings and the conceptual site plan and compared those design features with historical data from the coastal region of Georgia and gave us a preliminary estimate based on these factors. As this is a rehabilitation development, there is an extensive scope of work and PNA analysis was conducted.</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2612</v>
      </c>
      <c r="X634" s="1973"/>
    </row>
    <row r="638" spans="1:24" ht="15">
      <c r="A638" s="2094" t="str">
        <f>CONCATENATE("PART FOUR (b) -  OTHER COSTS","  -  ",'Part I-Project Information'!$O$6," - ",'Part I-Project Information'!$F$34,"  -  ",'Part I-Project Information'!$F$38,"  -  ",'Part I-Project Information'!$J$39,",  ","County")</f>
        <v>PART FOUR (b) -  OTHER COSTS  -  2020-050 - Twin Oaks Commons  -  Ludowici  -  Long,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3531</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3522</v>
      </c>
      <c r="G642" s="1890"/>
      <c r="H642" s="2096" t="s">
        <v>3523</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3525</v>
      </c>
      <c r="B649" s="1892">
        <f>'Part IV-A-Uses of Funds'!$G$14</f>
        <v>0</v>
      </c>
      <c r="C649" s="2099" t="s">
        <v>1745</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3525</v>
      </c>
      <c r="B654" s="1892">
        <f>'Part IV-A-Uses of Funds'!$G$15</f>
        <v>0</v>
      </c>
      <c r="C654" s="2099" t="s">
        <v>1745</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3525</v>
      </c>
      <c r="B659" s="1892">
        <f>'Part IV-A-Uses of Funds'!$G$16</f>
        <v>0</v>
      </c>
      <c r="C659" s="2099" t="s">
        <v>1745</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3524</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3525</v>
      </c>
      <c r="B665" s="1892">
        <f>'Part IV-A-Uses of Funds'!$G$41</f>
        <v>0</v>
      </c>
      <c r="C665" s="2099" t="s">
        <v>1745</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703</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3525</v>
      </c>
      <c r="B671" s="1892">
        <f>'Part IV-A-Uses of Funds'!$G$62</f>
        <v>0</v>
      </c>
      <c r="C671" s="2099" t="s">
        <v>1745</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3525</v>
      </c>
      <c r="B676" s="1892">
        <f>'Part IV-A-Uses of Funds'!$G$63</f>
        <v>0</v>
      </c>
      <c r="C676" s="2099" t="s">
        <v>1745</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3525</v>
      </c>
      <c r="B682" s="1892">
        <f>'Part IV-A-Uses of Funds'!$G$76</f>
        <v>0</v>
      </c>
      <c r="C682" s="2099" t="s">
        <v>1745</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705</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3525</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3525</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3525</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3525</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1281</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3525</v>
      </c>
      <c r="B711" s="1892">
        <f>'Part IV-A-Uses of Funds'!$G$125</f>
        <v>0</v>
      </c>
      <c r="C711" s="2099" t="s">
        <v>1745</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3525</v>
      </c>
      <c r="B717" s="1892">
        <f>'Part IV-A-Uses of Funds'!$G$129</f>
        <v>0</v>
      </c>
      <c r="C717" s="2099" t="s">
        <v>1745</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2020-050 Twin Oaks Commons,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4114</v>
      </c>
      <c r="I723" s="1922" t="str">
        <f>VLOOKUP('Part I-Project Information'!$J$39,'DCA Underwriting Assumptions'!$G$173:$H$332,2)</f>
        <v>South</v>
      </c>
    </row>
    <row r="725" spans="1:13">
      <c r="A725" s="1918" t="s">
        <v>3608</v>
      </c>
    </row>
    <row r="727" spans="1:13">
      <c r="A727" s="1995" t="s">
        <v>597</v>
      </c>
      <c r="B727" s="1995" t="s">
        <v>2169</v>
      </c>
      <c r="F727" s="1815" t="s">
        <v>2451</v>
      </c>
      <c r="G727" s="1815"/>
      <c r="H727" s="1815"/>
      <c r="I727" s="1815" t="str">
        <f>'Part V-Utility Allowances'!I7</f>
        <v>Georgia South High-Rise Apartment</v>
      </c>
      <c r="J727" s="1815"/>
      <c r="K727" s="1815"/>
      <c r="L727" s="1815"/>
      <c r="M727" s="1815"/>
    </row>
    <row r="728" spans="1:13">
      <c r="F728" s="1815" t="s">
        <v>617</v>
      </c>
      <c r="G728" s="1815"/>
      <c r="H728" s="1815"/>
      <c r="I728" s="2211">
        <f>'Part V-Utility Allowances'!I8</f>
        <v>43831</v>
      </c>
      <c r="J728" s="2211"/>
      <c r="K728" s="1896" t="s">
        <v>524</v>
      </c>
      <c r="L728" s="1815" t="str">
        <f>'Part V-Utility Allowances'!L8</f>
        <v>Townhome</v>
      </c>
      <c r="M728" s="1815"/>
    </row>
    <row r="730" spans="1:13">
      <c r="F730" s="1995" t="s">
        <v>591</v>
      </c>
      <c r="I730" s="1995" t="s">
        <v>196</v>
      </c>
    </row>
    <row r="731" spans="1:13">
      <c r="B731" s="1995" t="s">
        <v>777</v>
      </c>
      <c r="D731" s="1995" t="s">
        <v>1565</v>
      </c>
      <c r="F731" s="1874" t="s">
        <v>623</v>
      </c>
      <c r="G731" s="1874" t="s">
        <v>1802</v>
      </c>
      <c r="I731" s="1874" t="s">
        <v>550</v>
      </c>
      <c r="J731" s="1874">
        <v>1</v>
      </c>
      <c r="K731" s="1874">
        <v>2</v>
      </c>
      <c r="L731" s="1874">
        <v>3</v>
      </c>
      <c r="M731" s="1874">
        <v>4</v>
      </c>
    </row>
    <row r="732" spans="1:13">
      <c r="B732" s="1815" t="s">
        <v>1804</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13</v>
      </c>
      <c r="K732" s="1896">
        <f>'Part V-Utility Allowances'!K12</f>
        <v>16</v>
      </c>
      <c r="L732" s="1896">
        <f>'Part V-Utility Allowances'!L12</f>
        <v>20</v>
      </c>
      <c r="M732" s="1896">
        <f>'Part V-Utility Allowances'!M12</f>
        <v>0</v>
      </c>
    </row>
    <row r="733" spans="1:13">
      <c r="B733" s="1815" t="s">
        <v>1563</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1564</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21</v>
      </c>
      <c r="K734" s="1896">
        <f>'Part V-Utility Allowances'!K14</f>
        <v>27</v>
      </c>
      <c r="L734" s="1896">
        <f>'Part V-Utility Allowances'!L14</f>
        <v>33</v>
      </c>
      <c r="M734" s="1896">
        <f>'Part V-Utility Allowances'!M14</f>
        <v>0</v>
      </c>
    </row>
    <row r="735" spans="1:13">
      <c r="B735" s="1815" t="s">
        <v>458</v>
      </c>
      <c r="C735" s="1815"/>
      <c r="D735" s="1815" t="s">
        <v>1562</v>
      </c>
      <c r="F735" s="2109" t="str">
        <f>'Part V-Utility Allowances'!F15</f>
        <v>X</v>
      </c>
      <c r="G735" s="2109">
        <f>'Part V-Utility Allowances'!G15</f>
        <v>0</v>
      </c>
      <c r="I735" s="1896">
        <f>'Part V-Utility Allowances'!I15</f>
        <v>0</v>
      </c>
      <c r="J735" s="1896">
        <f>'Part V-Utility Allowances'!J15</f>
        <v>12</v>
      </c>
      <c r="K735" s="1896">
        <f>'Part V-Utility Allowances'!K15</f>
        <v>15</v>
      </c>
      <c r="L735" s="1896">
        <f>'Part V-Utility Allowances'!L15</f>
        <v>18</v>
      </c>
      <c r="M735" s="1896">
        <f>'Part V-Utility Allowances'!M15</f>
        <v>0</v>
      </c>
    </row>
    <row r="736" spans="1:13">
      <c r="B736" s="1815" t="s">
        <v>3605</v>
      </c>
      <c r="C736" s="1815"/>
      <c r="D736" s="1815" t="s">
        <v>1562</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3606</v>
      </c>
      <c r="C737" s="1815"/>
      <c r="D737" s="1815" t="s">
        <v>1562</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3607</v>
      </c>
      <c r="C738" s="1815"/>
      <c r="D738" s="1815" t="s">
        <v>1562</v>
      </c>
      <c r="F738" s="2109" t="str">
        <f>'Part V-Utility Allowances'!F18</f>
        <v>X</v>
      </c>
      <c r="G738" s="2109">
        <f>'Part V-Utility Allowances'!G18</f>
        <v>0</v>
      </c>
      <c r="I738" s="1896">
        <f>'Part V-Utility Allowances'!I18</f>
        <v>0</v>
      </c>
      <c r="J738" s="1896">
        <f>'Part V-Utility Allowances'!J18</f>
        <v>14</v>
      </c>
      <c r="K738" s="1896">
        <f>'Part V-Utility Allowances'!K18</f>
        <v>18</v>
      </c>
      <c r="L738" s="1896">
        <f>'Part V-Utility Allowances'!L18</f>
        <v>23</v>
      </c>
      <c r="M738" s="1896">
        <f>'Part V-Utility Allowances'!M18</f>
        <v>0</v>
      </c>
    </row>
    <row r="739" spans="1:13">
      <c r="B739" s="1815" t="s">
        <v>1342</v>
      </c>
      <c r="C739" s="1815"/>
      <c r="D739" s="1815" t="s">
        <v>6807</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1803</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722</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997</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67</v>
      </c>
      <c r="K742" s="1896">
        <f>IF(SUM(K732:K741)=0,0,IF(OR($D732="&lt;&lt;Select Fuel &gt;&gt;",$D733="&lt;&lt;Select Fuel &gt;&gt;",$D734="&lt;&lt;Select Fuel &gt;&gt;"),"Select Fuel",IF($E739="&lt;Select&gt;","Submeter?",SUM(K732:K741))))</f>
        <v>85</v>
      </c>
      <c r="L742" s="1896">
        <f>IF(SUM(L732:L741)=0,0,IF(OR($D732="&lt;&lt;Select Fuel &gt;&gt;",$D733="&lt;&lt;Select Fuel &gt;&gt;",$D734="&lt;&lt;Select Fuel &gt;&gt;"),"Select Fuel",IF($E739="&lt;Select&gt;","Submeter?",SUM(L732:L741))))</f>
        <v>105</v>
      </c>
      <c r="M742" s="1896">
        <f>IF(SUM(M732:M741)=0,0,IF(OR($D732="&lt;&lt;Select Fuel &gt;&gt;",$D733="&lt;&lt;Select Fuel &gt;&gt;",$D734="&lt;&lt;Select Fuel &gt;&gt;"),"Select Fuel",IF($E739="&lt;Select&gt;","Submeter?",SUM(M732:M741))))</f>
        <v>0</v>
      </c>
    </row>
    <row r="744" spans="1:13">
      <c r="A744" s="1995" t="s">
        <v>721</v>
      </c>
      <c r="B744" s="1995" t="s">
        <v>2170</v>
      </c>
      <c r="F744" s="1815" t="s">
        <v>2451</v>
      </c>
      <c r="G744" s="1815"/>
      <c r="H744" s="1815"/>
      <c r="I744" s="1815">
        <f>'Part V-Utility Allowances'!I24</f>
        <v>0</v>
      </c>
      <c r="J744" s="1815"/>
      <c r="K744" s="1815"/>
      <c r="L744" s="1815"/>
      <c r="M744" s="1815"/>
    </row>
    <row r="745" spans="1:13">
      <c r="F745" s="1815" t="s">
        <v>617</v>
      </c>
      <c r="G745" s="1815"/>
      <c r="H745" s="1815"/>
      <c r="I745" s="2211">
        <f>'Part V-Utility Allowances'!I25</f>
        <v>0</v>
      </c>
      <c r="J745" s="2211"/>
      <c r="K745" s="1896" t="s">
        <v>524</v>
      </c>
      <c r="L745" s="1815">
        <f>'Part V-Utility Allowances'!L25</f>
        <v>0</v>
      </c>
      <c r="M745" s="1815"/>
    </row>
    <row r="747" spans="1:13">
      <c r="F747" s="1995" t="s">
        <v>591</v>
      </c>
      <c r="I747" s="1995" t="s">
        <v>196</v>
      </c>
    </row>
    <row r="748" spans="1:13">
      <c r="B748" s="1995" t="s">
        <v>777</v>
      </c>
      <c r="D748" s="1995" t="s">
        <v>1565</v>
      </c>
      <c r="F748" s="1874" t="s">
        <v>623</v>
      </c>
      <c r="G748" s="1874" t="s">
        <v>1802</v>
      </c>
      <c r="I748" s="1874" t="s">
        <v>550</v>
      </c>
      <c r="J748" s="1874">
        <v>1</v>
      </c>
      <c r="K748" s="1874">
        <v>2</v>
      </c>
      <c r="L748" s="1874">
        <v>3</v>
      </c>
      <c r="M748" s="1874">
        <v>4</v>
      </c>
    </row>
    <row r="749" spans="1:13">
      <c r="B749" s="1815" t="s">
        <v>1804</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1563</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1564</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1562</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3605</v>
      </c>
      <c r="C753" s="1815"/>
      <c r="D753" s="1815" t="s">
        <v>1562</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3606</v>
      </c>
      <c r="C754" s="1815"/>
      <c r="D754" s="1815" t="s">
        <v>1562</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3607</v>
      </c>
      <c r="C755" s="1815"/>
      <c r="D755" s="1815" t="s">
        <v>1562</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1342</v>
      </c>
      <c r="C756" s="1815"/>
      <c r="D756" s="1815" t="s">
        <v>6807</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1803</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722</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997</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554</v>
      </c>
    </row>
    <row r="763" spans="2:13">
      <c r="B763" s="1772"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63" s="1772"/>
      <c r="D763" s="1772"/>
      <c r="E763" s="1772"/>
      <c r="F763" s="1772"/>
      <c r="G763" s="1772"/>
      <c r="H763" s="1772"/>
      <c r="I763" s="1772"/>
      <c r="J763" s="1772"/>
      <c r="K763" s="1772"/>
      <c r="L763" s="1772"/>
      <c r="M763" s="1772"/>
    </row>
    <row r="765" spans="2:13">
      <c r="B765" s="1995" t="s">
        <v>1797</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2020-050 Twin Oaks Commons, ,  County</v>
      </c>
      <c r="T770" s="1815" t="str">
        <f>A770</f>
        <v>PART SIX - PROJECTED REVENUES &amp; EXPENSES  -  2020-050 Twin Oaks Commons,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597</v>
      </c>
      <c r="B772" s="1815" t="s">
        <v>2304</v>
      </c>
      <c r="D772" s="1822" t="s">
        <v>3433</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475</v>
      </c>
      <c r="IF772" s="2240" t="s">
        <v>2375</v>
      </c>
      <c r="IG772" s="2240" t="s">
        <v>2376</v>
      </c>
      <c r="IH772" s="2240" t="s">
        <v>2377</v>
      </c>
      <c r="II772" s="2240" t="s">
        <v>2378</v>
      </c>
      <c r="IJ772" s="2240" t="s">
        <v>475</v>
      </c>
      <c r="IK772" s="2240" t="s">
        <v>2375</v>
      </c>
      <c r="IL772" s="2240" t="s">
        <v>2376</v>
      </c>
      <c r="IM772" s="2240" t="s">
        <v>2377</v>
      </c>
      <c r="IN772" s="2240" t="s">
        <v>2378</v>
      </c>
      <c r="IO772" s="1732"/>
      <c r="IP772" s="1732"/>
      <c r="IQ772" s="1732"/>
      <c r="IR772" s="1732"/>
      <c r="IS772" s="1732"/>
      <c r="IT772" s="1732"/>
      <c r="IU772" s="1732"/>
      <c r="IV772" s="1732"/>
      <c r="IW772" s="1732"/>
      <c r="IX772" s="1732"/>
      <c r="IY772" s="2240" t="s">
        <v>475</v>
      </c>
      <c r="IZ772" s="2240" t="s">
        <v>2375</v>
      </c>
      <c r="JA772" s="2240" t="s">
        <v>2376</v>
      </c>
      <c r="JB772" s="2240" t="s">
        <v>2377</v>
      </c>
      <c r="JC772" s="2240" t="s">
        <v>2378</v>
      </c>
      <c r="JD772" s="2240" t="s">
        <v>475</v>
      </c>
      <c r="JE772" s="2240" t="s">
        <v>2375</v>
      </c>
      <c r="JF772" s="2240" t="s">
        <v>2376</v>
      </c>
      <c r="JG772" s="2240" t="s">
        <v>2377</v>
      </c>
      <c r="JH772" s="2240" t="s">
        <v>2378</v>
      </c>
      <c r="JI772" s="2240" t="s">
        <v>475</v>
      </c>
      <c r="JJ772" s="2240" t="s">
        <v>2375</v>
      </c>
      <c r="JK772" s="2240" t="s">
        <v>2376</v>
      </c>
      <c r="JL772" s="2240" t="s">
        <v>2377</v>
      </c>
      <c r="JM772" s="2240" t="s">
        <v>2378</v>
      </c>
      <c r="JN772" s="2240" t="s">
        <v>475</v>
      </c>
      <c r="JO772" s="2240" t="s">
        <v>2375</v>
      </c>
      <c r="JP772" s="2240" t="s">
        <v>2376</v>
      </c>
      <c r="JQ772" s="2240" t="s">
        <v>2377</v>
      </c>
      <c r="JR772" s="2240" t="s">
        <v>2378</v>
      </c>
      <c r="JS772" s="2240" t="s">
        <v>475</v>
      </c>
      <c r="JT772" s="2240" t="s">
        <v>2375</v>
      </c>
      <c r="JU772" s="2240" t="s">
        <v>2376</v>
      </c>
      <c r="JV772" s="2240" t="s">
        <v>2377</v>
      </c>
      <c r="JW772" s="2240" t="s">
        <v>2378</v>
      </c>
      <c r="JX772" s="2240" t="s">
        <v>475</v>
      </c>
      <c r="JY772" s="2240" t="s">
        <v>2375</v>
      </c>
      <c r="JZ772" s="2240" t="s">
        <v>2376</v>
      </c>
      <c r="KA772" s="2240" t="s">
        <v>2377</v>
      </c>
      <c r="KB772" s="2240" t="s">
        <v>2378</v>
      </c>
      <c r="KC772" s="2240" t="s">
        <v>475</v>
      </c>
      <c r="KD772" s="2240" t="s">
        <v>2375</v>
      </c>
      <c r="KE772" s="2240" t="s">
        <v>2376</v>
      </c>
      <c r="KF772" s="2240" t="s">
        <v>2377</v>
      </c>
      <c r="KG772" s="2240" t="s">
        <v>2378</v>
      </c>
      <c r="KH772" s="2240" t="s">
        <v>475</v>
      </c>
      <c r="KI772" s="2240" t="s">
        <v>2375</v>
      </c>
      <c r="KJ772" s="2240" t="s">
        <v>2376</v>
      </c>
      <c r="KK772" s="2240" t="s">
        <v>2377</v>
      </c>
      <c r="KL772" s="2240" t="s">
        <v>2378</v>
      </c>
      <c r="KM772" s="2240" t="s">
        <v>475</v>
      </c>
      <c r="KN772" s="2240" t="s">
        <v>2375</v>
      </c>
      <c r="KO772" s="2240" t="s">
        <v>2376</v>
      </c>
      <c r="KP772" s="2240" t="s">
        <v>2377</v>
      </c>
      <c r="KQ772" s="2240" t="s">
        <v>2378</v>
      </c>
      <c r="KR772" s="2240" t="s">
        <v>475</v>
      </c>
      <c r="KS772" s="2240" t="s">
        <v>2375</v>
      </c>
      <c r="KT772" s="2240" t="s">
        <v>2376</v>
      </c>
      <c r="KU772" s="2240" t="s">
        <v>2377</v>
      </c>
      <c r="KV772" s="2240" t="s">
        <v>2378</v>
      </c>
      <c r="KW772" s="2240" t="s">
        <v>475</v>
      </c>
      <c r="KX772" s="2240" t="s">
        <v>2375</v>
      </c>
      <c r="KY772" s="2240" t="s">
        <v>2376</v>
      </c>
      <c r="KZ772" s="2240" t="s">
        <v>2377</v>
      </c>
      <c r="LA772" s="2240" t="s">
        <v>2378</v>
      </c>
      <c r="LB772" s="2240" t="s">
        <v>475</v>
      </c>
      <c r="LC772" s="2240" t="s">
        <v>2375</v>
      </c>
      <c r="LD772" s="2240" t="s">
        <v>2376</v>
      </c>
      <c r="LE772" s="2240" t="s">
        <v>2377</v>
      </c>
      <c r="LF772" s="2240" t="s">
        <v>2378</v>
      </c>
      <c r="LG772" s="2240" t="s">
        <v>475</v>
      </c>
      <c r="LH772" s="2240" t="s">
        <v>2375</v>
      </c>
      <c r="LI772" s="2240" t="s">
        <v>2376</v>
      </c>
      <c r="LJ772" s="2240" t="s">
        <v>2377</v>
      </c>
      <c r="LK772" s="2240" t="s">
        <v>2378</v>
      </c>
      <c r="LL772" s="2240" t="s">
        <v>475</v>
      </c>
      <c r="LM772" s="2240" t="s">
        <v>2375</v>
      </c>
      <c r="LN772" s="2240" t="s">
        <v>2376</v>
      </c>
      <c r="LO772" s="2240" t="s">
        <v>2377</v>
      </c>
      <c r="LP772" s="2240" t="s">
        <v>2378</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3306</v>
      </c>
      <c r="MQ772" s="1995" t="s">
        <v>3307</v>
      </c>
      <c r="MR772" s="1995" t="s">
        <v>3308</v>
      </c>
      <c r="MS772" s="1995" t="s">
        <v>3309</v>
      </c>
      <c r="MT772" s="1995" t="s">
        <v>3310</v>
      </c>
    </row>
    <row r="773" spans="1:368" s="1815" customFormat="1" ht="3" customHeight="1">
      <c r="Q773" s="1918" t="s">
        <v>6821</v>
      </c>
      <c r="R773" s="2240"/>
      <c r="X773" s="1918" t="s">
        <v>4123</v>
      </c>
      <c r="Y773" s="1918" t="s">
        <v>4124</v>
      </c>
      <c r="Z773" s="1918" t="s">
        <v>4125</v>
      </c>
      <c r="AA773" s="1918" t="s">
        <v>4126</v>
      </c>
      <c r="AB773" s="1918" t="s">
        <v>4127</v>
      </c>
      <c r="AC773" s="1918" t="s">
        <v>4128</v>
      </c>
      <c r="AD773" s="1918" t="s">
        <v>4129</v>
      </c>
      <c r="AE773" s="1918" t="s">
        <v>4130</v>
      </c>
      <c r="AF773" s="1918" t="s">
        <v>4131</v>
      </c>
      <c r="AG773" s="1918" t="s">
        <v>4132</v>
      </c>
      <c r="AH773" s="1918" t="s">
        <v>897</v>
      </c>
      <c r="AI773" s="1918" t="s">
        <v>737</v>
      </c>
      <c r="AJ773" s="1918" t="s">
        <v>738</v>
      </c>
      <c r="AK773" s="1918" t="s">
        <v>739</v>
      </c>
      <c r="AL773" s="1918" t="s">
        <v>740</v>
      </c>
      <c r="AM773" s="1918" t="s">
        <v>898</v>
      </c>
      <c r="AN773" s="1918" t="s">
        <v>2249</v>
      </c>
      <c r="AO773" s="1918" t="s">
        <v>2250</v>
      </c>
      <c r="AP773" s="1918" t="s">
        <v>2251</v>
      </c>
      <c r="AQ773" s="1918" t="s">
        <v>2252</v>
      </c>
      <c r="AR773" s="1918" t="s">
        <v>4134</v>
      </c>
      <c r="AS773" s="1918" t="s">
        <v>4135</v>
      </c>
      <c r="AT773" s="1918" t="s">
        <v>4136</v>
      </c>
      <c r="AU773" s="1918" t="s">
        <v>4137</v>
      </c>
      <c r="AV773" s="1918" t="s">
        <v>4133</v>
      </c>
      <c r="AW773" s="1918" t="s">
        <v>899</v>
      </c>
      <c r="AX773" s="1918" t="s">
        <v>2253</v>
      </c>
      <c r="AY773" s="1918" t="s">
        <v>2254</v>
      </c>
      <c r="AZ773" s="1918" t="s">
        <v>2255</v>
      </c>
      <c r="BA773" s="1918" t="s">
        <v>2256</v>
      </c>
      <c r="BB773" s="1918" t="s">
        <v>4138</v>
      </c>
      <c r="BC773" s="1918" t="s">
        <v>4139</v>
      </c>
      <c r="BD773" s="1918" t="s">
        <v>4140</v>
      </c>
      <c r="BE773" s="1918" t="s">
        <v>4141</v>
      </c>
      <c r="BF773" s="1918" t="s">
        <v>4142</v>
      </c>
      <c r="BG773" s="1918" t="s">
        <v>126</v>
      </c>
      <c r="BH773" s="1918" t="s">
        <v>2257</v>
      </c>
      <c r="BI773" s="1918" t="s">
        <v>2258</v>
      </c>
      <c r="BJ773" s="1918" t="s">
        <v>2259</v>
      </c>
      <c r="BK773" s="1918" t="s">
        <v>1125</v>
      </c>
      <c r="BL773" s="1918" t="s">
        <v>4143</v>
      </c>
      <c r="BM773" s="1918" t="s">
        <v>4144</v>
      </c>
      <c r="BN773" s="1918" t="s">
        <v>4145</v>
      </c>
      <c r="BO773" s="1918" t="s">
        <v>4146</v>
      </c>
      <c r="BP773" s="1918" t="s">
        <v>4147</v>
      </c>
      <c r="BQ773" s="1918" t="s">
        <v>539</v>
      </c>
      <c r="BR773" s="1918" t="s">
        <v>540</v>
      </c>
      <c r="BS773" s="1918" t="s">
        <v>559</v>
      </c>
      <c r="BT773" s="1918" t="s">
        <v>560</v>
      </c>
      <c r="BU773" s="1918" t="s">
        <v>561</v>
      </c>
      <c r="BV773" s="1918" t="s">
        <v>4148</v>
      </c>
      <c r="BW773" s="1918" t="s">
        <v>4149</v>
      </c>
      <c r="BX773" s="1918" t="s">
        <v>4150</v>
      </c>
      <c r="BY773" s="1918" t="s">
        <v>4151</v>
      </c>
      <c r="BZ773" s="1918" t="s">
        <v>4152</v>
      </c>
      <c r="CA773" s="1918" t="s">
        <v>562</v>
      </c>
      <c r="CB773" s="1918" t="s">
        <v>563</v>
      </c>
      <c r="CC773" s="1918" t="s">
        <v>564</v>
      </c>
      <c r="CD773" s="1918" t="s">
        <v>565</v>
      </c>
      <c r="CE773" s="1918" t="s">
        <v>566</v>
      </c>
      <c r="CF773" s="1918" t="s">
        <v>567</v>
      </c>
      <c r="CG773" s="1918" t="s">
        <v>568</v>
      </c>
      <c r="CH773" s="1918" t="s">
        <v>908</v>
      </c>
      <c r="CI773" s="1918" t="s">
        <v>909</v>
      </c>
      <c r="CJ773" s="1918" t="s">
        <v>910</v>
      </c>
      <c r="CK773" s="1918" t="s">
        <v>4158</v>
      </c>
      <c r="CL773" s="1918" t="s">
        <v>4159</v>
      </c>
      <c r="CM773" s="1918" t="s">
        <v>4160</v>
      </c>
      <c r="CN773" s="1918" t="s">
        <v>4161</v>
      </c>
      <c r="CO773" s="1918" t="s">
        <v>4162</v>
      </c>
      <c r="CP773" s="1918" t="s">
        <v>4153</v>
      </c>
      <c r="CQ773" s="1918" t="s">
        <v>4154</v>
      </c>
      <c r="CR773" s="1918" t="s">
        <v>4155</v>
      </c>
      <c r="CS773" s="1918" t="s">
        <v>4156</v>
      </c>
      <c r="CT773" s="1918" t="s">
        <v>4157</v>
      </c>
      <c r="CU773" s="1918" t="s">
        <v>4163</v>
      </c>
      <c r="CV773" s="1918" t="s">
        <v>4164</v>
      </c>
      <c r="CW773" s="1918" t="s">
        <v>4165</v>
      </c>
      <c r="CX773" s="1918" t="s">
        <v>4166</v>
      </c>
      <c r="CY773" s="1918" t="s">
        <v>4167</v>
      </c>
      <c r="CZ773" s="1918" t="s">
        <v>484</v>
      </c>
      <c r="DA773" s="1918" t="s">
        <v>485</v>
      </c>
      <c r="DB773" s="1918" t="s">
        <v>486</v>
      </c>
      <c r="DC773" s="1918" t="s">
        <v>487</v>
      </c>
      <c r="DD773" s="1918" t="s">
        <v>488</v>
      </c>
      <c r="DE773" s="1918" t="s">
        <v>4168</v>
      </c>
      <c r="DF773" s="1918" t="s">
        <v>4169</v>
      </c>
      <c r="DG773" s="1918" t="s">
        <v>4170</v>
      </c>
      <c r="DH773" s="1918" t="s">
        <v>4171</v>
      </c>
      <c r="DI773" s="1918" t="s">
        <v>4172</v>
      </c>
      <c r="DJ773" s="1918" t="s">
        <v>858</v>
      </c>
      <c r="DK773" s="1918" t="s">
        <v>859</v>
      </c>
      <c r="DL773" s="1918" t="s">
        <v>860</v>
      </c>
      <c r="DM773" s="1918" t="s">
        <v>861</v>
      </c>
      <c r="DN773" s="1918" t="s">
        <v>862</v>
      </c>
      <c r="DO773" s="1918" t="s">
        <v>863</v>
      </c>
      <c r="DP773" s="1918" t="s">
        <v>864</v>
      </c>
      <c r="DQ773" s="1918" t="s">
        <v>865</v>
      </c>
      <c r="DR773" s="1918" t="s">
        <v>866</v>
      </c>
      <c r="DS773" s="1918" t="s">
        <v>867</v>
      </c>
      <c r="DT773" s="1918" t="s">
        <v>4173</v>
      </c>
      <c r="DU773" s="1918" t="s">
        <v>4174</v>
      </c>
      <c r="DV773" s="1918" t="s">
        <v>4175</v>
      </c>
      <c r="DW773" s="1918" t="s">
        <v>4176</v>
      </c>
      <c r="DX773" s="1918" t="s">
        <v>4177</v>
      </c>
      <c r="DY773" s="1918" t="s">
        <v>4178</v>
      </c>
      <c r="DZ773" s="1918" t="s">
        <v>4179</v>
      </c>
      <c r="EA773" s="1918" t="s">
        <v>4180</v>
      </c>
      <c r="EB773" s="1918" t="s">
        <v>4181</v>
      </c>
      <c r="EC773" s="1918" t="s">
        <v>4182</v>
      </c>
      <c r="ED773" s="1918" t="s">
        <v>2365</v>
      </c>
      <c r="EE773" s="1918" t="s">
        <v>2366</v>
      </c>
      <c r="EF773" s="1918" t="s">
        <v>2367</v>
      </c>
      <c r="EG773" s="1918" t="s">
        <v>2368</v>
      </c>
      <c r="EH773" s="1918" t="s">
        <v>2369</v>
      </c>
      <c r="EI773" s="1918" t="s">
        <v>4183</v>
      </c>
      <c r="EJ773" s="1918" t="s">
        <v>4184</v>
      </c>
      <c r="EK773" s="1918" t="s">
        <v>4185</v>
      </c>
      <c r="EL773" s="1918" t="s">
        <v>4186</v>
      </c>
      <c r="EM773" s="1918" t="s">
        <v>4187</v>
      </c>
      <c r="EN773" s="1918" t="s">
        <v>4188</v>
      </c>
      <c r="EO773" s="1918" t="s">
        <v>4189</v>
      </c>
      <c r="EP773" s="1918" t="s">
        <v>4190</v>
      </c>
      <c r="EQ773" s="1918" t="s">
        <v>4191</v>
      </c>
      <c r="ER773" s="1918" t="s">
        <v>4192</v>
      </c>
      <c r="ES773" s="1995" t="s">
        <v>114</v>
      </c>
      <c r="ET773" s="1995" t="s">
        <v>1128</v>
      </c>
      <c r="EU773" s="1995" t="s">
        <v>1129</v>
      </c>
      <c r="EV773" s="1995" t="s">
        <v>1186</v>
      </c>
      <c r="EW773" s="1995" t="s">
        <v>1187</v>
      </c>
      <c r="EX773" s="1995" t="s">
        <v>129</v>
      </c>
      <c r="EY773" s="1995" t="s">
        <v>1188</v>
      </c>
      <c r="EZ773" s="1995" t="s">
        <v>1189</v>
      </c>
      <c r="FA773" s="1995" t="s">
        <v>1190</v>
      </c>
      <c r="FB773" s="1995" t="s">
        <v>1191</v>
      </c>
      <c r="FC773" s="1918" t="s">
        <v>4193</v>
      </c>
      <c r="FD773" s="1918" t="s">
        <v>4194</v>
      </c>
      <c r="FE773" s="1918" t="s">
        <v>4195</v>
      </c>
      <c r="FF773" s="1918" t="s">
        <v>4196</v>
      </c>
      <c r="FG773" s="1918" t="s">
        <v>4197</v>
      </c>
      <c r="FH773" s="1995" t="s">
        <v>128</v>
      </c>
      <c r="FI773" s="1995" t="s">
        <v>889</v>
      </c>
      <c r="FJ773" s="1995" t="s">
        <v>890</v>
      </c>
      <c r="FK773" s="1995" t="s">
        <v>891</v>
      </c>
      <c r="FL773" s="1995" t="s">
        <v>892</v>
      </c>
      <c r="FM773" s="1918" t="s">
        <v>4198</v>
      </c>
      <c r="FN773" s="1918" t="s">
        <v>4199</v>
      </c>
      <c r="FO773" s="1918" t="s">
        <v>4200</v>
      </c>
      <c r="FP773" s="1918" t="s">
        <v>4201</v>
      </c>
      <c r="FQ773" s="1918" t="s">
        <v>4202</v>
      </c>
      <c r="FR773" s="1995" t="s">
        <v>127</v>
      </c>
      <c r="FS773" s="1995" t="s">
        <v>893</v>
      </c>
      <c r="FT773" s="1995" t="s">
        <v>894</v>
      </c>
      <c r="FU773" s="1995" t="s">
        <v>895</v>
      </c>
      <c r="FV773" s="1995" t="s">
        <v>896</v>
      </c>
      <c r="FW773" s="1995" t="s">
        <v>788</v>
      </c>
      <c r="FX773" s="1995" t="s">
        <v>789</v>
      </c>
      <c r="FY773" s="1995" t="s">
        <v>790</v>
      </c>
      <c r="FZ773" s="1995" t="s">
        <v>791</v>
      </c>
      <c r="GA773" s="1995" t="s">
        <v>792</v>
      </c>
      <c r="GB773" s="1995" t="s">
        <v>934</v>
      </c>
      <c r="GC773" s="1995" t="s">
        <v>935</v>
      </c>
      <c r="GD773" s="1995" t="s">
        <v>936</v>
      </c>
      <c r="GE773" s="1995" t="s">
        <v>937</v>
      </c>
      <c r="GF773" s="1995" t="s">
        <v>2364</v>
      </c>
      <c r="GG773" s="1995" t="s">
        <v>1404</v>
      </c>
      <c r="GH773" s="1995" t="s">
        <v>1405</v>
      </c>
      <c r="GI773" s="1995" t="s">
        <v>1406</v>
      </c>
      <c r="GJ773" s="1995" t="s">
        <v>1407</v>
      </c>
      <c r="GK773" s="1995" t="s">
        <v>1408</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1764</v>
      </c>
      <c r="GZ773" s="1995" t="s">
        <v>1765</v>
      </c>
      <c r="HA773" s="1995" t="s">
        <v>1766</v>
      </c>
      <c r="HB773" s="1995" t="s">
        <v>574</v>
      </c>
      <c r="HC773" s="1995" t="s">
        <v>575</v>
      </c>
      <c r="HD773" s="1995" t="s">
        <v>576</v>
      </c>
      <c r="HE773" s="1995" t="s">
        <v>577</v>
      </c>
      <c r="HF773" s="1995" t="s">
        <v>20</v>
      </c>
      <c r="HG773" s="1995" t="s">
        <v>21</v>
      </c>
      <c r="HH773" s="1995" t="s">
        <v>22</v>
      </c>
      <c r="HI773" s="1995" t="s">
        <v>23</v>
      </c>
      <c r="HJ773" s="1995" t="s">
        <v>24</v>
      </c>
      <c r="HK773" s="1995" t="s">
        <v>483</v>
      </c>
      <c r="HL773" s="1995" t="s">
        <v>424</v>
      </c>
      <c r="HM773" s="1995" t="s">
        <v>425</v>
      </c>
      <c r="HN773" s="1995" t="s">
        <v>426</v>
      </c>
      <c r="HO773" s="1995" t="s">
        <v>427</v>
      </c>
      <c r="HP773" s="1995" t="s">
        <v>2150</v>
      </c>
      <c r="HQ773" s="1995" t="s">
        <v>2151</v>
      </c>
      <c r="HR773" s="1995" t="s">
        <v>2152</v>
      </c>
      <c r="HS773" s="1995" t="s">
        <v>1447</v>
      </c>
      <c r="HT773" s="1995" t="s">
        <v>1448</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1591</v>
      </c>
      <c r="LR773" s="1995" t="s">
        <v>2455</v>
      </c>
      <c r="LS773" s="1995" t="s">
        <v>2456</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1798</v>
      </c>
      <c r="G774" s="1896" t="str">
        <f>'Part VI-Revenues &amp; Expenses'!G5</f>
        <v>&lt;Select&gt;</v>
      </c>
      <c r="I774" s="1918" t="s">
        <v>4791</v>
      </c>
      <c r="K774" s="1732" t="s">
        <v>3430</v>
      </c>
      <c r="L774" s="2102" t="str">
        <f>'Part I-Project Information'!$B$6</f>
        <v>May 26, 2020 Version</v>
      </c>
      <c r="M774" s="2103"/>
      <c r="N774" s="1922" t="s">
        <v>558</v>
      </c>
      <c r="P774" s="1896" t="s">
        <v>6822</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3301</v>
      </c>
      <c r="MV774" s="1815" t="s">
        <v>3302</v>
      </c>
      <c r="MW774" s="1815" t="s">
        <v>3303</v>
      </c>
      <c r="MX774" s="1815" t="s">
        <v>3304</v>
      </c>
      <c r="MY774" s="1815" t="s">
        <v>3305</v>
      </c>
      <c r="MZ774" s="1995" t="s">
        <v>3315</v>
      </c>
      <c r="NA774" s="1995" t="s">
        <v>3317</v>
      </c>
      <c r="NB774" s="1995" t="s">
        <v>3318</v>
      </c>
      <c r="NC774" s="1995" t="s">
        <v>3319</v>
      </c>
      <c r="ND774" s="1995" t="s">
        <v>3320</v>
      </c>
    </row>
    <row r="775" spans="1:368" s="1815" customFormat="1" ht="13.35" customHeight="1">
      <c r="A775" s="2101"/>
      <c r="B775" s="1913" t="s">
        <v>1758</v>
      </c>
      <c r="F775" s="1896" t="str">
        <f>'Part VI-Revenues &amp; Expenses'!F6</f>
        <v>&lt;Select&gt;</v>
      </c>
      <c r="G775" s="1732" t="s">
        <v>3487</v>
      </c>
      <c r="H775" s="1918" t="s">
        <v>3660</v>
      </c>
      <c r="I775" s="1918"/>
      <c r="J775" s="1732" t="s">
        <v>777</v>
      </c>
      <c r="K775" s="1732" t="s">
        <v>3490</v>
      </c>
      <c r="L775" s="2103"/>
      <c r="M775" s="2103"/>
      <c r="N775" s="2104" t="str">
        <f>'Part I-Project Information'!$O$40</f>
        <v>Long Co.</v>
      </c>
      <c r="O775" s="2104"/>
      <c r="P775" s="1916">
        <f>VLOOKUP('Part I-Project Information'!$O$40,'DCA Underwriting Assumptions'!$C$173:$D$283,2)</f>
        <v>58200</v>
      </c>
      <c r="Q775" s="1918"/>
      <c r="R775" s="1815" t="s">
        <v>2617</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4205</v>
      </c>
      <c r="G776" s="1732" t="s">
        <v>3488</v>
      </c>
      <c r="H776" s="1918"/>
      <c r="I776" s="1918"/>
      <c r="J776" s="1732" t="s">
        <v>778</v>
      </c>
      <c r="K776" s="1732" t="s">
        <v>3491</v>
      </c>
      <c r="N776" s="2104"/>
      <c r="O776" s="2104"/>
      <c r="Q776" s="1918"/>
      <c r="S776" s="1896" t="s">
        <v>2614</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550</v>
      </c>
      <c r="IZ776" s="1874" t="s">
        <v>2375</v>
      </c>
      <c r="JA776" s="1874" t="s">
        <v>2376</v>
      </c>
      <c r="JB776" s="1874" t="s">
        <v>2377</v>
      </c>
      <c r="JC776" s="1874" t="s">
        <v>2378</v>
      </c>
      <c r="JD776" s="1874" t="s">
        <v>550</v>
      </c>
      <c r="JE776" s="1874" t="s">
        <v>2375</v>
      </c>
      <c r="JF776" s="1874" t="s">
        <v>2376</v>
      </c>
      <c r="JG776" s="1874" t="s">
        <v>2377</v>
      </c>
      <c r="JH776" s="1874" t="s">
        <v>2378</v>
      </c>
      <c r="JI776" s="1874" t="s">
        <v>550</v>
      </c>
      <c r="JJ776" s="1874" t="s">
        <v>2375</v>
      </c>
      <c r="JK776" s="1874" t="s">
        <v>2376</v>
      </c>
      <c r="JL776" s="1874" t="s">
        <v>2377</v>
      </c>
      <c r="JM776" s="1874" t="s">
        <v>2378</v>
      </c>
      <c r="JN776" s="1874" t="s">
        <v>550</v>
      </c>
      <c r="JO776" s="1874" t="s">
        <v>2375</v>
      </c>
      <c r="JP776" s="1874" t="s">
        <v>2376</v>
      </c>
      <c r="JQ776" s="1874" t="s">
        <v>2377</v>
      </c>
      <c r="JR776" s="1874" t="s">
        <v>2378</v>
      </c>
      <c r="JS776" s="1874" t="s">
        <v>550</v>
      </c>
      <c r="JT776" s="1874" t="s">
        <v>2375</v>
      </c>
      <c r="JU776" s="1874" t="s">
        <v>2376</v>
      </c>
      <c r="JV776" s="1874" t="s">
        <v>2377</v>
      </c>
      <c r="JW776" s="1874" t="s">
        <v>2378</v>
      </c>
      <c r="JX776" s="1874" t="s">
        <v>550</v>
      </c>
      <c r="JY776" s="1874" t="s">
        <v>2375</v>
      </c>
      <c r="JZ776" s="1874" t="s">
        <v>2376</v>
      </c>
      <c r="KA776" s="1874" t="s">
        <v>2377</v>
      </c>
      <c r="KB776" s="1874" t="s">
        <v>2378</v>
      </c>
      <c r="KC776" s="1874" t="s">
        <v>550</v>
      </c>
      <c r="KD776" s="1874" t="s">
        <v>2375</v>
      </c>
      <c r="KE776" s="1874" t="s">
        <v>2376</v>
      </c>
      <c r="KF776" s="1874" t="s">
        <v>2377</v>
      </c>
      <c r="KG776" s="1874" t="s">
        <v>2378</v>
      </c>
      <c r="KH776" s="1874" t="s">
        <v>550</v>
      </c>
      <c r="KI776" s="1874" t="s">
        <v>2375</v>
      </c>
      <c r="KJ776" s="1874" t="s">
        <v>2376</v>
      </c>
      <c r="KK776" s="1874" t="s">
        <v>2377</v>
      </c>
      <c r="KL776" s="1874" t="s">
        <v>2378</v>
      </c>
      <c r="KM776" s="1874" t="s">
        <v>550</v>
      </c>
      <c r="KN776" s="1874" t="s">
        <v>2375</v>
      </c>
      <c r="KO776" s="1874" t="s">
        <v>2376</v>
      </c>
      <c r="KP776" s="1874" t="s">
        <v>2377</v>
      </c>
      <c r="KQ776" s="1874" t="s">
        <v>2378</v>
      </c>
      <c r="KR776" s="1874" t="s">
        <v>550</v>
      </c>
      <c r="KS776" s="1874" t="s">
        <v>2375</v>
      </c>
      <c r="KT776" s="1874" t="s">
        <v>2376</v>
      </c>
      <c r="KU776" s="1874" t="s">
        <v>2377</v>
      </c>
      <c r="KV776" s="1874" t="s">
        <v>2378</v>
      </c>
      <c r="KW776" s="1874" t="s">
        <v>550</v>
      </c>
      <c r="KX776" s="1874" t="s">
        <v>2375</v>
      </c>
      <c r="KY776" s="1874" t="s">
        <v>2376</v>
      </c>
      <c r="KZ776" s="1874" t="s">
        <v>2377</v>
      </c>
      <c r="LA776" s="1874" t="s">
        <v>2378</v>
      </c>
      <c r="LB776" s="1874" t="s">
        <v>550</v>
      </c>
      <c r="LC776" s="1874" t="s">
        <v>2375</v>
      </c>
      <c r="LD776" s="1874" t="s">
        <v>2376</v>
      </c>
      <c r="LE776" s="1874" t="s">
        <v>2377</v>
      </c>
      <c r="LF776" s="1874" t="s">
        <v>2378</v>
      </c>
      <c r="LG776" s="1874" t="s">
        <v>550</v>
      </c>
      <c r="LH776" s="1874" t="s">
        <v>2375</v>
      </c>
      <c r="LI776" s="1874" t="s">
        <v>2376</v>
      </c>
      <c r="LJ776" s="1874" t="s">
        <v>2377</v>
      </c>
      <c r="LK776" s="1874" t="s">
        <v>2378</v>
      </c>
      <c r="LL776" s="1874" t="s">
        <v>550</v>
      </c>
      <c r="LM776" s="1874" t="s">
        <v>2375</v>
      </c>
      <c r="LN776" s="1874" t="s">
        <v>2376</v>
      </c>
      <c r="LO776" s="1874" t="s">
        <v>2377</v>
      </c>
      <c r="LP776" s="1874" t="s">
        <v>2378</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4206</v>
      </c>
      <c r="C777" s="1732" t="s">
        <v>168</v>
      </c>
      <c r="D777" s="1732" t="s">
        <v>529</v>
      </c>
      <c r="E777" s="1732" t="s">
        <v>1444</v>
      </c>
      <c r="F777" s="1732" t="s">
        <v>1444</v>
      </c>
      <c r="G777" s="1732" t="s">
        <v>1446</v>
      </c>
      <c r="H777" s="1732" t="s">
        <v>3488</v>
      </c>
      <c r="J777" s="2105" t="s">
        <v>4473</v>
      </c>
      <c r="K777" s="1732" t="s">
        <v>6969</v>
      </c>
      <c r="L777" s="1897" t="s">
        <v>142</v>
      </c>
      <c r="M777" s="1897"/>
      <c r="N777" s="1732" t="s">
        <v>2305</v>
      </c>
      <c r="O777" s="1732" t="s">
        <v>4786</v>
      </c>
      <c r="P777" s="1732" t="s">
        <v>377</v>
      </c>
      <c r="R777" s="1732" t="s">
        <v>2613</v>
      </c>
      <c r="S777" s="1732" t="s">
        <v>2615</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1432</v>
      </c>
      <c r="IA777" s="1874" t="s">
        <v>2375</v>
      </c>
      <c r="IB777" s="1874" t="s">
        <v>2376</v>
      </c>
      <c r="IC777" s="1874" t="s">
        <v>2377</v>
      </c>
      <c r="ID777" s="1874" t="s">
        <v>2378</v>
      </c>
      <c r="IE777" s="1995" t="s">
        <v>2430</v>
      </c>
      <c r="IF777" s="1995" t="s">
        <v>2430</v>
      </c>
      <c r="IG777" s="1995" t="s">
        <v>2430</v>
      </c>
      <c r="IH777" s="1995" t="s">
        <v>2430</v>
      </c>
      <c r="II777" s="1995" t="s">
        <v>2430</v>
      </c>
      <c r="IJ777" s="1995" t="s">
        <v>3257</v>
      </c>
      <c r="IK777" s="1995" t="s">
        <v>3257</v>
      </c>
      <c r="IL777" s="1995" t="s">
        <v>3257</v>
      </c>
      <c r="IM777" s="1995" t="s">
        <v>3257</v>
      </c>
      <c r="IN777" s="1995" t="s">
        <v>3257</v>
      </c>
      <c r="IO777" s="1874" t="s">
        <v>550</v>
      </c>
      <c r="IP777" s="1874" t="s">
        <v>2375</v>
      </c>
      <c r="IQ777" s="1874" t="s">
        <v>2376</v>
      </c>
      <c r="IR777" s="1874" t="s">
        <v>2377</v>
      </c>
      <c r="IS777" s="1874" t="s">
        <v>2378</v>
      </c>
      <c r="IT777" s="1874" t="s">
        <v>550</v>
      </c>
      <c r="IU777" s="1874" t="s">
        <v>2375</v>
      </c>
      <c r="IV777" s="1874" t="s">
        <v>2376</v>
      </c>
      <c r="IW777" s="1874" t="s">
        <v>2377</v>
      </c>
      <c r="IX777" s="1874" t="s">
        <v>2378</v>
      </c>
      <c r="IY777" s="1995" t="s">
        <v>2432</v>
      </c>
      <c r="IZ777" s="1995" t="s">
        <v>2432</v>
      </c>
      <c r="JA777" s="1995" t="s">
        <v>2432</v>
      </c>
      <c r="JB777" s="1995" t="s">
        <v>2432</v>
      </c>
      <c r="JC777" s="1995" t="s">
        <v>2432</v>
      </c>
      <c r="JD777" s="1995" t="s">
        <v>3253</v>
      </c>
      <c r="JE777" s="1995" t="s">
        <v>3253</v>
      </c>
      <c r="JF777" s="1995" t="s">
        <v>3253</v>
      </c>
      <c r="JG777" s="1995" t="s">
        <v>3253</v>
      </c>
      <c r="JH777" s="1995" t="s">
        <v>3253</v>
      </c>
      <c r="JI777" s="1995" t="s">
        <v>352</v>
      </c>
      <c r="JJ777" s="1995" t="s">
        <v>352</v>
      </c>
      <c r="JK777" s="1995" t="s">
        <v>352</v>
      </c>
      <c r="JL777" s="1995" t="s">
        <v>352</v>
      </c>
      <c r="JM777" s="1995" t="s">
        <v>352</v>
      </c>
      <c r="JN777" s="1995" t="s">
        <v>3252</v>
      </c>
      <c r="JO777" s="1995" t="s">
        <v>3252</v>
      </c>
      <c r="JP777" s="1995" t="s">
        <v>3252</v>
      </c>
      <c r="JQ777" s="1995" t="s">
        <v>3252</v>
      </c>
      <c r="JR777" s="1995" t="s">
        <v>3252</v>
      </c>
      <c r="JS777" s="1995" t="s">
        <v>353</v>
      </c>
      <c r="JT777" s="1995" t="s">
        <v>353</v>
      </c>
      <c r="JU777" s="1995" t="s">
        <v>353</v>
      </c>
      <c r="JV777" s="1995" t="s">
        <v>353</v>
      </c>
      <c r="JW777" s="1995" t="s">
        <v>353</v>
      </c>
      <c r="JX777" s="1995" t="s">
        <v>3251</v>
      </c>
      <c r="JY777" s="1995" t="s">
        <v>3251</v>
      </c>
      <c r="JZ777" s="1995" t="s">
        <v>3251</v>
      </c>
      <c r="KA777" s="1995" t="s">
        <v>3251</v>
      </c>
      <c r="KB777" s="1995" t="s">
        <v>3251</v>
      </c>
      <c r="KC777" s="1995" t="s">
        <v>354</v>
      </c>
      <c r="KD777" s="1995" t="s">
        <v>354</v>
      </c>
      <c r="KE777" s="1995" t="s">
        <v>354</v>
      </c>
      <c r="KF777" s="1995" t="s">
        <v>354</v>
      </c>
      <c r="KG777" s="1995" t="s">
        <v>354</v>
      </c>
      <c r="KH777" s="1995" t="s">
        <v>3254</v>
      </c>
      <c r="KI777" s="1995" t="s">
        <v>3254</v>
      </c>
      <c r="KJ777" s="1995" t="s">
        <v>3254</v>
      </c>
      <c r="KK777" s="1995" t="s">
        <v>3254</v>
      </c>
      <c r="KL777" s="1995" t="s">
        <v>3254</v>
      </c>
      <c r="KM777" s="1995" t="s">
        <v>355</v>
      </c>
      <c r="KN777" s="1995" t="s">
        <v>355</v>
      </c>
      <c r="KO777" s="1995" t="s">
        <v>355</v>
      </c>
      <c r="KP777" s="1995" t="s">
        <v>355</v>
      </c>
      <c r="KQ777" s="1995" t="s">
        <v>355</v>
      </c>
      <c r="KR777" s="1995" t="s">
        <v>3255</v>
      </c>
      <c r="KS777" s="1995" t="s">
        <v>3255</v>
      </c>
      <c r="KT777" s="1995" t="s">
        <v>3255</v>
      </c>
      <c r="KU777" s="1995" t="s">
        <v>3255</v>
      </c>
      <c r="KV777" s="1995" t="s">
        <v>3255</v>
      </c>
      <c r="KW777" s="1995" t="s">
        <v>1431</v>
      </c>
      <c r="KX777" s="1995" t="s">
        <v>1431</v>
      </c>
      <c r="KY777" s="1995" t="s">
        <v>1431</v>
      </c>
      <c r="KZ777" s="1995" t="s">
        <v>1431</v>
      </c>
      <c r="LA777" s="1995" t="s">
        <v>1431</v>
      </c>
      <c r="LB777" s="1995" t="s">
        <v>3256</v>
      </c>
      <c r="LC777" s="1995" t="s">
        <v>3256</v>
      </c>
      <c r="LD777" s="1995" t="s">
        <v>3256</v>
      </c>
      <c r="LE777" s="1995" t="s">
        <v>3256</v>
      </c>
      <c r="LF777" s="1995" t="s">
        <v>3256</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1445</v>
      </c>
      <c r="F778" s="1732" t="s">
        <v>1252</v>
      </c>
      <c r="G778" s="1732" t="s">
        <v>3489</v>
      </c>
      <c r="H778" s="1732" t="s">
        <v>1446</v>
      </c>
      <c r="J778" s="2105"/>
      <c r="K778" s="1898" t="s">
        <v>344</v>
      </c>
      <c r="L778" s="1732" t="s">
        <v>1497</v>
      </c>
      <c r="M778" s="1732" t="s">
        <v>523</v>
      </c>
      <c r="N778" s="1732" t="s">
        <v>1444</v>
      </c>
      <c r="O778" s="1732" t="s">
        <v>3207</v>
      </c>
      <c r="P778" s="1732" t="s">
        <v>378</v>
      </c>
      <c r="R778" s="1732" t="s">
        <v>1446</v>
      </c>
      <c r="S778" s="1732" t="s">
        <v>2616</v>
      </c>
      <c r="T778" s="1995" t="s">
        <v>1797</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2429</v>
      </c>
      <c r="IB778" s="1874" t="s">
        <v>2429</v>
      </c>
      <c r="IC778" s="1874" t="s">
        <v>2429</v>
      </c>
      <c r="ID778" s="1874" t="s">
        <v>2429</v>
      </c>
      <c r="IE778" s="1995"/>
      <c r="IF778" s="1995"/>
      <c r="IG778" s="1995"/>
      <c r="IH778" s="1995"/>
      <c r="II778" s="1995"/>
      <c r="IJ778" s="1995"/>
      <c r="IK778" s="1995"/>
      <c r="IL778" s="1995"/>
      <c r="IM778" s="1995"/>
      <c r="IN778" s="1995"/>
      <c r="IO778" s="1874" t="s">
        <v>2431</v>
      </c>
      <c r="IP778" s="1874" t="s">
        <v>2431</v>
      </c>
      <c r="IQ778" s="1874" t="s">
        <v>2431</v>
      </c>
      <c r="IR778" s="1874" t="s">
        <v>2431</v>
      </c>
      <c r="IS778" s="1874" t="s">
        <v>2431</v>
      </c>
      <c r="IT778" s="1874" t="s">
        <v>3258</v>
      </c>
      <c r="IU778" s="1874" t="s">
        <v>3258</v>
      </c>
      <c r="IV778" s="1874" t="s">
        <v>3258</v>
      </c>
      <c r="IW778" s="1874" t="s">
        <v>3258</v>
      </c>
      <c r="IX778" s="1874" t="s">
        <v>3258</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12</v>
      </c>
      <c r="F786" s="2215">
        <f>'Part VI-Revenues &amp; Expenses'!F17</f>
        <v>650</v>
      </c>
      <c r="G786" s="2215">
        <f>'Part VI-Revenues &amp; Expenses'!G17</f>
        <v>491</v>
      </c>
      <c r="H786" s="2215">
        <f>'Part VI-Revenues &amp; Expenses'!H17</f>
        <v>469</v>
      </c>
      <c r="I786" s="2215">
        <f>'Part VI-Revenues &amp; Expenses'!I17</f>
        <v>0</v>
      </c>
      <c r="J786" s="2215">
        <f>'Part VI-Revenues &amp; Expenses'!J17</f>
        <v>67</v>
      </c>
      <c r="K786" s="2216">
        <f>'Part VI-Revenues &amp; Expenses'!K17</f>
        <v>0</v>
      </c>
      <c r="L786" s="1899">
        <f t="shared" si="0"/>
        <v>402</v>
      </c>
      <c r="M786" s="1899">
        <f t="shared" si="1"/>
        <v>4824</v>
      </c>
      <c r="N786" s="2074" t="str">
        <f>'Part VI-Revenues &amp; Expenses'!N17</f>
        <v>No</v>
      </c>
      <c r="O786" s="2074" t="str">
        <f>'Part VI-Revenues &amp; Expenses'!O17</f>
        <v>Townhome</v>
      </c>
      <c r="P786" s="2074" t="str">
        <f>'Part VI-Revenues &amp; Expenses'!P17</f>
        <v>Acquisition/Rehab</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12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7800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t="str">
        <f t="shared" si="168"/>
        <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f t="shared" si="183"/>
        <v>12</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12</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12</v>
      </c>
      <c r="MR786" s="1874">
        <f t="shared" si="340"/>
        <v>0</v>
      </c>
      <c r="MS786" s="1874">
        <f t="shared" si="341"/>
        <v>0</v>
      </c>
      <c r="MT786" s="1874">
        <f t="shared" si="342"/>
        <v>0</v>
      </c>
      <c r="MU786" s="1874">
        <f t="shared" si="343"/>
        <v>0</v>
      </c>
      <c r="MV786" s="1874">
        <f t="shared" si="344"/>
        <v>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1.5</v>
      </c>
      <c r="E787" s="2215">
        <f>'Part VI-Revenues &amp; Expenses'!E18</f>
        <v>20</v>
      </c>
      <c r="F787" s="2215">
        <f>'Part VI-Revenues &amp; Expenses'!F18</f>
        <v>925</v>
      </c>
      <c r="G787" s="2215">
        <f>'Part VI-Revenues &amp; Expenses'!G18</f>
        <v>589</v>
      </c>
      <c r="H787" s="2215">
        <f>'Part VI-Revenues &amp; Expenses'!H18</f>
        <v>554</v>
      </c>
      <c r="I787" s="2215">
        <f>'Part VI-Revenues &amp; Expenses'!I18</f>
        <v>0</v>
      </c>
      <c r="J787" s="2215">
        <f>'Part VI-Revenues &amp; Expenses'!J18</f>
        <v>85</v>
      </c>
      <c r="K787" s="2216">
        <f>'Part VI-Revenues &amp; Expenses'!K18</f>
        <v>0</v>
      </c>
      <c r="L787" s="1899">
        <f t="shared" si="0"/>
        <v>469</v>
      </c>
      <c r="M787" s="1899">
        <f t="shared" si="1"/>
        <v>9380</v>
      </c>
      <c r="N787" s="2074" t="str">
        <f>'Part VI-Revenues &amp; Expenses'!N18</f>
        <v>No</v>
      </c>
      <c r="O787" s="2074" t="str">
        <f>'Part VI-Revenues &amp; Expenses'!O18</f>
        <v>Townhome</v>
      </c>
      <c r="P787" s="2074" t="str">
        <f>'Part VI-Revenues &amp; Expenses'!P18</f>
        <v>Acquisition/Rehab</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20</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18500</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f t="shared" si="184"/>
        <v>20</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f t="shared" si="249"/>
        <v>20</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20</v>
      </c>
      <c r="MS787" s="1874">
        <f t="shared" si="341"/>
        <v>0</v>
      </c>
      <c r="MT787" s="1874">
        <f t="shared" si="342"/>
        <v>0</v>
      </c>
      <c r="MU787" s="1874">
        <f t="shared" si="343"/>
        <v>0</v>
      </c>
      <c r="MV787" s="1874">
        <f t="shared" si="344"/>
        <v>0</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3</v>
      </c>
      <c r="D788" s="2214">
        <f>'Part VI-Revenues &amp; Expenses'!D19</f>
        <v>2</v>
      </c>
      <c r="E788" s="2215">
        <f>'Part VI-Revenues &amp; Expenses'!E19</f>
        <v>4</v>
      </c>
      <c r="F788" s="2215">
        <f>'Part VI-Revenues &amp; Expenses'!F19</f>
        <v>1100</v>
      </c>
      <c r="G788" s="2215">
        <f>'Part VI-Revenues &amp; Expenses'!G19</f>
        <v>756</v>
      </c>
      <c r="H788" s="2215">
        <f>'Part VI-Revenues &amp; Expenses'!H19</f>
        <v>685</v>
      </c>
      <c r="I788" s="2215">
        <f>'Part VI-Revenues &amp; Expenses'!I19</f>
        <v>0</v>
      </c>
      <c r="J788" s="2215">
        <f>'Part VI-Revenues &amp; Expenses'!J19</f>
        <v>105</v>
      </c>
      <c r="K788" s="2216">
        <f>'Part VI-Revenues &amp; Expenses'!K19</f>
        <v>0</v>
      </c>
      <c r="L788" s="1899">
        <f t="shared" si="0"/>
        <v>580</v>
      </c>
      <c r="M788" s="1899">
        <f t="shared" si="1"/>
        <v>2320</v>
      </c>
      <c r="N788" s="2074" t="str">
        <f>'Part VI-Revenues &amp; Expenses'!N19</f>
        <v>No</v>
      </c>
      <c r="O788" s="2074" t="str">
        <f>'Part VI-Revenues &amp; Expenses'!O19</f>
        <v>Townhome</v>
      </c>
      <c r="P788" s="2074" t="str">
        <f>'Part VI-Revenues &amp; Expenses'!P19</f>
        <v>Acquisition/Rehab</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f t="shared" si="20"/>
        <v>4</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f t="shared" si="135"/>
        <v>4400</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f t="shared" si="185"/>
        <v>4</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f t="shared" si="250"/>
        <v>4</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4</v>
      </c>
      <c r="MT788" s="1874">
        <f t="shared" si="342"/>
        <v>0</v>
      </c>
      <c r="MU788" s="1874">
        <f t="shared" si="343"/>
        <v>0</v>
      </c>
      <c r="MV788" s="1874">
        <f t="shared" si="344"/>
        <v>0</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3</v>
      </c>
      <c r="D789" s="2214">
        <f>'Part VI-Revenues &amp; Expenses'!D20</f>
        <v>2</v>
      </c>
      <c r="E789" s="2215">
        <f>'Part VI-Revenues &amp; Expenses'!E20</f>
        <v>4</v>
      </c>
      <c r="F789" s="2215">
        <f>'Part VI-Revenues &amp; Expenses'!F20</f>
        <v>1100</v>
      </c>
      <c r="G789" s="2215">
        <f>'Part VI-Revenues &amp; Expenses'!G20</f>
        <v>756</v>
      </c>
      <c r="H789" s="2215">
        <f>'Part VI-Revenues &amp; Expenses'!H20</f>
        <v>685</v>
      </c>
      <c r="I789" s="2215">
        <f>'Part VI-Revenues &amp; Expenses'!I20</f>
        <v>0</v>
      </c>
      <c r="J789" s="2215">
        <f>'Part VI-Revenues &amp; Expenses'!J20</f>
        <v>105</v>
      </c>
      <c r="K789" s="2216">
        <f>'Part VI-Revenues &amp; Expenses'!K20</f>
        <v>0</v>
      </c>
      <c r="L789" s="1899">
        <f t="shared" si="0"/>
        <v>580</v>
      </c>
      <c r="M789" s="1899">
        <f t="shared" si="1"/>
        <v>2320</v>
      </c>
      <c r="N789" s="2074" t="str">
        <f>'Part VI-Revenues &amp; Expenses'!N20</f>
        <v>No</v>
      </c>
      <c r="O789" s="2074" t="str">
        <f>'Part VI-Revenues &amp; Expenses'!O20</f>
        <v>Townhome</v>
      </c>
      <c r="P789" s="2074" t="str">
        <f>'Part VI-Revenues &amp; Expenses'!P20</f>
        <v>Acquisition/Rehab</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t="str">
        <f t="shared" si="19"/>
        <v/>
      </c>
      <c r="AP789" s="1995">
        <f t="shared" si="20"/>
        <v>4</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t="str">
        <f t="shared" si="134"/>
        <v/>
      </c>
      <c r="FA789" s="1995">
        <f t="shared" si="135"/>
        <v>4400</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f t="shared" si="185"/>
        <v>4</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f t="shared" si="250"/>
        <v>4</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4</v>
      </c>
      <c r="MT789" s="1874">
        <f t="shared" si="342"/>
        <v>0</v>
      </c>
      <c r="MU789" s="1874">
        <f t="shared" si="343"/>
        <v>0</v>
      </c>
      <c r="MV789" s="1874">
        <f t="shared" si="344"/>
        <v>0</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4210</v>
      </c>
      <c r="C817" s="449"/>
      <c r="D817" s="1904" t="s">
        <v>995</v>
      </c>
      <c r="E817" s="1901">
        <f>SUM(E779:E816)</f>
        <v>40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35100</v>
      </c>
      <c r="H817" s="2107" t="s">
        <v>4207</v>
      </c>
      <c r="I817" s="1229" t="s">
        <v>4208</v>
      </c>
      <c r="J817" s="1903" t="str">
        <f>IF(P836=0,"",IF(SUM(P827:P831)/P836&gt;=0.4,"Pass","Fail"))</f>
        <v>Pass</v>
      </c>
      <c r="K817" s="450"/>
      <c r="L817" s="1904" t="s">
        <v>1275</v>
      </c>
      <c r="M817" s="1905">
        <f>SUM(M779:M816)</f>
        <v>18844</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0</v>
      </c>
      <c r="AJ817" s="1900">
        <f t="shared" si="348"/>
        <v>0</v>
      </c>
      <c r="AK817" s="1900">
        <f t="shared" si="348"/>
        <v>0</v>
      </c>
      <c r="AL817" s="1900">
        <f t="shared" si="348"/>
        <v>0</v>
      </c>
      <c r="AM817" s="1900">
        <f>SUM(AM779:AM816)</f>
        <v>0</v>
      </c>
      <c r="AN817" s="1900">
        <f>SUM(AN779:AN816)</f>
        <v>12</v>
      </c>
      <c r="AO817" s="1900">
        <f>SUM(AO779:AO816)</f>
        <v>20</v>
      </c>
      <c r="AP817" s="1900">
        <f>SUM(AP779:AP816)</f>
        <v>8</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0</v>
      </c>
      <c r="EU817" s="1900">
        <f t="shared" si="348"/>
        <v>0</v>
      </c>
      <c r="EV817" s="1900">
        <f t="shared" si="348"/>
        <v>0</v>
      </c>
      <c r="EW817" s="1900">
        <f t="shared" si="348"/>
        <v>0</v>
      </c>
      <c r="EX817" s="1900">
        <f t="shared" si="348"/>
        <v>0</v>
      </c>
      <c r="EY817" s="1900">
        <f t="shared" si="348"/>
        <v>7800</v>
      </c>
      <c r="EZ817" s="1900">
        <f t="shared" si="348"/>
        <v>18500</v>
      </c>
      <c r="FA817" s="1900">
        <f t="shared" si="348"/>
        <v>8800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0</v>
      </c>
      <c r="GI817" s="1900">
        <f t="shared" si="350"/>
        <v>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12</v>
      </c>
      <c r="GX817" s="1900">
        <f t="shared" si="350"/>
        <v>20</v>
      </c>
      <c r="GY817" s="1900">
        <f t="shared" si="350"/>
        <v>8</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12</v>
      </c>
      <c r="JK817" s="1900">
        <f t="shared" si="351"/>
        <v>20</v>
      </c>
      <c r="JL817" s="1900">
        <f t="shared" si="351"/>
        <v>8</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12</v>
      </c>
      <c r="MR817" s="1900">
        <f t="shared" si="352"/>
        <v>20</v>
      </c>
      <c r="MS817" s="1900">
        <f t="shared" si="352"/>
        <v>8</v>
      </c>
      <c r="MT817" s="1900">
        <f t="shared" si="352"/>
        <v>0</v>
      </c>
      <c r="MU817" s="1900">
        <f t="shared" si="352"/>
        <v>0</v>
      </c>
      <c r="MV817" s="1900">
        <f t="shared" si="352"/>
        <v>0</v>
      </c>
      <c r="MW817" s="1900">
        <f t="shared" si="352"/>
        <v>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50</v>
      </c>
      <c r="C818" s="2108"/>
      <c r="D818" s="1896" t="s">
        <v>4117</v>
      </c>
      <c r="E818" s="1901">
        <f>SUM(E786:E816)</f>
        <v>40</v>
      </c>
      <c r="F818" s="1902">
        <f>(E786*F786+E787*F787+E788*F788+E789*F789+E790*F790+E791*F791+E792*F792+E793*F793+E794*F794+E795*F795+E796*F796+E797*F797+E798*F798+E799*F799+E800*F800+E801*F801+E802*F802+E803*F803+E804*F804+E805*F805+E806*F806+E807*F807+E808*F808+E809*F809+E810*F810+E811*F811+E812*F812+E813*F813+E814*F814+E815*F815+E816*F816)</f>
        <v>35100</v>
      </c>
      <c r="H818" s="2107"/>
      <c r="I818" s="1229" t="s">
        <v>4209</v>
      </c>
      <c r="J818" s="1903" t="str">
        <f>IF(P836=0,"",IF(SUM(P828:P831)/P836&gt;=0.2,"Pass","Fail"))</f>
        <v>Pass</v>
      </c>
      <c r="K818" s="450"/>
      <c r="L818" s="1904" t="s">
        <v>793</v>
      </c>
      <c r="M818" s="1905">
        <f>M817*12</f>
        <v>226128</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721</v>
      </c>
      <c r="B822" s="1995" t="s">
        <v>518</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1113</v>
      </c>
      <c r="H824" s="1995" t="s">
        <v>1017</v>
      </c>
      <c r="K824" s="2110" t="s">
        <v>550</v>
      </c>
      <c r="L824" s="2110" t="s">
        <v>519</v>
      </c>
      <c r="M824" s="2110" t="s">
        <v>520</v>
      </c>
      <c r="N824" s="2110" t="s">
        <v>521</v>
      </c>
      <c r="O824" s="2110" t="s">
        <v>522</v>
      </c>
      <c r="P824" s="2110" t="s">
        <v>523</v>
      </c>
      <c r="S824" s="1995" t="s">
        <v>1797</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1114</v>
      </c>
      <c r="D825" s="1815"/>
      <c r="E825" s="1815"/>
      <c r="F825" s="1815"/>
      <c r="H825" s="1897" t="s">
        <v>4118</v>
      </c>
      <c r="I825" s="449"/>
      <c r="K825" s="1906">
        <f>X817</f>
        <v>0</v>
      </c>
      <c r="L825" s="1906">
        <f>Y817</f>
        <v>0</v>
      </c>
      <c r="M825" s="1906">
        <f>Z817</f>
        <v>0</v>
      </c>
      <c r="N825" s="1906">
        <f>AA817</f>
        <v>0</v>
      </c>
      <c r="O825" s="1906">
        <f>AB817</f>
        <v>0</v>
      </c>
      <c r="P825" s="1906">
        <f t="shared" ref="P825:P836" si="353">SUM(K825:O825)</f>
        <v>0</v>
      </c>
      <c r="Q825" s="1822" t="s">
        <v>3492</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4119</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1126</v>
      </c>
      <c r="I827" s="449"/>
      <c r="K827" s="1906">
        <f>AH817</f>
        <v>0</v>
      </c>
      <c r="L827" s="1906">
        <f>AI817</f>
        <v>0</v>
      </c>
      <c r="M827" s="1906">
        <f>AJ817</f>
        <v>0</v>
      </c>
      <c r="N827" s="1906">
        <f>AK817</f>
        <v>0</v>
      </c>
      <c r="O827" s="1906">
        <f>AL817</f>
        <v>0</v>
      </c>
      <c r="P827" s="1906">
        <f t="shared" si="353"/>
        <v>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12</v>
      </c>
      <c r="M828" s="1906">
        <f>AO817</f>
        <v>20</v>
      </c>
      <c r="N828" s="1906">
        <f>AP817</f>
        <v>8</v>
      </c>
      <c r="O828" s="1906">
        <f>AQ817</f>
        <v>0</v>
      </c>
      <c r="P828" s="1906">
        <f t="shared" si="353"/>
        <v>40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4120</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4121</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4122</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4204</v>
      </c>
      <c r="D832" s="1815"/>
      <c r="E832" s="1815"/>
      <c r="F832" s="1815"/>
      <c r="H832" s="1918"/>
      <c r="I832" s="1945"/>
      <c r="K832" s="1906">
        <f>SUM(K825:K831)</f>
        <v>0</v>
      </c>
      <c r="L832" s="1906">
        <f>SUM(L825:L831)</f>
        <v>12</v>
      </c>
      <c r="M832" s="1906">
        <f>SUM(M825:M831)</f>
        <v>20</v>
      </c>
      <c r="N832" s="1906">
        <f>SUM(N825:N831)</f>
        <v>8</v>
      </c>
      <c r="O832" s="1906">
        <f>SUM(O825:O831)</f>
        <v>0</v>
      </c>
      <c r="P832" s="1906">
        <f t="shared" si="353"/>
        <v>40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1115</v>
      </c>
      <c r="D834" s="1815"/>
      <c r="E834" s="1815"/>
      <c r="F834" s="1815"/>
      <c r="H834" s="1897"/>
      <c r="I834" s="449"/>
      <c r="K834" s="1906">
        <f>SUM(K832:K833)</f>
        <v>0</v>
      </c>
      <c r="L834" s="1906">
        <f>SUM(L832:L833)</f>
        <v>12</v>
      </c>
      <c r="M834" s="1906">
        <f>SUM(M832:M833)</f>
        <v>20</v>
      </c>
      <c r="N834" s="1906">
        <f>SUM(N832:N833)</f>
        <v>8</v>
      </c>
      <c r="O834" s="1906">
        <f>SUM(O832:O833)</f>
        <v>0</v>
      </c>
      <c r="P834" s="1906">
        <f t="shared" si="353"/>
        <v>40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2443</v>
      </c>
      <c r="I835" s="449"/>
      <c r="K835" s="1906">
        <f>ED817</f>
        <v>0</v>
      </c>
      <c r="L835" s="1906">
        <f>EE817</f>
        <v>0</v>
      </c>
      <c r="M835" s="1906">
        <f>EF817</f>
        <v>0</v>
      </c>
      <c r="N835" s="1906">
        <f>EG817</f>
        <v>0</v>
      </c>
      <c r="O835" s="1906">
        <f>EH817</f>
        <v>0</v>
      </c>
      <c r="P835" s="1906">
        <f t="shared" si="353"/>
        <v>0</v>
      </c>
      <c r="Q835" s="1822" t="s">
        <v>3493</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1748</v>
      </c>
      <c r="D836" s="1815"/>
      <c r="E836" s="1815"/>
      <c r="F836" s="1815"/>
      <c r="H836" s="1897"/>
      <c r="I836" s="449"/>
      <c r="K836" s="1906">
        <f>SUM(K834:K835)</f>
        <v>0</v>
      </c>
      <c r="L836" s="1906">
        <f>SUM(L834:L835)</f>
        <v>12</v>
      </c>
      <c r="M836" s="1906">
        <f>SUM(M834:M835)</f>
        <v>20</v>
      </c>
      <c r="N836" s="1906">
        <f>SUM(N834:N835)</f>
        <v>8</v>
      </c>
      <c r="O836" s="1906">
        <f>SUM(O834:O835)</f>
        <v>0</v>
      </c>
      <c r="P836" s="1906">
        <f t="shared" si="353"/>
        <v>40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4223</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4118</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4119</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4775</v>
      </c>
      <c r="D845" s="1815"/>
      <c r="E845" s="1815"/>
      <c r="F845" s="1815"/>
      <c r="H845" s="1897" t="s">
        <v>1126</v>
      </c>
      <c r="I845" s="449"/>
      <c r="J845" s="1815"/>
      <c r="K845" s="2217" t="str">
        <f t="shared" ref="K845:P845" si="360">IF(OR(K827=0,K$67=0),"",K827/K$67)</f>
        <v/>
      </c>
      <c r="L845" s="2217" t="str">
        <f t="shared" si="360"/>
        <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4775</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4775</v>
      </c>
      <c r="H851" s="1897" t="s">
        <v>4120</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4775</v>
      </c>
      <c r="H854" s="1897" t="s">
        <v>4121</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4775</v>
      </c>
      <c r="H857" s="1897" t="s">
        <v>4122</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911</v>
      </c>
      <c r="D862" s="1815"/>
      <c r="E862" s="1897"/>
      <c r="F862" s="1815"/>
      <c r="H862" s="1897" t="s">
        <v>4118</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2444</v>
      </c>
      <c r="D863" s="1815"/>
      <c r="E863" s="1897"/>
      <c r="F863" s="1815"/>
      <c r="H863" s="1897" t="s">
        <v>4119</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1126</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4120</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4121</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4122</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523</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721</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868</v>
      </c>
      <c r="D873" s="1910"/>
      <c r="E873" s="1910"/>
      <c r="F873" s="1815"/>
      <c r="H873" s="1897" t="s">
        <v>4118</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2444</v>
      </c>
      <c r="D874" s="1910"/>
      <c r="E874" s="1910"/>
      <c r="F874" s="1815"/>
      <c r="H874" s="1897" t="s">
        <v>4119</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1126</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4120</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4121</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4122</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523</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2235</v>
      </c>
      <c r="F882" s="1815"/>
      <c r="H882" s="1897" t="s">
        <v>1403</v>
      </c>
      <c r="I882" s="449"/>
      <c r="K882" s="1906">
        <f>GG817</f>
        <v>0</v>
      </c>
      <c r="L882" s="1906">
        <f>GH817</f>
        <v>0</v>
      </c>
      <c r="M882" s="1906">
        <f>GI817</f>
        <v>0</v>
      </c>
      <c r="N882" s="1906">
        <f>GJ817</f>
        <v>0</v>
      </c>
      <c r="O882" s="1906">
        <f>GK817</f>
        <v>0</v>
      </c>
      <c r="P882" s="1906">
        <f t="shared" ref="P882:P892" si="377">SUM(K882:O882)</f>
        <v>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0</v>
      </c>
      <c r="M884" s="1906">
        <f>SUM(M882:M883)+GS817</f>
        <v>0</v>
      </c>
      <c r="N884" s="1906">
        <f>SUM(N882:N883)+GT817</f>
        <v>0</v>
      </c>
      <c r="O884" s="1906">
        <f>SUM(O882:O883)+GU817</f>
        <v>0</v>
      </c>
      <c r="P884" s="1906">
        <f t="shared" si="377"/>
        <v>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2085</v>
      </c>
      <c r="F885" s="1815"/>
      <c r="H885" s="1897" t="s">
        <v>1403</v>
      </c>
      <c r="I885" s="449"/>
      <c r="K885" s="1906">
        <f>GV817</f>
        <v>0</v>
      </c>
      <c r="L885" s="1906">
        <f>GW817</f>
        <v>12</v>
      </c>
      <c r="M885" s="1906">
        <f>GX817</f>
        <v>20</v>
      </c>
      <c r="N885" s="1906">
        <f>GY817</f>
        <v>8</v>
      </c>
      <c r="O885" s="1906">
        <f>GZ817</f>
        <v>0</v>
      </c>
      <c r="P885" s="1906">
        <f t="shared" si="377"/>
        <v>40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12</v>
      </c>
      <c r="M887" s="1906">
        <f>SUM(M885:M886)+HH817</f>
        <v>20</v>
      </c>
      <c r="N887" s="1906">
        <f>SUM(N885:N886)+HI817</f>
        <v>8</v>
      </c>
      <c r="O887" s="1906">
        <f>SUM(O885:O886)+HJ817</f>
        <v>0</v>
      </c>
      <c r="P887" s="1906">
        <f t="shared" si="377"/>
        <v>40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1390</v>
      </c>
      <c r="F888" s="1772"/>
      <c r="H888" s="1897" t="s">
        <v>1403</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3248</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2535</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3248</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2536</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3248</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2538</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3248</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2537</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3248</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3248</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3248</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12</v>
      </c>
      <c r="M909" s="1906">
        <f>JK817</f>
        <v>20</v>
      </c>
      <c r="N909" s="1906">
        <f>JL817</f>
        <v>8</v>
      </c>
      <c r="O909" s="1906">
        <f>JM817</f>
        <v>0</v>
      </c>
      <c r="P909" s="1906">
        <f t="shared" si="379"/>
        <v>40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3248</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547</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3248</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548</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3248</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721</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3243</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3248</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3244</v>
      </c>
      <c r="F920" s="1822"/>
      <c r="H920" s="1849"/>
      <c r="I920" s="1822"/>
      <c r="K920" s="1906">
        <f t="shared" ref="K920:O921" si="382">K897+K909</f>
        <v>0</v>
      </c>
      <c r="L920" s="1906">
        <f t="shared" si="382"/>
        <v>12</v>
      </c>
      <c r="M920" s="1906">
        <f t="shared" si="382"/>
        <v>20</v>
      </c>
      <c r="N920" s="1906">
        <f t="shared" si="382"/>
        <v>8</v>
      </c>
      <c r="O920" s="1906">
        <f t="shared" si="382"/>
        <v>0</v>
      </c>
      <c r="P920" s="1906">
        <f t="shared" si="381"/>
        <v>40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3248</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3245</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3248</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3246</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3248</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2113</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2084</v>
      </c>
      <c r="D928" s="1815"/>
      <c r="E928" s="1815"/>
      <c r="F928" s="1815"/>
      <c r="H928" s="1918" t="s">
        <v>4118</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4119</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1126</v>
      </c>
      <c r="I930" s="1908"/>
      <c r="K930" s="1915">
        <f>ES817</f>
        <v>0</v>
      </c>
      <c r="L930" s="1915">
        <f>ET817</f>
        <v>0</v>
      </c>
      <c r="M930" s="1915">
        <f>EU817</f>
        <v>0</v>
      </c>
      <c r="N930" s="1915">
        <f>EV817</f>
        <v>0</v>
      </c>
      <c r="O930" s="1915">
        <f>EW817</f>
        <v>0</v>
      </c>
      <c r="P930" s="1915">
        <f t="shared" si="385"/>
        <v>0</v>
      </c>
      <c r="Q930" s="1916" t="str">
        <f t="shared" si="386"/>
        <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7800</v>
      </c>
      <c r="M931" s="1915">
        <f>EZ817</f>
        <v>18500</v>
      </c>
      <c r="N931" s="1915">
        <f>FA817</f>
        <v>8800</v>
      </c>
      <c r="O931" s="1915">
        <f>FB817</f>
        <v>0</v>
      </c>
      <c r="P931" s="1915">
        <f t="shared" si="385"/>
        <v>35100</v>
      </c>
      <c r="Q931" s="1916">
        <f t="shared" si="386"/>
        <v>877.5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4120</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4121</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4122</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4203</v>
      </c>
      <c r="I935" s="1908"/>
      <c r="K935" s="1915">
        <f>SUM(K928:K934)</f>
        <v>0</v>
      </c>
      <c r="L935" s="1915">
        <f>SUM(L928:L934)</f>
        <v>7800</v>
      </c>
      <c r="M935" s="1915">
        <f>SUM(M928:M934)</f>
        <v>18500</v>
      </c>
      <c r="N935" s="1915">
        <f>SUM(N928:N934)</f>
        <v>8800</v>
      </c>
      <c r="O935" s="1915">
        <f>SUM(O928:O934)</f>
        <v>0</v>
      </c>
      <c r="P935" s="1915">
        <f>SUM(K935:O935)</f>
        <v>35100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1115</v>
      </c>
      <c r="D937" s="1815"/>
      <c r="E937" s="1815"/>
      <c r="F937" s="1815"/>
      <c r="G937" s="1815"/>
      <c r="K937" s="1915">
        <f>SUM(K935:K936)</f>
        <v>0</v>
      </c>
      <c r="L937" s="1915">
        <f>SUM(L935:L936)</f>
        <v>7800</v>
      </c>
      <c r="M937" s="1915">
        <f>SUM(M935:M936)</f>
        <v>18500</v>
      </c>
      <c r="N937" s="1915">
        <f>SUM(N935:N936)</f>
        <v>8800</v>
      </c>
      <c r="O937" s="1915">
        <f>SUM(O935:O936)</f>
        <v>0</v>
      </c>
      <c r="P937" s="1915">
        <f>SUM(K937:O937)</f>
        <v>35100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2443</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523</v>
      </c>
      <c r="D939" s="1815"/>
      <c r="E939" s="1815"/>
      <c r="F939" s="1815"/>
      <c r="G939" s="1815"/>
      <c r="K939" s="1915">
        <f>SUM(K937:K938)</f>
        <v>0</v>
      </c>
      <c r="L939" s="1915">
        <f>SUM(L937:L938)</f>
        <v>7800</v>
      </c>
      <c r="M939" s="1915">
        <f>SUM(M937:M938)</f>
        <v>18500</v>
      </c>
      <c r="N939" s="1915">
        <f>SUM(N937:N938)</f>
        <v>8800</v>
      </c>
      <c r="O939" s="1915">
        <f>SUM(O937:O938)</f>
        <v>0</v>
      </c>
      <c r="P939" s="1915">
        <f>SUM(K939:O939)</f>
        <v>35100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650</v>
      </c>
      <c r="M942" s="1917">
        <f>IF(OR(M836="",M836=0),"",M939/M836)</f>
        <v>925</v>
      </c>
      <c r="N942" s="1917">
        <f>IF(OR(N836="",N836=0),"",N939/N836)</f>
        <v>1100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723</v>
      </c>
      <c r="B945" s="1995" t="s">
        <v>6926</v>
      </c>
      <c r="S945" s="1995" t="s">
        <v>1797</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993</v>
      </c>
      <c r="C947" s="1918"/>
      <c r="D947" s="1897"/>
      <c r="E947" s="1918"/>
      <c r="F947" s="1918"/>
      <c r="G947" s="1918"/>
      <c r="H947" s="2219">
        <f>'Part VI-Revenues &amp; Expenses'!H178</f>
        <v>4522.5600000000004</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1416</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2226</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994</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722</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906</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517</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722</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2226</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2552</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994</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722</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906</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517</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722</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2226</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2553</v>
      </c>
      <c r="T968" s="1815" t="str">
        <f>B968</f>
        <v>Included in Mgt Fee:</v>
      </c>
    </row>
    <row r="969" spans="2:329" ht="15.6" customHeight="1">
      <c r="B969" s="1897" t="s">
        <v>994</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722</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906</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517</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722</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2226</v>
      </c>
      <c r="C977" s="1918"/>
      <c r="D977" s="1918"/>
      <c r="E977" s="1918"/>
      <c r="F977" s="1918"/>
      <c r="H977" s="2115">
        <v>31</v>
      </c>
      <c r="I977" s="2115">
        <v>32</v>
      </c>
      <c r="J977" s="2115">
        <v>33</v>
      </c>
      <c r="K977" s="2115">
        <v>34</v>
      </c>
      <c r="L977" s="2115">
        <v>35</v>
      </c>
      <c r="M977" s="1918"/>
      <c r="N977" s="1918"/>
      <c r="O977" s="1918"/>
      <c r="P977" s="1918"/>
      <c r="Q977" s="1918"/>
      <c r="S977" s="1904" t="s">
        <v>2553</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994</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722</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906</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517</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722</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1747</v>
      </c>
      <c r="B986" s="1922" t="s">
        <v>996</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1797</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1263</v>
      </c>
      <c r="F988" s="1995"/>
      <c r="G988" s="1995"/>
      <c r="I988" s="1815" t="s">
        <v>1349</v>
      </c>
      <c r="O988" s="1815" t="s">
        <v>1352</v>
      </c>
      <c r="Q988" s="1920">
        <f>IF(OR('Part VII-Pro Forma'!$B$21 = "Choose Mgt Fee",'Part VII-Pro Forma'!$B$21 = "Choose One!"), 0,- 'Part VII-Pro Forma'!$B$21)</f>
        <v>15015</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2144</v>
      </c>
      <c r="F989" s="1915">
        <f>'Part VI-Revenues &amp; Expenses'!F220</f>
        <v>28500</v>
      </c>
      <c r="G989" s="1915"/>
      <c r="I989" s="1815" t="s">
        <v>1350</v>
      </c>
      <c r="L989" s="1915">
        <f>'Part VI-Revenues &amp; Expenses'!L220</f>
        <v>0</v>
      </c>
      <c r="M989" s="1915"/>
      <c r="O989" s="1921">
        <f>+Q988/(P836*0.93)</f>
        <v>403.62903225806451</v>
      </c>
      <c r="P989" s="449" t="s">
        <v>2665</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1339</v>
      </c>
      <c r="F990" s="1915">
        <f>'Part VI-Revenues &amp; Expenses'!F221</f>
        <v>24000</v>
      </c>
      <c r="G990" s="1915"/>
      <c r="I990" s="1815" t="s">
        <v>1351</v>
      </c>
      <c r="L990" s="1915">
        <f>'Part VI-Revenues &amp; Expenses'!L221</f>
        <v>0</v>
      </c>
      <c r="M990" s="1915"/>
      <c r="O990" s="1921">
        <f>+Q988/(P836*0.93)/12</f>
        <v>33.63575268817204</v>
      </c>
      <c r="P990" s="449" t="s">
        <v>2666</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1212</v>
      </c>
      <c r="F991" s="1915">
        <f>'Part VI-Revenues &amp; Expenses'!F222</f>
        <v>0</v>
      </c>
      <c r="G991" s="1915"/>
      <c r="K991" s="1948" t="s">
        <v>187</v>
      </c>
      <c r="L991" s="1915">
        <f>SUM(L989:M990)</f>
        <v>0</v>
      </c>
      <c r="M991" s="1915"/>
      <c r="O991" s="449" t="s">
        <v>3543</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3750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f>'Part VI-Revenues &amp; Expenses'!B225</f>
        <v>0</v>
      </c>
      <c r="C994" s="449"/>
      <c r="D994" s="449"/>
      <c r="E994" s="449"/>
      <c r="F994" s="1915">
        <f>'Part VI-Revenues &amp; Expenses'!F225</f>
        <v>0</v>
      </c>
      <c r="G994" s="1915"/>
      <c r="I994" s="1815" t="s">
        <v>1265</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56250</v>
      </c>
      <c r="G995" s="1915"/>
      <c r="I995" s="1815" t="s">
        <v>1568</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1999</v>
      </c>
      <c r="L996" s="1915">
        <f>'Part VI-Revenues &amp; Expenses'!L227</f>
        <v>4000</v>
      </c>
      <c r="M996" s="1915"/>
      <c r="N996" s="1897" t="str">
        <f>IF(Q998="","",IF(Q996&lt;Q998, "WARNING! OE below required minimum.",""))</f>
        <v/>
      </c>
      <c r="O996" s="1815" t="s">
        <v>2134</v>
      </c>
      <c r="Q996" s="1917">
        <f>F995+F1004+F1015+L991+L999+L1008+L1015+Q988</f>
        <v>151008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1264</v>
      </c>
      <c r="D997" s="1923"/>
      <c r="I997" s="1815" t="s">
        <v>1569</v>
      </c>
      <c r="L997" s="1915">
        <f>'Part VI-Revenues &amp; Expenses'!L228</f>
        <v>4000</v>
      </c>
      <c r="M997" s="1915"/>
      <c r="N997" s="1897"/>
      <c r="O997" s="449" t="s">
        <v>2667</v>
      </c>
      <c r="P997" s="1921">
        <f>+Q996/P836</f>
        <v>3775.2</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1344</v>
      </c>
      <c r="D998" s="1923"/>
      <c r="F998" s="1915">
        <f>'Part VI-Revenues &amp; Expenses'!F229</f>
        <v>3000</v>
      </c>
      <c r="G998" s="1915"/>
      <c r="I998" s="2155" t="str">
        <f>'Part VI-Revenues &amp; Expenses'!I229</f>
        <v>Other (describe here)</v>
      </c>
      <c r="J998" s="2155"/>
      <c r="K998" s="2155"/>
      <c r="L998" s="1915">
        <f>'Part VI-Revenues &amp; Expenses'!L229</f>
        <v>0</v>
      </c>
      <c r="M998" s="1915"/>
      <c r="N998" s="1897"/>
      <c r="P998" s="449" t="s">
        <v>3544</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1345</v>
      </c>
      <c r="D999" s="1923"/>
      <c r="F999" s="1915">
        <f>'Part VI-Revenues &amp; Expenses'!F230</f>
        <v>500</v>
      </c>
      <c r="G999" s="1915"/>
      <c r="K999" s="1948" t="s">
        <v>187</v>
      </c>
      <c r="L999" s="1917">
        <f>SUM(L995:L998)</f>
        <v>13000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1346</v>
      </c>
      <c r="D1000" s="1923"/>
      <c r="F1000" s="1915">
        <f>'Part VI-Revenues &amp; Expenses'!F231</f>
        <v>2500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2280</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1566</v>
      </c>
      <c r="D1002" s="1923"/>
      <c r="F1002" s="1915">
        <f>'Part VI-Revenues &amp; Expenses'!F233</f>
        <v>4000</v>
      </c>
      <c r="G1002" s="1915"/>
      <c r="I1002" s="1815" t="s">
        <v>1347</v>
      </c>
      <c r="K1002" s="1821" t="s">
        <v>4434</v>
      </c>
      <c r="O1002" s="1815" t="s">
        <v>3358</v>
      </c>
      <c r="Q1002" s="2220">
        <f>'Part VI-Revenues &amp; Expenses'!Q233</f>
        <v>14000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1340</v>
      </c>
      <c r="K1003" s="1864">
        <f>L1003/12/P836</f>
        <v>8.3333333333333321</v>
      </c>
      <c r="L1003" s="1915">
        <f>'Part VI-Revenues &amp; Expenses'!L234</f>
        <v>4000</v>
      </c>
      <c r="M1003" s="1915"/>
      <c r="N1003" s="1897" t="str">
        <f>IF(Q1002&lt;Q1011, "WARNING! RR proposed is below the DCA required minimum.","")</f>
        <v/>
      </c>
      <c r="O1003" s="449" t="s">
        <v>4433</v>
      </c>
      <c r="Q1003" s="1924">
        <f>Q1002/P1011</f>
        <v>350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10000</v>
      </c>
      <c r="G1004" s="1915"/>
      <c r="I1004" s="1815" t="s">
        <v>1341</v>
      </c>
      <c r="K1004" s="1864">
        <f>L1004/12/P836</f>
        <v>0</v>
      </c>
      <c r="L1004" s="1915">
        <f>'Part VI-Revenues &amp; Expenses'!L235</f>
        <v>0</v>
      </c>
      <c r="M1004" s="1915"/>
      <c r="N1004" s="1897"/>
      <c r="O1004" s="2119" t="s">
        <v>3551</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22.916666666666664</v>
      </c>
      <c r="L1005" s="1915">
        <f>'Part VI-Revenues &amp; Expenses'!L236</f>
        <v>11000</v>
      </c>
      <c r="M1005" s="1915"/>
      <c r="N1005" s="1897"/>
      <c r="O1005" s="1945" t="s">
        <v>2632</v>
      </c>
      <c r="P1005" s="1817" t="s">
        <v>3631</v>
      </c>
      <c r="Q1005" s="1817" t="s">
        <v>3321</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1266</v>
      </c>
      <c r="D1006" s="1923"/>
      <c r="I1006" s="1815" t="s">
        <v>1343</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1570</v>
      </c>
      <c r="D1007" s="1923"/>
      <c r="F1007" s="1915">
        <f>'Part VI-Revenues &amp; Expenses'!F238</f>
        <v>5000</v>
      </c>
      <c r="G1007" s="1915"/>
      <c r="I1007" s="2155" t="str">
        <f>'Part VI-Revenues &amp; Expenses'!I238</f>
        <v>Other (describe here)</v>
      </c>
      <c r="J1007" s="2155"/>
      <c r="K1007" s="2155"/>
      <c r="L1007" s="1915">
        <f>'Part VI-Revenues &amp; Expenses'!L238</f>
        <v>0</v>
      </c>
      <c r="M1007" s="1915"/>
      <c r="N1007" s="1897"/>
      <c r="O1007" s="1822" t="s">
        <v>3313</v>
      </c>
      <c r="P1007" s="1925" t="str">
        <f>CONCATENATE(SUM(MP817:MT817)," units x $",'DCA Underwriting Assumptions'!$Q$68," =")</f>
        <v>40 units x $350 =</v>
      </c>
      <c r="Q1007" s="1925">
        <f>SUM(MP817:MT817)*'DCA Underwriting Assumptions'!$Q$68</f>
        <v>14000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1571</v>
      </c>
      <c r="D1008" s="1923"/>
      <c r="F1008" s="1915">
        <f>'Part VI-Revenues &amp; Expenses'!F239</f>
        <v>4000</v>
      </c>
      <c r="G1008" s="1915"/>
      <c r="K1008" s="1948" t="s">
        <v>187</v>
      </c>
      <c r="L1008" s="1917">
        <f>SUM(L1003:L1007)</f>
        <v>20000</v>
      </c>
      <c r="M1008" s="1917"/>
      <c r="N1008" s="1897"/>
      <c r="O1008" s="1822" t="s">
        <v>3312</v>
      </c>
      <c r="P1008" s="1925" t="str">
        <f>CONCATENATE(SUM(MU817:MY817)," units x $",'DCA Underwriting Assumptions'!$Q$69," =")</f>
        <v>0 units x $250 =</v>
      </c>
      <c r="Q1008" s="1925">
        <f>SUM(MU817:MY817)*'DCA Underwriting Assumptions'!$Q$69</f>
        <v>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1572</v>
      </c>
      <c r="D1009" s="1923"/>
      <c r="F1009" s="1915">
        <f>'Part VI-Revenues &amp; Expenses'!F240</f>
        <v>1000</v>
      </c>
      <c r="G1009" s="1915"/>
      <c r="N1009" s="1897"/>
      <c r="O1009" s="1822" t="s">
        <v>3316</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980</v>
      </c>
      <c r="D1010" s="1923"/>
      <c r="F1010" s="1915">
        <f>'Part VI-Revenues &amp; Expenses'!F241</f>
        <v>2500</v>
      </c>
      <c r="G1010" s="1915"/>
      <c r="O1010" s="1822" t="s">
        <v>3311</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981</v>
      </c>
      <c r="D1011" s="1923"/>
      <c r="F1011" s="1915">
        <f>'Part VI-Revenues &amp; Expenses'!F242</f>
        <v>1500</v>
      </c>
      <c r="G1011" s="1915"/>
      <c r="I1011" s="1815" t="s">
        <v>1348</v>
      </c>
      <c r="O1011" s="1904" t="s">
        <v>2635</v>
      </c>
      <c r="P1011" s="1926">
        <f>SUM(MP817:MT817)+SUM(MU817:MY817)+SUM(MZ817:ND817)+P894</f>
        <v>40</v>
      </c>
      <c r="Q1011" s="1926">
        <f>SUM(Q1007:Q1010)</f>
        <v>14000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982</v>
      </c>
      <c r="D1012" s="1923"/>
      <c r="F1012" s="1915">
        <f>'Part VI-Revenues &amp; Expenses'!F243</f>
        <v>0</v>
      </c>
      <c r="G1012" s="1915"/>
      <c r="I1012" s="1815" t="s">
        <v>6824</v>
      </c>
      <c r="L1012" s="1915">
        <f>'Part VI-Revenues &amp; Expenses'!L243</f>
        <v>10266</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847</v>
      </c>
      <c r="D1013" s="1923"/>
      <c r="F1013" s="1915">
        <f>'Part VI-Revenues &amp; Expenses'!F244</f>
        <v>5000</v>
      </c>
      <c r="G1013" s="1915"/>
      <c r="I1013" s="1815" t="s">
        <v>143</v>
      </c>
      <c r="L1013" s="1915">
        <f>'Part VI-Revenues &amp; Expenses'!L244</f>
        <v>7477</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f>'Part VI-Revenues &amp; Expenses'!B245</f>
        <v>0</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19000</v>
      </c>
      <c r="G1015" s="1915"/>
      <c r="K1015" s="1948" t="s">
        <v>187</v>
      </c>
      <c r="L1015" s="1917">
        <f>SUM(L1011:L1014)</f>
        <v>17743</v>
      </c>
      <c r="M1015" s="1917"/>
      <c r="O1015" s="1815" t="s">
        <v>2135</v>
      </c>
      <c r="Q1015" s="1917">
        <f>Q996+Q1002</f>
        <v>165008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1749</v>
      </c>
      <c r="B1019" s="1815" t="s">
        <v>4420</v>
      </c>
      <c r="C1019" s="1948"/>
      <c r="H1019" s="1906"/>
      <c r="I1019" s="1927" t="s">
        <v>4421</v>
      </c>
      <c r="K1019" s="1917">
        <f>'Part VI-Revenues &amp; Expenses'!K250</f>
        <v>0</v>
      </c>
      <c r="L1019" s="1917"/>
      <c r="M1019" s="1922" t="s">
        <v>4476</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&lt;&lt;Select&gt;&gt;</v>
      </c>
      <c r="K1021" s="1927" t="s">
        <v>4479</v>
      </c>
      <c r="L1021" s="1896" t="str">
        <f>'Part VI-Revenues &amp; Expenses'!L252</f>
        <v>&lt;&lt;Select&gt;&gt;</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554</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Long County Millage Rates. We also utilized the current tax bills in the analysis as this is a currently operating property.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 An activities manager has been provided in the budget on a part-time basis per the applicable QAP rules. Additionally, the rent schedule is not able to accurately capture the existing HOME regulations in the LURA that this development will be following, specifically 4 of the three bedroom units will be restricted to 55% and not 50% AMI. We have decided to restrict at 50% AMI in the rent schedule and going forward to meet this requirement; this way all units will be restricted to 50% AMI Income. The rent restrictions are as follows: 4 three-bedrooms are restricted to 50% AMI rents, 12 one-bedrooms are restricted to 45% AMI rents, 20 two-bedroom units are restricted to 45% AMI rents, and 4 three-bedroom units are restricted at 50% AMI rents.</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2020-050 Twin Oaks Commons, ,  County</v>
      </c>
      <c r="L1029" s="1815"/>
      <c r="M1029" s="1815"/>
      <c r="N1029" s="1815" t="str">
        <f>A1029</f>
        <v>PART SEVEN - OPERATING PRO FORMA  -  2020-050 Twin Oaks Commons, ,  County</v>
      </c>
      <c r="O1029" s="1815"/>
      <c r="P1029" s="1815"/>
    </row>
    <row r="1030" spans="1:16" ht="13.5" customHeight="1">
      <c r="N1030" s="1995" t="s">
        <v>1797</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4" customHeight="1">
      <c r="C1032" s="2120"/>
    </row>
    <row r="1033" spans="1:16" ht="13.5" customHeight="1">
      <c r="A1033" s="1995" t="s">
        <v>2136</v>
      </c>
      <c r="B1033" s="1928">
        <v>0.02</v>
      </c>
      <c r="C1033" s="2120"/>
      <c r="D1033" s="1910" t="s">
        <v>6825</v>
      </c>
      <c r="E1033" s="1910"/>
      <c r="F1033" s="1910"/>
      <c r="G1033" s="2221">
        <f>'Part VII-Pro Forma'!G5</f>
        <v>5500</v>
      </c>
      <c r="H1033" s="1913" t="s">
        <v>1858</v>
      </c>
      <c r="K1033" s="1929">
        <f>'Part VII-Pro Forma'!K5</f>
        <v>-2.5640425475765834E-2</v>
      </c>
      <c r="N1033" s="1910"/>
      <c r="O1033" s="1910"/>
    </row>
    <row r="1034" spans="1:16">
      <c r="A1034" s="1995" t="s">
        <v>2137</v>
      </c>
      <c r="B1034" s="1928">
        <v>0.03</v>
      </c>
      <c r="C1034" s="2120"/>
      <c r="D1034" s="1910"/>
      <c r="E1034" s="1910"/>
      <c r="F1034" s="1910"/>
      <c r="G1034" s="2121">
        <f>'Part VII-Pro Forma'!G6</f>
        <v>0</v>
      </c>
      <c r="N1034" s="1910"/>
      <c r="O1034" s="1910"/>
    </row>
    <row r="1035" spans="1:16">
      <c r="A1035" s="1995" t="s">
        <v>2139</v>
      </c>
      <c r="B1035" s="1928">
        <v>0.03</v>
      </c>
      <c r="C1035" s="2120"/>
      <c r="D1035" s="1815" t="s">
        <v>265</v>
      </c>
      <c r="G1035" s="1930"/>
      <c r="H1035" s="1913" t="s">
        <v>2312</v>
      </c>
      <c r="K1035" s="1929">
        <f>'Part VII-Pro Forma'!K7</f>
        <v>6.9998361548840732E-2</v>
      </c>
      <c r="N1035" s="1910"/>
      <c r="O1035" s="1910"/>
    </row>
    <row r="1036" spans="1:16" ht="13.35" customHeight="1">
      <c r="A1036" s="1995" t="s">
        <v>2138</v>
      </c>
      <c r="B1036" s="1928">
        <f>'Part VII-Pro Forma'!B8</f>
        <v>7.0000000000000007E-2</v>
      </c>
      <c r="C1036" s="1821" t="str">
        <f>IF(B1036&lt;0.07, "Must be &gt;= 7%!","")</f>
        <v/>
      </c>
      <c r="D1036" s="1815" t="s">
        <v>2441</v>
      </c>
      <c r="G1036" s="2222">
        <f>'Part VII-Pro Forma'!G8</f>
        <v>0</v>
      </c>
      <c r="H1036" s="1931" t="s">
        <v>1415</v>
      </c>
      <c r="K1036" s="2223">
        <f>'Part VII-Pro Forma'!K8</f>
        <v>0</v>
      </c>
      <c r="N1036" s="1910"/>
      <c r="O1036" s="1910"/>
    </row>
    <row r="1037" spans="1:16">
      <c r="A1037" s="1995" t="s">
        <v>1389</v>
      </c>
      <c r="B1037" s="1928">
        <v>0.02</v>
      </c>
      <c r="D1037" s="1815" t="s">
        <v>1675</v>
      </c>
      <c r="G1037" s="2222" t="str">
        <f>'Part VII-Pro Forma'!G9</f>
        <v>Yes</v>
      </c>
      <c r="H1037" s="1931" t="s">
        <v>2294</v>
      </c>
      <c r="K1037" s="2224">
        <f>'Part VII-Pro Forma'!K9</f>
        <v>7.0000000000000007E-2</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2414</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2554</v>
      </c>
    </row>
    <row r="1042" spans="1:19" ht="13.35" customHeight="1">
      <c r="A1042" s="1995" t="s">
        <v>2340</v>
      </c>
      <c r="B1042" s="2122">
        <f>'Part VII-Pro Forma'!B14</f>
        <v>226128</v>
      </c>
      <c r="C1042" s="2122">
        <f>'Part VII-Pro Forma'!C14</f>
        <v>230650.56</v>
      </c>
      <c r="D1042" s="2122">
        <f>'Part VII-Pro Forma'!D14</f>
        <v>235263.57120000001</v>
      </c>
      <c r="E1042" s="2122">
        <f>'Part VII-Pro Forma'!E14</f>
        <v>239968.84262399998</v>
      </c>
      <c r="F1042" s="2122">
        <f>'Part VII-Pro Forma'!F14</f>
        <v>244768.21947648001</v>
      </c>
      <c r="G1042" s="2122">
        <f>'Part VII-Pro Forma'!G14</f>
        <v>249663.58386600961</v>
      </c>
      <c r="H1042" s="2122">
        <f>'Part VII-Pro Forma'!H14</f>
        <v>254656.85554332982</v>
      </c>
      <c r="I1042" s="2122">
        <f>'Part VII-Pro Forma'!I14</f>
        <v>259749.99265419634</v>
      </c>
      <c r="J1042" s="2122">
        <f>'Part VII-Pro Forma'!J14</f>
        <v>264944.99250728032</v>
      </c>
      <c r="K1042" s="2122">
        <f>'Part VII-Pro Forma'!K14</f>
        <v>270243.89235742588</v>
      </c>
      <c r="N1042" s="1910"/>
      <c r="O1042" s="1910"/>
      <c r="S1042" s="1918" t="s">
        <v>3833</v>
      </c>
    </row>
    <row r="1043" spans="1:19" ht="13.35" customHeight="1">
      <c r="A1043" s="1995" t="s">
        <v>993</v>
      </c>
      <c r="B1043" s="2122">
        <f>'Part VII-Pro Forma'!B15</f>
        <v>4522.5600000000004</v>
      </c>
      <c r="C1043" s="2122">
        <f>'Part VII-Pro Forma'!C15</f>
        <v>4613.0112000000008</v>
      </c>
      <c r="D1043" s="2122">
        <f>'Part VII-Pro Forma'!D15</f>
        <v>4705.2714240000005</v>
      </c>
      <c r="E1043" s="2122">
        <f>'Part VII-Pro Forma'!E15</f>
        <v>4799.3768524799998</v>
      </c>
      <c r="F1043" s="2122">
        <f>'Part VII-Pro Forma'!F15</f>
        <v>4895.3643895296</v>
      </c>
      <c r="G1043" s="2122">
        <f>'Part VII-Pro Forma'!G15</f>
        <v>4993.2716773201928</v>
      </c>
      <c r="H1043" s="2122">
        <f>'Part VII-Pro Forma'!H15</f>
        <v>5093.1371108665962</v>
      </c>
      <c r="I1043" s="2122">
        <f>'Part VII-Pro Forma'!I15</f>
        <v>5194.9998530839275</v>
      </c>
      <c r="J1043" s="2122">
        <f>'Part VII-Pro Forma'!J15</f>
        <v>5298.8998501456063</v>
      </c>
      <c r="K1043" s="2122">
        <f>'Part VII-Pro Forma'!K15</f>
        <v>5404.8778471485184</v>
      </c>
      <c r="N1043" s="1910"/>
      <c r="O1043" s="1910"/>
      <c r="S1043" s="1918"/>
    </row>
    <row r="1044" spans="1:19" ht="13.35" customHeight="1">
      <c r="A1044" s="1995" t="s">
        <v>2341</v>
      </c>
      <c r="B1044" s="2122">
        <f>'Part VII-Pro Forma'!B16</f>
        <v>-16145.539200000001</v>
      </c>
      <c r="C1044" s="2122">
        <f>'Part VII-Pro Forma'!C16</f>
        <v>-16468.449984000003</v>
      </c>
      <c r="D1044" s="2122">
        <f>'Part VII-Pro Forma'!D16</f>
        <v>-16797.818983680001</v>
      </c>
      <c r="E1044" s="2122">
        <f>'Part VII-Pro Forma'!E16</f>
        <v>-17133.775363353601</v>
      </c>
      <c r="F1044" s="2122">
        <f>'Part VII-Pro Forma'!F16</f>
        <v>-17476.450870620673</v>
      </c>
      <c r="G1044" s="2122">
        <f>'Part VII-Pro Forma'!G16</f>
        <v>-17825.979888033085</v>
      </c>
      <c r="H1044" s="2122">
        <f>'Part VII-Pro Forma'!H16</f>
        <v>-18182.499485793753</v>
      </c>
      <c r="I1044" s="2122">
        <f>'Part VII-Pro Forma'!I16</f>
        <v>-18546.149475509621</v>
      </c>
      <c r="J1044" s="2122">
        <f>'Part VII-Pro Forma'!J16</f>
        <v>-18917.072465019817</v>
      </c>
      <c r="K1044" s="2122">
        <f>'Part VII-Pro Forma'!K16</f>
        <v>-19295.413914320208</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214505.0208</v>
      </c>
      <c r="C1047" s="2122">
        <f>'Part VII-Pro Forma'!C19</f>
        <v>218795.121216</v>
      </c>
      <c r="D1047" s="2122">
        <f>'Part VII-Pro Forma'!D19</f>
        <v>223171.02364032</v>
      </c>
      <c r="E1047" s="2122">
        <f>'Part VII-Pro Forma'!E19</f>
        <v>227634.44411312637</v>
      </c>
      <c r="F1047" s="2122">
        <f>'Part VII-Pro Forma'!F19</f>
        <v>232187.13299538894</v>
      </c>
      <c r="G1047" s="2122">
        <f>'Part VII-Pro Forma'!G19</f>
        <v>236830.8756552967</v>
      </c>
      <c r="H1047" s="2122">
        <f>'Part VII-Pro Forma'!H19</f>
        <v>241567.49316840267</v>
      </c>
      <c r="I1047" s="2122">
        <f>'Part VII-Pro Forma'!I19</f>
        <v>246398.84303177064</v>
      </c>
      <c r="J1047" s="2122">
        <f>'Part VII-Pro Forma'!J19</f>
        <v>251326.81989240611</v>
      </c>
      <c r="K1047" s="2122">
        <f>'Part VII-Pro Forma'!K19</f>
        <v>256353.35629025419</v>
      </c>
      <c r="N1047" s="1910"/>
      <c r="O1047" s="1910"/>
    </row>
    <row r="1048" spans="1:19" ht="13.35" customHeight="1">
      <c r="A1048" s="1995" t="s">
        <v>596</v>
      </c>
      <c r="B1048" s="2122">
        <f>'Part VII-Pro Forma'!B20</f>
        <v>-135993</v>
      </c>
      <c r="C1048" s="2122">
        <f>'Part VII-Pro Forma'!C20</f>
        <v>-140072.79</v>
      </c>
      <c r="D1048" s="2122">
        <f>'Part VII-Pro Forma'!D20</f>
        <v>-144274.9737</v>
      </c>
      <c r="E1048" s="2122">
        <f>'Part VII-Pro Forma'!E20</f>
        <v>-148603.22291099999</v>
      </c>
      <c r="F1048" s="2122">
        <f>'Part VII-Pro Forma'!F20</f>
        <v>-153061.31959832998</v>
      </c>
      <c r="G1048" s="2122">
        <f>'Part VII-Pro Forma'!G20</f>
        <v>-157653.15918627987</v>
      </c>
      <c r="H1048" s="2122">
        <f>'Part VII-Pro Forma'!H20</f>
        <v>-162382.75396186829</v>
      </c>
      <c r="I1048" s="2122">
        <f>'Part VII-Pro Forma'!I20</f>
        <v>-167254.23658072433</v>
      </c>
      <c r="J1048" s="2122">
        <f>'Part VII-Pro Forma'!J20</f>
        <v>-172271.86367814607</v>
      </c>
      <c r="K1048" s="2122">
        <f>'Part VII-Pro Forma'!K20</f>
        <v>-177440.01958849045</v>
      </c>
      <c r="N1048" s="1910"/>
      <c r="O1048" s="1910"/>
      <c r="Q1048" s="1874">
        <v>1</v>
      </c>
      <c r="R1048" s="1900">
        <f>'Part VII-Pro Forma'!R20</f>
        <v>21859.725701423235</v>
      </c>
      <c r="S1048" s="1900">
        <f>'Part VII-Pro Forma'!S20</f>
        <v>21859.725701423235</v>
      </c>
    </row>
    <row r="1049" spans="1:19" ht="13.35" customHeight="1">
      <c r="A1049" s="1995" t="s">
        <v>1092</v>
      </c>
      <c r="B1049" s="2122">
        <f>'Part VII-Pro Forma'!B21</f>
        <v>-15015</v>
      </c>
      <c r="C1049" s="2122">
        <f>'Part VII-Pro Forma'!C21</f>
        <v>-15316</v>
      </c>
      <c r="D1049" s="2122">
        <f>'Part VII-Pro Forma'!D21</f>
        <v>-15622</v>
      </c>
      <c r="E1049" s="2122">
        <f>'Part VII-Pro Forma'!E21</f>
        <v>-15934</v>
      </c>
      <c r="F1049" s="2122">
        <f>'Part VII-Pro Forma'!F21</f>
        <v>-16253</v>
      </c>
      <c r="G1049" s="2122">
        <f>'Part VII-Pro Forma'!G21</f>
        <v>-16578</v>
      </c>
      <c r="H1049" s="2122">
        <f>'Part VII-Pro Forma'!H21</f>
        <v>-16910</v>
      </c>
      <c r="I1049" s="2122">
        <f>'Part VII-Pro Forma'!I21</f>
        <v>-17248</v>
      </c>
      <c r="J1049" s="2122">
        <f>'Part VII-Pro Forma'!J21</f>
        <v>-17593</v>
      </c>
      <c r="K1049" s="2122">
        <f>'Part VII-Pro Forma'!K21</f>
        <v>-17945</v>
      </c>
      <c r="N1049" s="1910"/>
      <c r="O1049" s="1910"/>
      <c r="Q1049" s="1874">
        <v>2</v>
      </c>
      <c r="R1049" s="1900">
        <f>'Part VII-Pro Forma'!R21</f>
        <v>29528.725701423235</v>
      </c>
      <c r="S1049" s="1900">
        <f>'Part VII-Pro Forma'!S21</f>
        <v>43208.761818846462</v>
      </c>
    </row>
    <row r="1050" spans="1:19" ht="13.35" customHeight="1">
      <c r="A1050" s="1995" t="s">
        <v>1175</v>
      </c>
      <c r="B1050" s="2122">
        <f>'Part VII-Pro Forma'!B22</f>
        <v>-14000</v>
      </c>
      <c r="C1050" s="2122">
        <f>'Part VII-Pro Forma'!C22</f>
        <v>-14420</v>
      </c>
      <c r="D1050" s="2122">
        <f>'Part VII-Pro Forma'!D22</f>
        <v>-14852.599999999999</v>
      </c>
      <c r="E1050" s="2122">
        <f>'Part VII-Pro Forma'!E22</f>
        <v>-15298.178</v>
      </c>
      <c r="F1050" s="2122">
        <f>'Part VII-Pro Forma'!F22</f>
        <v>-15757.123339999998</v>
      </c>
      <c r="G1050" s="2122">
        <f>'Part VII-Pro Forma'!G22</f>
        <v>-16229.837040199998</v>
      </c>
      <c r="H1050" s="2122">
        <f>'Part VII-Pro Forma'!H22</f>
        <v>-16716.732151405999</v>
      </c>
      <c r="I1050" s="2122">
        <f>'Part VII-Pro Forma'!I22</f>
        <v>-17218.23411594818</v>
      </c>
      <c r="J1050" s="2122">
        <f>'Part VII-Pro Forma'!J22</f>
        <v>-17734.781139426625</v>
      </c>
      <c r="K1050" s="2122">
        <f>'Part VII-Pro Forma'!K22</f>
        <v>-18266.824573609421</v>
      </c>
      <c r="N1050" s="1910"/>
      <c r="O1050" s="1910"/>
      <c r="Q1050" s="1874">
        <v>3</v>
      </c>
      <c r="R1050" s="1900">
        <f>'Part VII-Pro Forma'!R22</f>
        <v>29528.725701423235</v>
      </c>
      <c r="S1050" s="1900">
        <f>'Part VII-Pro Forma'!S22</f>
        <v>63992.91666058969</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29528.725701423235</v>
      </c>
      <c r="S1051" s="1900">
        <f>'Part VII-Pro Forma'!S23</f>
        <v>84154.664764139306</v>
      </c>
    </row>
    <row r="1052" spans="1:19" ht="13.35" customHeight="1">
      <c r="A1052" s="1995" t="s">
        <v>1176</v>
      </c>
      <c r="B1052" s="2122">
        <f>'Part VII-Pro Forma'!B24</f>
        <v>49497.020799999998</v>
      </c>
      <c r="C1052" s="2122">
        <f>'Part VII-Pro Forma'!C24</f>
        <v>48986.331215999991</v>
      </c>
      <c r="D1052" s="2122">
        <f>'Part VII-Pro Forma'!D24</f>
        <v>48421.449940319995</v>
      </c>
      <c r="E1052" s="2122">
        <f>'Part VII-Pro Forma'!E24</f>
        <v>47799.043202126384</v>
      </c>
      <c r="F1052" s="2122">
        <f>'Part VII-Pro Forma'!F24</f>
        <v>47115.690057058957</v>
      </c>
      <c r="G1052" s="2122">
        <f>'Part VII-Pro Forma'!G24</f>
        <v>46369.879428816828</v>
      </c>
      <c r="H1052" s="2122">
        <f>'Part VII-Pro Forma'!H24</f>
        <v>45558.007055128372</v>
      </c>
      <c r="I1052" s="2122">
        <f>'Part VII-Pro Forma'!I24</f>
        <v>44678.372335098124</v>
      </c>
      <c r="J1052" s="2122">
        <f>'Part VII-Pro Forma'!J24</f>
        <v>43727.175074833423</v>
      </c>
      <c r="K1052" s="2122">
        <f>'Part VII-Pro Forma'!K24</f>
        <v>42701.512128154311</v>
      </c>
      <c r="N1052" s="1910"/>
      <c r="O1052" s="1910"/>
      <c r="Q1052" s="1874">
        <v>5</v>
      </c>
      <c r="R1052" s="1900">
        <f>'Part VII-Pro Forma'!R24</f>
        <v>29528.725701423235</v>
      </c>
      <c r="S1052" s="1900">
        <f>'Part VII-Pro Forma'!S24</f>
        <v>103633.0597226215</v>
      </c>
    </row>
    <row r="1053" spans="1:19" ht="13.35" customHeight="1">
      <c r="A1053" s="1995" t="s">
        <v>1557</v>
      </c>
      <c r="B1053" s="2122">
        <f>'Part VII-Pro Forma'!B25</f>
        <v>-22137.295098576764</v>
      </c>
      <c r="C1053" s="2122">
        <f>'Part VII-Pro Forma'!C25</f>
        <v>-22137.295098576764</v>
      </c>
      <c r="D1053" s="2122">
        <f>'Part VII-Pro Forma'!D25</f>
        <v>-22137.295098576764</v>
      </c>
      <c r="E1053" s="2122">
        <f>'Part VII-Pro Forma'!E25</f>
        <v>-22137.295098576764</v>
      </c>
      <c r="F1053" s="2122">
        <f>'Part VII-Pro Forma'!F25</f>
        <v>-22137.295098576764</v>
      </c>
      <c r="G1053" s="2122">
        <f>'Part VII-Pro Forma'!G25</f>
        <v>-22137.295098576764</v>
      </c>
      <c r="H1053" s="2122">
        <f>'Part VII-Pro Forma'!H25</f>
        <v>-22137.295098576764</v>
      </c>
      <c r="I1053" s="2122">
        <f>'Part VII-Pro Forma'!I25</f>
        <v>-22137.295098576764</v>
      </c>
      <c r="J1053" s="2122">
        <f>'Part VII-Pro Forma'!J25</f>
        <v>-22137.295098576764</v>
      </c>
      <c r="K1053" s="2122">
        <f>'Part VII-Pro Forma'!K25</f>
        <v>-22137.295098576764</v>
      </c>
      <c r="N1053" s="1910"/>
      <c r="O1053" s="1910"/>
      <c r="Q1053" s="1874">
        <v>6</v>
      </c>
      <c r="R1053" s="1900">
        <f>'Part VII-Pro Forma'!R25</f>
        <v>29528.725701423235</v>
      </c>
      <c r="S1053" s="1900">
        <f>'Part VII-Pro Forma'!S25</f>
        <v>122365.64405286156</v>
      </c>
    </row>
    <row r="1054" spans="1:19" ht="13.35" customHeight="1">
      <c r="A1054" s="1995" t="s">
        <v>1558</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29528.725701423235</v>
      </c>
      <c r="S1054" s="1900">
        <f>'Part VII-Pro Forma'!S26</f>
        <v>140286.35600941317</v>
      </c>
    </row>
    <row r="1055" spans="1:19" ht="13.35" customHeight="1">
      <c r="A1055" s="1995" t="s">
        <v>1559</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29528.725701423235</v>
      </c>
      <c r="S1055" s="1900">
        <f>'Part VII-Pro Forma'!S27</f>
        <v>157327.43324593455</v>
      </c>
    </row>
    <row r="1056" spans="1:19" ht="13.35" customHeight="1">
      <c r="A1056" s="1995" t="s">
        <v>3632</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29528.725701423235</v>
      </c>
      <c r="S1056" s="1900">
        <f>'Part VII-Pro Forma'!S28</f>
        <v>173417.31322219121</v>
      </c>
    </row>
    <row r="1057" spans="1:19" ht="13.35" customHeight="1">
      <c r="A1057" s="1995" t="s">
        <v>744</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29528.725701423235</v>
      </c>
      <c r="S1057" s="1900">
        <f>'Part VII-Pro Forma'!S29</f>
        <v>188481.53025176877</v>
      </c>
    </row>
    <row r="1058" spans="1:19" ht="13.35" customHeight="1">
      <c r="A1058" s="1995" t="s">
        <v>1140</v>
      </c>
      <c r="B1058" s="2122">
        <f>'Part VII-Pro Forma'!B30</f>
        <v>-5500</v>
      </c>
      <c r="C1058" s="2122">
        <f>'Part VII-Pro Forma'!C30</f>
        <v>-5500</v>
      </c>
      <c r="D1058" s="2122">
        <f>'Part VII-Pro Forma'!D30</f>
        <v>-5500</v>
      </c>
      <c r="E1058" s="2122">
        <f>'Part VII-Pro Forma'!E30</f>
        <v>-5500</v>
      </c>
      <c r="F1058" s="2122">
        <f>'Part VII-Pro Forma'!F30</f>
        <v>-5500</v>
      </c>
      <c r="G1058" s="2122">
        <f>'Part VII-Pro Forma'!G30</f>
        <v>-5500</v>
      </c>
      <c r="H1058" s="2122">
        <f>'Part VII-Pro Forma'!H30</f>
        <v>-5500</v>
      </c>
      <c r="I1058" s="2122">
        <f>'Part VII-Pro Forma'!I30</f>
        <v>-5500</v>
      </c>
      <c r="J1058" s="2122">
        <f>'Part VII-Pro Forma'!J30</f>
        <v>-5500</v>
      </c>
      <c r="K1058" s="2122">
        <f>'Part VII-Pro Forma'!K30</f>
        <v>-5500</v>
      </c>
      <c r="N1058" s="1910"/>
      <c r="O1058" s="1910"/>
      <c r="Q1058" s="1874">
        <v>11</v>
      </c>
      <c r="R1058" s="1900">
        <f>'Part VII-Pro Forma'!R30</f>
        <v>29528.725701423235</v>
      </c>
      <c r="S1058" s="1900">
        <f>'Part VII-Pro Forma'!S30</f>
        <v>202442.60908228846</v>
      </c>
    </row>
    <row r="1059" spans="1:19" ht="13.35" customHeight="1">
      <c r="A1059" s="1995" t="s">
        <v>3767</v>
      </c>
      <c r="B1059" s="2122">
        <f>'Part VII-Pro Forma'!B31</f>
        <v>-21859.725701423235</v>
      </c>
      <c r="C1059" s="2122">
        <f>'Part VII-Pro Forma'!C31</f>
        <v>-7669</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29528.725701423235</v>
      </c>
      <c r="S1059" s="1900">
        <f>'Part VII-Pro Forma'!S31</f>
        <v>215219.95489652039</v>
      </c>
    </row>
    <row r="1060" spans="1:19" ht="13.35" customHeight="1">
      <c r="A1060" s="1995" t="s">
        <v>1141</v>
      </c>
      <c r="B1060" s="2122">
        <f>'Part VII-Pro Forma'!B32</f>
        <v>0</v>
      </c>
      <c r="C1060" s="2122">
        <f>'Part VII-Pro Forma'!C32</f>
        <v>13680.036117423228</v>
      </c>
      <c r="D1060" s="2122">
        <f>'Part VII-Pro Forma'!D32</f>
        <v>20784.154841743231</v>
      </c>
      <c r="E1060" s="2122">
        <f>'Part VII-Pro Forma'!E32</f>
        <v>20161.74810354962</v>
      </c>
      <c r="F1060" s="2122">
        <f>'Part VII-Pro Forma'!F32</f>
        <v>19478.394958482193</v>
      </c>
      <c r="G1060" s="2122">
        <f>'Part VII-Pro Forma'!G32</f>
        <v>18732.584330240064</v>
      </c>
      <c r="H1060" s="2122">
        <f>'Part VII-Pro Forma'!H32</f>
        <v>17920.711956551608</v>
      </c>
      <c r="I1060" s="2122">
        <f>'Part VII-Pro Forma'!I32</f>
        <v>17041.07723652136</v>
      </c>
      <c r="J1060" s="2122">
        <f>'Part VII-Pro Forma'!J32</f>
        <v>16089.87997625666</v>
      </c>
      <c r="K1060" s="2122">
        <f>'Part VII-Pro Forma'!K32</f>
        <v>15064.217029577547</v>
      </c>
      <c r="N1060" s="1910"/>
      <c r="O1060" s="1910"/>
      <c r="Q1060" s="1874">
        <v>13</v>
      </c>
      <c r="R1060" s="1900">
        <f>'Part VII-Pro Forma'!R32</f>
        <v>29528.725701423235</v>
      </c>
      <c r="S1060" s="1900">
        <f>'Part VII-Pro Forma'!S32</f>
        <v>226729.73961929284</v>
      </c>
    </row>
    <row r="1061" spans="1:19" ht="13.35" customHeight="1">
      <c r="A1061" s="1995" t="str">
        <f>IF('Part III-Sources of Funds'!$E$38 = "Neither", "", "DCR Mortgage A")</f>
        <v>DCR Mortgage A</v>
      </c>
      <c r="B1061" s="2122">
        <f>'Part VII-Pro Forma'!B33</f>
        <v>2.2359109629063139</v>
      </c>
      <c r="C1061" s="2122">
        <f>'Part VII-Pro Forma'!C33</f>
        <v>2.2128417676082472</v>
      </c>
      <c r="D1061" s="2122">
        <f>'Part VII-Pro Forma'!D33</f>
        <v>2.1873245906828553</v>
      </c>
      <c r="E1061" s="2122">
        <f>'Part VII-Pro Forma'!E33</f>
        <v>2.1592088369097744</v>
      </c>
      <c r="F1061" s="2122">
        <f>'Part VII-Pro Forma'!F33</f>
        <v>2.1283399732105521</v>
      </c>
      <c r="G1061" s="2122">
        <f>'Part VII-Pro Forma'!G33</f>
        <v>2.0946497402836721</v>
      </c>
      <c r="H1061" s="2122">
        <f>'Part VII-Pro Forma'!H33</f>
        <v>2.0579753240971774</v>
      </c>
      <c r="I1061" s="2122">
        <f>'Part VII-Pro Forma'!I33</f>
        <v>2.0182399040238006</v>
      </c>
      <c r="J1061" s="2122">
        <f>'Part VII-Pro Forma'!J33</f>
        <v>1.9752718152835529</v>
      </c>
      <c r="K1061" s="2122">
        <f>'Part VII-Pro Forma'!K33</f>
        <v>1.9289399151073181</v>
      </c>
      <c r="N1061" s="1910"/>
      <c r="O1061" s="1910"/>
      <c r="Q1061" s="1874">
        <v>14</v>
      </c>
      <c r="R1061" s="1900">
        <f>'Part VII-Pro Forma'!R33</f>
        <v>29528.725701423235</v>
      </c>
      <c r="S1061" s="1900">
        <f>'Part VII-Pro Forma'!S33</f>
        <v>236883.78441148507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29528.725701423235</v>
      </c>
      <c r="S1062" s="1900">
        <f>'Part VII-Pro Forma'!S34</f>
        <v>245591.43822867528</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29528.725701423235</v>
      </c>
      <c r="S1063" s="1900">
        <f>'Part VII-Pro Forma'!S35</f>
        <v>280393.74741675559</v>
      </c>
    </row>
    <row r="1064" spans="1:19" ht="13.35" customHeight="1">
      <c r="A1064" s="1995" t="s">
        <v>762</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29528.725701423235</v>
      </c>
      <c r="S1064" s="1900">
        <f>'Part VII-Pro Forma'!S36</f>
        <v>313555.44072141562</v>
      </c>
    </row>
    <row r="1065" spans="1:19" ht="13.35" customHeight="1">
      <c r="A1065" s="1995" t="s">
        <v>3530</v>
      </c>
      <c r="B1065" s="2122">
        <f>'Part VII-Pro Forma'!B37</f>
        <v>2.2359109629063139</v>
      </c>
      <c r="C1065" s="2122">
        <f>'Part VII-Pro Forma'!C37</f>
        <v>2.2128417676082472</v>
      </c>
      <c r="D1065" s="2122">
        <f>'Part VII-Pro Forma'!D37</f>
        <v>2.1873245906828553</v>
      </c>
      <c r="E1065" s="2122">
        <f>'Part VII-Pro Forma'!E37</f>
        <v>2.1592088369097744</v>
      </c>
      <c r="F1065" s="2122">
        <f>'Part VII-Pro Forma'!F37</f>
        <v>2.1283399732105521</v>
      </c>
      <c r="G1065" s="2122">
        <f>'Part VII-Pro Forma'!G37</f>
        <v>2.0946497402836721</v>
      </c>
      <c r="H1065" s="2122">
        <f>'Part VII-Pro Forma'!H37</f>
        <v>2.0579753240971774</v>
      </c>
      <c r="I1065" s="2122">
        <f>'Part VII-Pro Forma'!I37</f>
        <v>2.0182399040238006</v>
      </c>
      <c r="J1065" s="2122">
        <f>'Part VII-Pro Forma'!J37</f>
        <v>1.9752718152835529</v>
      </c>
      <c r="K1065" s="2122">
        <f>'Part VII-Pro Forma'!K37</f>
        <v>1.9289399151073181</v>
      </c>
      <c r="N1065" s="1910"/>
      <c r="O1065" s="1910"/>
      <c r="Q1065" s="1874">
        <v>18</v>
      </c>
      <c r="R1065" s="1900">
        <f>'Part VII-Pro Forma'!R37</f>
        <v>29528.725701423235</v>
      </c>
      <c r="S1065" s="1900">
        <f>'Part VII-Pro Forma'!S37</f>
        <v>344973.68056297145</v>
      </c>
    </row>
    <row r="1066" spans="1:19" ht="13.35" customHeight="1">
      <c r="A1066" s="1995" t="s">
        <v>751</v>
      </c>
      <c r="B1066" s="2122">
        <f>'Part VII-Pro Forma'!B38</f>
        <v>1.2999674003684669</v>
      </c>
      <c r="C1066" s="2122">
        <f>'Part VII-Pro Forma'!C38</f>
        <v>1.2884793609094087</v>
      </c>
      <c r="D1066" s="2122">
        <f>'Part VII-Pro Forma'!D38</f>
        <v>1.2770905182489722</v>
      </c>
      <c r="E1066" s="2122">
        <f>'Part VII-Pro Forma'!E38</f>
        <v>1.2657932918657211</v>
      </c>
      <c r="F1066" s="2122">
        <f>'Part VII-Pro Forma'!F38</f>
        <v>1.2545810920853899</v>
      </c>
      <c r="G1066" s="2122">
        <f>'Part VII-Pro Forma'!G38</f>
        <v>1.2434612878622022</v>
      </c>
      <c r="H1066" s="2122">
        <f>'Part VII-Pro Forma'!H38</f>
        <v>1.2324275623517542</v>
      </c>
      <c r="I1066" s="2122">
        <f>'Part VII-Pro Forma'!I38</f>
        <v>1.2214865560287191</v>
      </c>
      <c r="J1066" s="2122">
        <f>'Part VII-Pro Forma'!J38</f>
        <v>1.2106322248925738</v>
      </c>
      <c r="K1066" s="2122">
        <f>'Part VII-Pro Forma'!K38</f>
        <v>1.1998649358521625</v>
      </c>
      <c r="N1066" s="1910"/>
      <c r="O1066" s="1910"/>
      <c r="Q1066" s="1874">
        <v>19</v>
      </c>
      <c r="R1066" s="1900">
        <f>'Part VII-Pro Forma'!R38</f>
        <v>29528.725701423235</v>
      </c>
      <c r="S1066" s="1900">
        <f>'Part VII-Pro Forma'!S38</f>
        <v>374540.62945228501</v>
      </c>
    </row>
    <row r="1067" spans="1:19" ht="13.35" customHeight="1">
      <c r="A1067" s="1995" t="s">
        <v>2548</v>
      </c>
      <c r="B1067" s="2122">
        <f>'Part VII-Pro Forma'!B39</f>
        <v>368678.00091388536</v>
      </c>
      <c r="C1067" s="2122">
        <f>'Part VII-Pro Forma'!C39</f>
        <v>362082.02082486701</v>
      </c>
      <c r="D1067" s="2122">
        <f>'Part VII-Pro Forma'!D39</f>
        <v>355200.18602196692</v>
      </c>
      <c r="E1067" s="2122">
        <f>'Part VII-Pro Forma'!E39</f>
        <v>348020.10821468907</v>
      </c>
      <c r="F1067" s="2122">
        <f>'Part VII-Pro Forma'!F39</f>
        <v>340528.86223231844</v>
      </c>
      <c r="G1067" s="2122">
        <f>'Part VII-Pro Forma'!G39</f>
        <v>332712.96275675826</v>
      </c>
      <c r="H1067" s="2122">
        <f>'Part VII-Pro Forma'!H39</f>
        <v>324558.3400470218</v>
      </c>
      <c r="I1067" s="2122">
        <f>'Part VII-Pro Forma'!I39</f>
        <v>316050.31461167883</v>
      </c>
      <c r="J1067" s="2122">
        <f>'Part VII-Pro Forma'!J39</f>
        <v>307173.57078366395</v>
      </c>
      <c r="K1067" s="2122">
        <f>'Part VII-Pro Forma'!K39</f>
        <v>297912.12914987741</v>
      </c>
      <c r="N1067" s="1910"/>
      <c r="O1067" s="1910"/>
      <c r="Q1067" s="1874">
        <v>20</v>
      </c>
      <c r="R1067" s="1900">
        <f>'Part VII-Pro Forma'!R39</f>
        <v>29528.725701423235</v>
      </c>
      <c r="S1067" s="1900">
        <f>'Part VII-Pro Forma'!S39</f>
        <v>402145.30689783924</v>
      </c>
    </row>
    <row r="1068" spans="1:19" ht="13.35" customHeight="1">
      <c r="A1068" s="1995" t="s">
        <v>2549</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2550</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763</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7671.2742985767654</v>
      </c>
      <c r="C1071" s="2122">
        <f>'Part VII-Pro Forma'!C43</f>
        <v>2.2742985767654318</v>
      </c>
      <c r="D1071" s="2122">
        <f>'Part VII-Pro Forma'!D43</f>
        <v>2.2742985767654318</v>
      </c>
      <c r="E1071" s="2122">
        <f>'Part VII-Pro Forma'!E43</f>
        <v>2.2742985767654318</v>
      </c>
      <c r="F1071" s="2122">
        <f>'Part VII-Pro Forma'!F43</f>
        <v>2.2742985767654318</v>
      </c>
      <c r="G1071" s="2122">
        <f>'Part VII-Pro Forma'!G43</f>
        <v>2.2742985767654318</v>
      </c>
      <c r="H1071" s="2122">
        <f>'Part VII-Pro Forma'!H43</f>
        <v>2.2742985767654318</v>
      </c>
      <c r="I1071" s="2122">
        <f>'Part VII-Pro Forma'!I43</f>
        <v>2.2742985767654318</v>
      </c>
      <c r="J1071" s="2122">
        <f>'Part VII-Pro Forma'!J43</f>
        <v>2.2742985767654318</v>
      </c>
      <c r="K1071" s="2122">
        <f>'Part VII-Pro Forma'!K43</f>
        <v>2.2742985767654318</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2414</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2552</v>
      </c>
    </row>
    <row r="1074" spans="1:19" ht="13.35" customHeight="1">
      <c r="A1074" s="1995" t="s">
        <v>2340</v>
      </c>
      <c r="B1074" s="2122">
        <f>'Part VII-Pro Forma'!B46</f>
        <v>275648.77020457445</v>
      </c>
      <c r="C1074" s="2122">
        <f>'Part VII-Pro Forma'!C46</f>
        <v>281161.74560866586</v>
      </c>
      <c r="D1074" s="2122">
        <f>'Part VII-Pro Forma'!D46</f>
        <v>286784.98052083922</v>
      </c>
      <c r="E1074" s="2122">
        <f>'Part VII-Pro Forma'!E46</f>
        <v>292520.680131256</v>
      </c>
      <c r="F1074" s="2122">
        <f>'Part VII-Pro Forma'!F46</f>
        <v>298371.09373388113</v>
      </c>
      <c r="G1074" s="2122">
        <f>'Part VII-Pro Forma'!G46</f>
        <v>304338.51560855866</v>
      </c>
      <c r="H1074" s="2122">
        <f>'Part VII-Pro Forma'!H46</f>
        <v>310425.28592072992</v>
      </c>
      <c r="I1074" s="2122">
        <f>'Part VII-Pro Forma'!I46</f>
        <v>316633.79163914453</v>
      </c>
      <c r="J1074" s="2122">
        <f>'Part VII-Pro Forma'!J46</f>
        <v>322966.4674719274</v>
      </c>
      <c r="K1074" s="2122">
        <f>'Part VII-Pro Forma'!K46</f>
        <v>329425.79682136595</v>
      </c>
      <c r="N1074" s="1910"/>
      <c r="O1074" s="1910"/>
    </row>
    <row r="1075" spans="1:19" ht="13.35" customHeight="1">
      <c r="A1075" s="1995" t="s">
        <v>993</v>
      </c>
      <c r="B1075" s="2122">
        <f>'Part VII-Pro Forma'!B47</f>
        <v>5512.9754040914895</v>
      </c>
      <c r="C1075" s="2122">
        <f>'Part VII-Pro Forma'!C47</f>
        <v>5623.2349121733178</v>
      </c>
      <c r="D1075" s="2122">
        <f>'Part VII-Pro Forma'!D47</f>
        <v>5735.6996104167856</v>
      </c>
      <c r="E1075" s="2122">
        <f>'Part VII-Pro Forma'!E47</f>
        <v>5850.4136026251208</v>
      </c>
      <c r="F1075" s="2122">
        <f>'Part VII-Pro Forma'!F47</f>
        <v>5967.4218746776232</v>
      </c>
      <c r="G1075" s="2122">
        <f>'Part VII-Pro Forma'!G47</f>
        <v>6086.7703121711747</v>
      </c>
      <c r="H1075" s="2122">
        <f>'Part VII-Pro Forma'!H47</f>
        <v>6208.505718414599</v>
      </c>
      <c r="I1075" s="2122">
        <f>'Part VII-Pro Forma'!I47</f>
        <v>6332.6758327828911</v>
      </c>
      <c r="J1075" s="2122">
        <f>'Part VII-Pro Forma'!J47</f>
        <v>6459.3293494385489</v>
      </c>
      <c r="K1075" s="2122">
        <f>'Part VII-Pro Forma'!K47</f>
        <v>6588.5159364273195</v>
      </c>
      <c r="N1075" s="1910"/>
      <c r="O1075" s="1910"/>
    </row>
    <row r="1076" spans="1:19" ht="13.35" customHeight="1">
      <c r="A1076" s="1995" t="s">
        <v>2341</v>
      </c>
      <c r="B1076" s="2122">
        <f>'Part VII-Pro Forma'!B48</f>
        <v>-19681.322192606618</v>
      </c>
      <c r="C1076" s="2122">
        <f>'Part VII-Pro Forma'!C48</f>
        <v>-20074.948636458743</v>
      </c>
      <c r="D1076" s="2122">
        <f>'Part VII-Pro Forma'!D48</f>
        <v>-20476.447609187922</v>
      </c>
      <c r="E1076" s="2122">
        <f>'Part VII-Pro Forma'!E48</f>
        <v>-20885.976561371681</v>
      </c>
      <c r="F1076" s="2122">
        <f>'Part VII-Pro Forma'!F48</f>
        <v>-21303.696092599115</v>
      </c>
      <c r="G1076" s="2122">
        <f>'Part VII-Pro Forma'!G48</f>
        <v>-21729.770014451093</v>
      </c>
      <c r="H1076" s="2122">
        <f>'Part VII-Pro Forma'!H48</f>
        <v>-22164.365414740118</v>
      </c>
      <c r="I1076" s="2122">
        <f>'Part VII-Pro Forma'!I48</f>
        <v>-22607.65272303492</v>
      </c>
      <c r="J1076" s="2122">
        <f>'Part VII-Pro Forma'!J48</f>
        <v>-23059.805777495618</v>
      </c>
      <c r="K1076" s="2122">
        <f>'Part VII-Pro Forma'!K48</f>
        <v>-23521.001893045534</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261480.42341605929</v>
      </c>
      <c r="C1079" s="2122">
        <f>'Part VII-Pro Forma'!C51</f>
        <v>266710.03188438044</v>
      </c>
      <c r="D1079" s="2122">
        <f>'Part VII-Pro Forma'!D51</f>
        <v>272044.23252206808</v>
      </c>
      <c r="E1079" s="2122">
        <f>'Part VII-Pro Forma'!E51</f>
        <v>277485.11717250943</v>
      </c>
      <c r="F1079" s="2122">
        <f>'Part VII-Pro Forma'!F51</f>
        <v>283034.81951595965</v>
      </c>
      <c r="G1079" s="2122">
        <f>'Part VII-Pro Forma'!G51</f>
        <v>288695.51590627874</v>
      </c>
      <c r="H1079" s="2122">
        <f>'Part VII-Pro Forma'!H51</f>
        <v>294469.42622440442</v>
      </c>
      <c r="I1079" s="2122">
        <f>'Part VII-Pro Forma'!I51</f>
        <v>300358.8147488925</v>
      </c>
      <c r="J1079" s="2122">
        <f>'Part VII-Pro Forma'!J51</f>
        <v>306365.99104387034</v>
      </c>
      <c r="K1079" s="2122">
        <f>'Part VII-Pro Forma'!K51</f>
        <v>312493.31086474773</v>
      </c>
      <c r="N1079" s="1910"/>
      <c r="O1079" s="1910"/>
    </row>
    <row r="1080" spans="1:19" ht="13.35" customHeight="1">
      <c r="A1080" s="1995" t="s">
        <v>596</v>
      </c>
      <c r="B1080" s="2122">
        <f>'Part VII-Pro Forma'!B52</f>
        <v>-182763.22017614514</v>
      </c>
      <c r="C1080" s="2122">
        <f>'Part VII-Pro Forma'!C52</f>
        <v>-188246.1167814295</v>
      </c>
      <c r="D1080" s="2122">
        <f>'Part VII-Pro Forma'!D52</f>
        <v>-193893.50028487237</v>
      </c>
      <c r="E1080" s="2122">
        <f>'Part VII-Pro Forma'!E52</f>
        <v>-199710.30529341853</v>
      </c>
      <c r="F1080" s="2122">
        <f>'Part VII-Pro Forma'!F52</f>
        <v>-205701.61445222111</v>
      </c>
      <c r="G1080" s="2122">
        <f>'Part VII-Pro Forma'!G52</f>
        <v>-211872.66288578775</v>
      </c>
      <c r="H1080" s="2122">
        <f>'Part VII-Pro Forma'!H52</f>
        <v>-218228.84277236136</v>
      </c>
      <c r="I1080" s="2122">
        <f>'Part VII-Pro Forma'!I52</f>
        <v>-224775.70805553219</v>
      </c>
      <c r="J1080" s="2122">
        <f>'Part VII-Pro Forma'!J52</f>
        <v>-231518.97929719815</v>
      </c>
      <c r="K1080" s="2122">
        <f>'Part VII-Pro Forma'!K52</f>
        <v>-238464.54867611409</v>
      </c>
      <c r="N1080" s="1910"/>
      <c r="O1080" s="1910"/>
    </row>
    <row r="1081" spans="1:19" ht="13.35" customHeight="1">
      <c r="A1081" s="1995" t="s">
        <v>1092</v>
      </c>
      <c r="B1081" s="2122">
        <f>'Part VII-Pro Forma'!B53</f>
        <v>-18304</v>
      </c>
      <c r="C1081" s="2122">
        <f>'Part VII-Pro Forma'!C53</f>
        <v>-18670</v>
      </c>
      <c r="D1081" s="2122">
        <f>'Part VII-Pro Forma'!D53</f>
        <v>-19043</v>
      </c>
      <c r="E1081" s="2122">
        <f>'Part VII-Pro Forma'!E53</f>
        <v>-19424</v>
      </c>
      <c r="F1081" s="2122">
        <f>'Part VII-Pro Forma'!F53</f>
        <v>-19812</v>
      </c>
      <c r="G1081" s="2122">
        <f>'Part VII-Pro Forma'!G53</f>
        <v>-20209</v>
      </c>
      <c r="H1081" s="2122">
        <f>'Part VII-Pro Forma'!H53</f>
        <v>-20613</v>
      </c>
      <c r="I1081" s="2122">
        <f>'Part VII-Pro Forma'!I53</f>
        <v>-21025</v>
      </c>
      <c r="J1081" s="2122">
        <f>'Part VII-Pro Forma'!J53</f>
        <v>-21446</v>
      </c>
      <c r="K1081" s="2122">
        <f>'Part VII-Pro Forma'!K53</f>
        <v>-21875</v>
      </c>
      <c r="N1081" s="1910"/>
      <c r="O1081" s="1910"/>
    </row>
    <row r="1082" spans="1:19" ht="13.35" customHeight="1">
      <c r="A1082" s="1995" t="s">
        <v>1175</v>
      </c>
      <c r="B1082" s="2122">
        <f>'Part VII-Pro Forma'!B54</f>
        <v>-18814.829310817706</v>
      </c>
      <c r="C1082" s="2122">
        <f>'Part VII-Pro Forma'!C54</f>
        <v>-19379.274190142238</v>
      </c>
      <c r="D1082" s="2122">
        <f>'Part VII-Pro Forma'!D54</f>
        <v>-19960.6524158465</v>
      </c>
      <c r="E1082" s="2122">
        <f>'Part VII-Pro Forma'!E54</f>
        <v>-20559.471988321893</v>
      </c>
      <c r="F1082" s="2122">
        <f>'Part VII-Pro Forma'!F54</f>
        <v>-21176.256147971555</v>
      </c>
      <c r="G1082" s="2122">
        <f>'Part VII-Pro Forma'!G54</f>
        <v>-21811.543832410702</v>
      </c>
      <c r="H1082" s="2122">
        <f>'Part VII-Pro Forma'!H54</f>
        <v>-22465.890147383019</v>
      </c>
      <c r="I1082" s="2122">
        <f>'Part VII-Pro Forma'!I54</f>
        <v>-23139.866851804509</v>
      </c>
      <c r="J1082" s="2122">
        <f>'Part VII-Pro Forma'!J54</f>
        <v>-23834.062857358644</v>
      </c>
      <c r="K1082" s="2122">
        <f>'Part VII-Pro Forma'!K54</f>
        <v>-24549.084743079406</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1176</v>
      </c>
      <c r="B1084" s="2122">
        <f>'Part VII-Pro Forma'!B56</f>
        <v>41598.373929096444</v>
      </c>
      <c r="C1084" s="2122">
        <f>'Part VII-Pro Forma'!C56</f>
        <v>40414.640912808696</v>
      </c>
      <c r="D1084" s="2122">
        <f>'Part VII-Pro Forma'!D56</f>
        <v>39147.079821349209</v>
      </c>
      <c r="E1084" s="2122">
        <f>'Part VII-Pro Forma'!E56</f>
        <v>37791.339890769013</v>
      </c>
      <c r="F1084" s="2122">
        <f>'Part VII-Pro Forma'!F56</f>
        <v>36344.948915766989</v>
      </c>
      <c r="G1084" s="2122">
        <f>'Part VII-Pro Forma'!G56</f>
        <v>34802.309188080289</v>
      </c>
      <c r="H1084" s="2122">
        <f>'Part VII-Pro Forma'!H56</f>
        <v>33161.693304660046</v>
      </c>
      <c r="I1084" s="2122">
        <f>'Part VII-Pro Forma'!I56</f>
        <v>31418.239841555805</v>
      </c>
      <c r="J1084" s="2122">
        <f>'Part VII-Pro Forma'!J56</f>
        <v>29566.948889313542</v>
      </c>
      <c r="K1084" s="2122">
        <f>'Part VII-Pro Forma'!K56</f>
        <v>27604.677445554236</v>
      </c>
      <c r="N1084" s="1910"/>
      <c r="O1084" s="1910"/>
    </row>
    <row r="1085" spans="1:19" ht="13.35" customHeight="1">
      <c r="A1085" s="1995" t="str">
        <f>$A1053</f>
        <v>Mortgage A</v>
      </c>
      <c r="B1085" s="2122">
        <f>'Part VII-Pro Forma'!B57</f>
        <v>-22137.295098576764</v>
      </c>
      <c r="C1085" s="2122">
        <f>'Part VII-Pro Forma'!C57</f>
        <v>-22137.295098576764</v>
      </c>
      <c r="D1085" s="2122">
        <f>'Part VII-Pro Forma'!D57</f>
        <v>-22137.295098576764</v>
      </c>
      <c r="E1085" s="2122">
        <f>'Part VII-Pro Forma'!E57</f>
        <v>-22137.295098576764</v>
      </c>
      <c r="F1085" s="2122">
        <f>'Part VII-Pro Forma'!F57</f>
        <v>-22137.295098576764</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744</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1140</v>
      </c>
      <c r="B1090" s="2122">
        <f>'Part VII-Pro Forma'!B62</f>
        <v>-5500</v>
      </c>
      <c r="C1090" s="2122">
        <f>'Part VII-Pro Forma'!C62</f>
        <v>-5500</v>
      </c>
      <c r="D1090" s="2122">
        <f>'Part VII-Pro Forma'!D62</f>
        <v>-5500</v>
      </c>
      <c r="E1090" s="2122">
        <f>'Part VII-Pro Forma'!E62</f>
        <v>-5500</v>
      </c>
      <c r="F1090" s="2122">
        <f>'Part VII-Pro Forma'!F62</f>
        <v>-5500</v>
      </c>
      <c r="G1090" s="2122">
        <f>'Part VII-Pro Forma'!G62</f>
        <v>0</v>
      </c>
      <c r="H1090" s="2122">
        <f>'Part VII-Pro Forma'!H62</f>
        <v>0</v>
      </c>
      <c r="I1090" s="2122">
        <f>'Part VII-Pro Forma'!I62</f>
        <v>0</v>
      </c>
      <c r="J1090" s="2122">
        <f>'Part VII-Pro Forma'!J62</f>
        <v>0</v>
      </c>
      <c r="K1090" s="2122">
        <f>'Part VII-Pro Forma'!K62</f>
        <v>0</v>
      </c>
      <c r="N1090" s="1910"/>
      <c r="O1090" s="1910"/>
    </row>
    <row r="1091" spans="1:18" ht="13.35" customHeight="1">
      <c r="A1091" s="1995" t="s">
        <v>3767</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1141</v>
      </c>
      <c r="B1092" s="2122">
        <f>'Part VII-Pro Forma'!B64</f>
        <v>13961.07883051968</v>
      </c>
      <c r="C1092" s="2122">
        <f>'Part VII-Pro Forma'!C64</f>
        <v>12777.345814231932</v>
      </c>
      <c r="D1092" s="2122">
        <f>'Part VII-Pro Forma'!D64</f>
        <v>11509.784722772445</v>
      </c>
      <c r="E1092" s="2122">
        <f>'Part VII-Pro Forma'!E64</f>
        <v>10154.04479219225</v>
      </c>
      <c r="F1092" s="2122">
        <f>'Part VII-Pro Forma'!F64</f>
        <v>8707.6538171902248</v>
      </c>
      <c r="G1092" s="2122">
        <f>'Part VII-Pro Forma'!G64</f>
        <v>34802.309188080289</v>
      </c>
      <c r="H1092" s="2122">
        <f>'Part VII-Pro Forma'!H64</f>
        <v>33161.693304660046</v>
      </c>
      <c r="I1092" s="2122">
        <f>'Part VII-Pro Forma'!I64</f>
        <v>31418.239841555805</v>
      </c>
      <c r="J1092" s="2122">
        <f>'Part VII-Pro Forma'!J64</f>
        <v>29566.948889313542</v>
      </c>
      <c r="K1092" s="2122">
        <f>'Part VII-Pro Forma'!K64</f>
        <v>27604.677445554236</v>
      </c>
      <c r="N1092" s="1910"/>
      <c r="O1092" s="1910"/>
    </row>
    <row r="1093" spans="1:18" ht="13.35" customHeight="1">
      <c r="A1093" s="1995" t="str">
        <f>$A1061</f>
        <v>DCR Mortgage A</v>
      </c>
      <c r="B1093" s="2122">
        <f>'Part VII-Pro Forma'!B65</f>
        <v>1.8791082534636701</v>
      </c>
      <c r="C1093" s="2122">
        <f>'Part VII-Pro Forma'!C65</f>
        <v>1.8256359113813778</v>
      </c>
      <c r="D1093" s="2122">
        <f>'Part VII-Pro Forma'!D65</f>
        <v>1.768376834072471</v>
      </c>
      <c r="E1093" s="2122">
        <f>'Part VII-Pro Forma'!E65</f>
        <v>1.7071344860555555</v>
      </c>
      <c r="F1093" s="2122">
        <f>'Part VII-Pro Forma'!F65</f>
        <v>1.6417971912974885</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3530</v>
      </c>
      <c r="B1097" s="2122">
        <f>'Part VII-Pro Forma'!B69</f>
        <v>1.8791082534636701</v>
      </c>
      <c r="C1097" s="2122">
        <f>'Part VII-Pro Forma'!C69</f>
        <v>1.8256359113813778</v>
      </c>
      <c r="D1097" s="2122">
        <f>'Part VII-Pro Forma'!D69</f>
        <v>1.768376834072471</v>
      </c>
      <c r="E1097" s="2122">
        <f>'Part VII-Pro Forma'!E69</f>
        <v>1.7071344860555555</v>
      </c>
      <c r="F1097" s="2122">
        <f>'Part VII-Pro Forma'!F69</f>
        <v>1.6417971912974885</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751</v>
      </c>
      <c r="B1098" s="2122">
        <f>'Part VII-Pro Forma'!B70</f>
        <v>1.189184947230369</v>
      </c>
      <c r="C1098" s="2122">
        <f>'Part VII-Pro Forma'!C70</f>
        <v>1.1785924173678191</v>
      </c>
      <c r="D1098" s="2122">
        <f>'Part VII-Pro Forma'!D70</f>
        <v>1.168087412694369</v>
      </c>
      <c r="E1098" s="2122">
        <f>'Part VII-Pro Forma'!E70</f>
        <v>1.1576650855076158</v>
      </c>
      <c r="F1098" s="2122">
        <f>'Part VII-Pro Forma'!F70</f>
        <v>1.147330528113458</v>
      </c>
      <c r="G1098" s="2122">
        <f>'Part VII-Pro Forma'!G70</f>
        <v>1.1370745977725514</v>
      </c>
      <c r="H1098" s="2122">
        <f>'Part VII-Pro Forma'!H70</f>
        <v>1.1269066664584511</v>
      </c>
      <c r="I1098" s="2122">
        <f>'Part VII-Pro Forma'!I70</f>
        <v>1.1168222379697856</v>
      </c>
      <c r="J1098" s="2122">
        <f>'Part VII-Pro Forma'!J70</f>
        <v>1.1068173815168196</v>
      </c>
      <c r="K1098" s="2122">
        <f>'Part VII-Pro Forma'!K70</f>
        <v>1.0968963805759702</v>
      </c>
      <c r="N1098" s="1910"/>
      <c r="O1098" s="1910"/>
    </row>
    <row r="1099" spans="1:18" ht="13.35" customHeight="1">
      <c r="A1099" s="1995" t="s">
        <v>2548</v>
      </c>
      <c r="B1099" s="2122">
        <f>'Part VII-Pro Forma'!B71</f>
        <v>288249.31778594776</v>
      </c>
      <c r="C1099" s="2122">
        <f>'Part VII-Pro Forma'!C71</f>
        <v>278167.74224437476</v>
      </c>
      <c r="D1099" s="2122">
        <f>'Part VII-Pro Forma'!D71</f>
        <v>267649.25424202712</v>
      </c>
      <c r="E1099" s="2122">
        <f>'Part VII-Pro Forma'!E71</f>
        <v>256674.91899062763</v>
      </c>
      <c r="F1099" s="2122">
        <f>'Part VII-Pro Forma'!F71</f>
        <v>245224.98111141636</v>
      </c>
      <c r="G1099" s="2122">
        <f>'Part VII-Pro Forma'!G71</f>
        <v>0</v>
      </c>
      <c r="H1099" s="2122">
        <f>'Part VII-Pro Forma'!H71</f>
        <v>0</v>
      </c>
      <c r="I1099" s="2122">
        <f>'Part VII-Pro Forma'!I71</f>
        <v>0</v>
      </c>
      <c r="J1099" s="2122">
        <f>'Part VII-Pro Forma'!J71</f>
        <v>0</v>
      </c>
      <c r="K1099" s="2122">
        <f>'Part VII-Pro Forma'!K71</f>
        <v>0</v>
      </c>
      <c r="N1099" s="1910"/>
      <c r="O1099" s="1910"/>
    </row>
    <row r="1100" spans="1:18" ht="13.35" customHeight="1">
      <c r="A1100" s="1995" t="s">
        <v>2549</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2550</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763</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2.2742985767654318</v>
      </c>
      <c r="C1103" s="2122">
        <f>'Part VII-Pro Forma'!C75</f>
        <v>2.2742985767654318</v>
      </c>
      <c r="D1103" s="2122">
        <f>'Part VII-Pro Forma'!D75</f>
        <v>2.2742985767654318</v>
      </c>
      <c r="E1103" s="2122">
        <f>'Part VII-Pro Forma'!E75</f>
        <v>2.2742985767654318</v>
      </c>
      <c r="F1103" s="2122">
        <f>'Part VII-Pro Forma'!F75</f>
        <v>2.2742985767654318</v>
      </c>
      <c r="G1103" s="2122">
        <f>'Part VII-Pro Forma'!G75</f>
        <v>2.2742985767654318</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2414</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2553</v>
      </c>
    </row>
    <row r="1106" spans="1:19" ht="13.35" customHeight="1">
      <c r="A1106" s="1995" t="s">
        <v>2340</v>
      </c>
      <c r="B1106" s="2122">
        <f>'Part VII-Pro Forma'!B78</f>
        <v>336014.31275779329</v>
      </c>
      <c r="C1106" s="2122">
        <f>'Part VII-Pro Forma'!C78</f>
        <v>342734.59901294915</v>
      </c>
      <c r="D1106" s="2122">
        <f>'Part VII-Pro Forma'!D78</f>
        <v>349589.29099320812</v>
      </c>
      <c r="E1106" s="2122">
        <f>'Part VII-Pro Forma'!E78</f>
        <v>356581.0768130722</v>
      </c>
      <c r="F1106" s="2122">
        <f>'Part VII-Pro Forma'!F78</f>
        <v>363712.69834933366</v>
      </c>
      <c r="G1106" s="2122">
        <f>'Part VII-Pro Forma'!G78</f>
        <v>370986.95231632038</v>
      </c>
      <c r="H1106" s="2122">
        <f>'Part VII-Pro Forma'!H78</f>
        <v>378406.69136264682</v>
      </c>
      <c r="I1106" s="2122">
        <f>'Part VII-Pro Forma'!I78</f>
        <v>385974.82518989965</v>
      </c>
      <c r="J1106" s="2122">
        <f>'Part VII-Pro Forma'!J78</f>
        <v>393694.32169369777</v>
      </c>
      <c r="K1106" s="2122">
        <f>'Part VII-Pro Forma'!K78</f>
        <v>401568.20812757162</v>
      </c>
      <c r="N1106" s="1910"/>
      <c r="O1106" s="1910"/>
    </row>
    <row r="1107" spans="1:19" ht="13.35" customHeight="1">
      <c r="A1107" s="1995" t="s">
        <v>993</v>
      </c>
      <c r="B1107" s="2122">
        <f>'Part VII-Pro Forma'!B79</f>
        <v>6720.2862551558665</v>
      </c>
      <c r="C1107" s="2122">
        <f>'Part VII-Pro Forma'!C79</f>
        <v>6854.6919802589828</v>
      </c>
      <c r="D1107" s="2122">
        <f>'Part VII-Pro Forma'!D79</f>
        <v>6991.7858198641634</v>
      </c>
      <c r="E1107" s="2122">
        <f>'Part VII-Pro Forma'!E79</f>
        <v>7131.6215362614448</v>
      </c>
      <c r="F1107" s="2122">
        <f>'Part VII-Pro Forma'!F79</f>
        <v>7274.2539669866746</v>
      </c>
      <c r="G1107" s="2122">
        <f>'Part VII-Pro Forma'!G79</f>
        <v>7419.7390463264082</v>
      </c>
      <c r="H1107" s="2122">
        <f>'Part VII-Pro Forma'!H79</f>
        <v>7568.1338272529365</v>
      </c>
      <c r="I1107" s="2122">
        <f>'Part VII-Pro Forma'!I79</f>
        <v>7719.4965037979946</v>
      </c>
      <c r="J1107" s="2122">
        <f>'Part VII-Pro Forma'!J79</f>
        <v>7873.8864338739559</v>
      </c>
      <c r="K1107" s="2122">
        <f>'Part VII-Pro Forma'!K79</f>
        <v>8031.3641625514338</v>
      </c>
      <c r="N1107" s="1910"/>
      <c r="O1107" s="1910"/>
    </row>
    <row r="1108" spans="1:19" ht="13.35" customHeight="1">
      <c r="A1108" s="1995" t="s">
        <v>2341</v>
      </c>
      <c r="B1108" s="2122">
        <f>'Part VII-Pro Forma'!B80</f>
        <v>-23991.421930906443</v>
      </c>
      <c r="C1108" s="2122">
        <f>'Part VII-Pro Forma'!C80</f>
        <v>-24471.250369524572</v>
      </c>
      <c r="D1108" s="2122">
        <f>'Part VII-Pro Forma'!D80</f>
        <v>-24960.675376915064</v>
      </c>
      <c r="E1108" s="2122">
        <f>'Part VII-Pro Forma'!E80</f>
        <v>-25459.888884453358</v>
      </c>
      <c r="F1108" s="2122">
        <f>'Part VII-Pro Forma'!F80</f>
        <v>-25969.086662142425</v>
      </c>
      <c r="G1108" s="2122">
        <f>'Part VII-Pro Forma'!G80</f>
        <v>-26488.46839538528</v>
      </c>
      <c r="H1108" s="2122">
        <f>'Part VII-Pro Forma'!H80</f>
        <v>-27018.237763292986</v>
      </c>
      <c r="I1108" s="2122">
        <f>'Part VII-Pro Forma'!I80</f>
        <v>-27558.602518558837</v>
      </c>
      <c r="J1108" s="2122">
        <f>'Part VII-Pro Forma'!J80</f>
        <v>-28109.774568930025</v>
      </c>
      <c r="K1108" s="2122">
        <f>'Part VII-Pro Forma'!K80</f>
        <v>-28671.970060308617</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318743.17708204273</v>
      </c>
      <c r="C1111" s="2122">
        <f>'Part VII-Pro Forma'!C83</f>
        <v>325118.04062368354</v>
      </c>
      <c r="D1111" s="2122">
        <f>'Part VII-Pro Forma'!D83</f>
        <v>331620.40143615723</v>
      </c>
      <c r="E1111" s="2122">
        <f>'Part VII-Pro Forma'!E83</f>
        <v>338252.80946488032</v>
      </c>
      <c r="F1111" s="2122">
        <f>'Part VII-Pro Forma'!F83</f>
        <v>345017.86565417791</v>
      </c>
      <c r="G1111" s="2122">
        <f>'Part VII-Pro Forma'!G83</f>
        <v>351918.22296726156</v>
      </c>
      <c r="H1111" s="2122">
        <f>'Part VII-Pro Forma'!H83</f>
        <v>358956.5874266068</v>
      </c>
      <c r="I1111" s="2122">
        <f>'Part VII-Pro Forma'!I83</f>
        <v>366135.7191751388</v>
      </c>
      <c r="J1111" s="2122">
        <f>'Part VII-Pro Forma'!J83</f>
        <v>373458.4335586417</v>
      </c>
      <c r="K1111" s="2122">
        <f>'Part VII-Pro Forma'!K83</f>
        <v>380927.60222981439</v>
      </c>
      <c r="N1111" s="1910"/>
      <c r="O1111" s="1910"/>
    </row>
    <row r="1112" spans="1:19" ht="13.35" customHeight="1">
      <c r="A1112" s="1995" t="s">
        <v>596</v>
      </c>
      <c r="B1112" s="2122">
        <f>'Part VII-Pro Forma'!B84</f>
        <v>-245618.4851363975</v>
      </c>
      <c r="C1112" s="2122">
        <f>'Part VII-Pro Forma'!C84</f>
        <v>-252987.03969048942</v>
      </c>
      <c r="D1112" s="2122">
        <f>'Part VII-Pro Forma'!D84</f>
        <v>-260576.65088120411</v>
      </c>
      <c r="E1112" s="2122">
        <f>'Part VII-Pro Forma'!E84</f>
        <v>-268393.95040764025</v>
      </c>
      <c r="F1112" s="2122">
        <f>'Part VII-Pro Forma'!F84</f>
        <v>-276445.76891986944</v>
      </c>
      <c r="G1112" s="2122">
        <f>'Part VII-Pro Forma'!G84</f>
        <v>-284739.1419874655</v>
      </c>
      <c r="H1112" s="2122">
        <f>'Part VII-Pro Forma'!H84</f>
        <v>-293281.31624708953</v>
      </c>
      <c r="I1112" s="2122">
        <f>'Part VII-Pro Forma'!I84</f>
        <v>-302079.75573450216</v>
      </c>
      <c r="J1112" s="2122">
        <f>'Part VII-Pro Forma'!J84</f>
        <v>-311142.14840653725</v>
      </c>
      <c r="K1112" s="2122">
        <f>'Part VII-Pro Forma'!K84</f>
        <v>-320476.41285873333</v>
      </c>
      <c r="N1112" s="1910"/>
      <c r="O1112" s="1910"/>
    </row>
    <row r="1113" spans="1:19" ht="13.35" customHeight="1">
      <c r="A1113" s="1995" t="s">
        <v>1092</v>
      </c>
      <c r="B1113" s="2122">
        <f>'Part VII-Pro Forma'!B85</f>
        <v>-22312</v>
      </c>
      <c r="C1113" s="2122">
        <f>'Part VII-Pro Forma'!C85</f>
        <v>-22758</v>
      </c>
      <c r="D1113" s="2122">
        <f>'Part VII-Pro Forma'!D85</f>
        <v>-23213</v>
      </c>
      <c r="E1113" s="2122">
        <f>'Part VII-Pro Forma'!E85</f>
        <v>-23678</v>
      </c>
      <c r="F1113" s="2122">
        <f>'Part VII-Pro Forma'!F85</f>
        <v>-24151</v>
      </c>
      <c r="G1113" s="2122">
        <f>'Part VII-Pro Forma'!G85</f>
        <v>-24634</v>
      </c>
      <c r="H1113" s="2122">
        <f>'Part VII-Pro Forma'!H85</f>
        <v>-25127</v>
      </c>
      <c r="I1113" s="2122">
        <f>'Part VII-Pro Forma'!I85</f>
        <v>-25630</v>
      </c>
      <c r="J1113" s="2122">
        <f>'Part VII-Pro Forma'!J85</f>
        <v>-26142</v>
      </c>
      <c r="K1113" s="2122">
        <f>'Part VII-Pro Forma'!K85</f>
        <v>-26665</v>
      </c>
      <c r="N1113" s="1910"/>
      <c r="O1113" s="1910"/>
    </row>
    <row r="1114" spans="1:19" ht="13.35" customHeight="1">
      <c r="A1114" s="1995" t="s">
        <v>1175</v>
      </c>
      <c r="B1114" s="2122">
        <f>'Part VII-Pro Forma'!B86</f>
        <v>-25285.557285371786</v>
      </c>
      <c r="C1114" s="2122">
        <f>'Part VII-Pro Forma'!C86</f>
        <v>-26044.124003932935</v>
      </c>
      <c r="D1114" s="2122">
        <f>'Part VII-Pro Forma'!D86</f>
        <v>-26825.447724050926</v>
      </c>
      <c r="E1114" s="2122">
        <f>'Part VII-Pro Forma'!E86</f>
        <v>-27630.211155772457</v>
      </c>
      <c r="F1114" s="2122">
        <f>'Part VII-Pro Forma'!F86</f>
        <v>-28459.117490445624</v>
      </c>
      <c r="G1114" s="2122">
        <f>'Part VII-Pro Forma'!G86</f>
        <v>-29312.891015158995</v>
      </c>
      <c r="H1114" s="2122">
        <f>'Part VII-Pro Forma'!H86</f>
        <v>-30192.277745613766</v>
      </c>
      <c r="I1114" s="2122">
        <f>'Part VII-Pro Forma'!I86</f>
        <v>-31098.046077982177</v>
      </c>
      <c r="J1114" s="2122">
        <f>'Part VII-Pro Forma'!J86</f>
        <v>-32030.987460321641</v>
      </c>
      <c r="K1114" s="2122">
        <f>'Part VII-Pro Forma'!K86</f>
        <v>-32991.917084131288</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1176</v>
      </c>
      <c r="B1116" s="2122">
        <f>'Part VII-Pro Forma'!B88</f>
        <v>25527.134660273445</v>
      </c>
      <c r="C1116" s="2122">
        <f>'Part VII-Pro Forma'!C88</f>
        <v>23328.876929261191</v>
      </c>
      <c r="D1116" s="2122">
        <f>'Part VII-Pro Forma'!D88</f>
        <v>21005.302830902194</v>
      </c>
      <c r="E1116" s="2122">
        <f>'Part VII-Pro Forma'!E88</f>
        <v>18550.647901467615</v>
      </c>
      <c r="F1116" s="2122">
        <f>'Part VII-Pro Forma'!F88</f>
        <v>15961.979243862839</v>
      </c>
      <c r="G1116" s="2122">
        <f>'Part VII-Pro Forma'!G88</f>
        <v>13232.189964637073</v>
      </c>
      <c r="H1116" s="2122">
        <f>'Part VII-Pro Forma'!H88</f>
        <v>10355.993433903499</v>
      </c>
      <c r="I1116" s="2122">
        <f>'Part VII-Pro Forma'!I88</f>
        <v>7327.9173626544616</v>
      </c>
      <c r="J1116" s="2122">
        <f>'Part VII-Pro Forma'!J88</f>
        <v>4143.2976917828091</v>
      </c>
      <c r="K1116" s="2122">
        <f>'Part VII-Pro Forma'!K88</f>
        <v>794.27228694978112</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744</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1140</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1141</v>
      </c>
      <c r="B1123" s="2122">
        <f>'Part VII-Pro Forma'!B95</f>
        <v>25527.134660273445</v>
      </c>
      <c r="C1123" s="2122">
        <f>'Part VII-Pro Forma'!C95</f>
        <v>23328.876929261191</v>
      </c>
      <c r="D1123" s="2122">
        <f>'Part VII-Pro Forma'!D95</f>
        <v>21005.302830902194</v>
      </c>
      <c r="E1123" s="2122">
        <f>'Part VII-Pro Forma'!E95</f>
        <v>18550.647901467615</v>
      </c>
      <c r="F1123" s="2122">
        <f>'Part VII-Pro Forma'!F95</f>
        <v>15961.979243862839</v>
      </c>
      <c r="G1123" s="2122">
        <f>'Part VII-Pro Forma'!G95</f>
        <v>13232.189964637073</v>
      </c>
      <c r="H1123" s="2122">
        <f>'Part VII-Pro Forma'!H95</f>
        <v>10355.993433903499</v>
      </c>
      <c r="I1123" s="2122">
        <f>'Part VII-Pro Forma'!I95</f>
        <v>7327.9173626544616</v>
      </c>
      <c r="J1123" s="2122">
        <f>'Part VII-Pro Forma'!J95</f>
        <v>4143.2976917828091</v>
      </c>
      <c r="K1123" s="2122">
        <f>'Part VII-Pro Forma'!K95</f>
        <v>794.27228694978112</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3530</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751</v>
      </c>
      <c r="B1129" s="2122">
        <f>'Part VII-Pro Forma'!B101</f>
        <v>1.087059133768522</v>
      </c>
      <c r="C1129" s="2122">
        <f>'Part VII-Pro Forma'!C101</f>
        <v>1.0773019038976592</v>
      </c>
      <c r="D1129" s="2122">
        <f>'Part VII-Pro Forma'!D101</f>
        <v>1.0676248608815915</v>
      </c>
      <c r="E1129" s="2122">
        <f>'Part VII-Pro Forma'!E101</f>
        <v>1.0580247809734877</v>
      </c>
      <c r="F1129" s="2122">
        <f>'Part VII-Pro Forma'!F101</f>
        <v>1.0485084142331953</v>
      </c>
      <c r="G1129" s="2122">
        <f>'Part VII-Pro Forma'!G101</f>
        <v>1.0390691929257516</v>
      </c>
      <c r="H1129" s="2122">
        <f>'Part VII-Pro Forma'!H101</f>
        <v>1.0297073315776399</v>
      </c>
      <c r="I1129" s="2122">
        <f>'Part VII-Pro Forma'!I101</f>
        <v>1.0204229599402193</v>
      </c>
      <c r="J1129" s="2122">
        <f>'Part VII-Pro Forma'!J101</f>
        <v>1.0112188678161202</v>
      </c>
      <c r="K1129" s="2122">
        <f>'Part VII-Pro Forma'!K101</f>
        <v>1.0020894571046142</v>
      </c>
      <c r="N1129" s="1910"/>
      <c r="O1129" s="1910"/>
    </row>
    <row r="1130" spans="1:15" ht="13.35" customHeight="1">
      <c r="A1130" s="1995" t="s">
        <v>2548</v>
      </c>
      <c r="B1130" s="2122">
        <f>'Part VII-Pro Forma'!B102</f>
        <v>0</v>
      </c>
      <c r="C1130" s="2122">
        <f>'Part VII-Pro Forma'!C102</f>
        <v>0</v>
      </c>
      <c r="D1130" s="2122">
        <f>'Part VII-Pro Forma'!D102</f>
        <v>0</v>
      </c>
      <c r="E1130" s="2122">
        <f>'Part VII-Pro Forma'!E102</f>
        <v>0</v>
      </c>
      <c r="F1130" s="2122">
        <f>'Part VII-Pro Forma'!F102</f>
        <v>0</v>
      </c>
      <c r="G1130" s="2122">
        <f>'Part VII-Pro Forma'!G102</f>
        <v>0</v>
      </c>
      <c r="H1130" s="2122">
        <f>'Part VII-Pro Forma'!H102</f>
        <v>0</v>
      </c>
      <c r="I1130" s="2122">
        <f>'Part VII-Pro Forma'!I102</f>
        <v>0</v>
      </c>
      <c r="J1130" s="2122">
        <f>'Part VII-Pro Forma'!J102</f>
        <v>0</v>
      </c>
      <c r="K1130" s="2122">
        <f>'Part VII-Pro Forma'!K102</f>
        <v>0</v>
      </c>
      <c r="N1130" s="1910"/>
      <c r="O1130" s="1910"/>
    </row>
    <row r="1131" spans="1:15" ht="13.35" customHeight="1">
      <c r="A1131" s="1995" t="s">
        <v>2549</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2550</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763</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2414</v>
      </c>
      <c r="B1135" s="2122">
        <f>K1105+1</f>
        <v>31</v>
      </c>
      <c r="C1135" s="2122">
        <f>B1135+1</f>
        <v>32</v>
      </c>
      <c r="D1135" s="2122">
        <f>C1135+1</f>
        <v>33</v>
      </c>
      <c r="E1135" s="2122">
        <f>D1135+1</f>
        <v>34</v>
      </c>
      <c r="F1135" s="2122">
        <f>E1135+1</f>
        <v>35</v>
      </c>
      <c r="G1135" s="2122"/>
      <c r="H1135" s="2122"/>
      <c r="I1135" s="2122"/>
      <c r="J1135" s="2122"/>
      <c r="K1135" s="2122"/>
      <c r="N1135" s="1995" t="s">
        <v>3521</v>
      </c>
    </row>
    <row r="1136" spans="1:15" ht="13.35" customHeight="1">
      <c r="A1136" s="1995" t="s">
        <v>2340</v>
      </c>
      <c r="B1136" s="2122">
        <f>'Part VII-Pro Forma'!B108</f>
        <v>409599.57229012309</v>
      </c>
      <c r="C1136" s="2122">
        <f>'Part VII-Pro Forma'!C108</f>
        <v>417791.56373592548</v>
      </c>
      <c r="D1136" s="2122">
        <f>'Part VII-Pro Forma'!D108</f>
        <v>426147.3950106441</v>
      </c>
      <c r="E1136" s="2122">
        <f>'Part VII-Pro Forma'!E108</f>
        <v>434670.342910857</v>
      </c>
      <c r="F1136" s="2122">
        <f>'Part VII-Pro Forma'!F108</f>
        <v>443363.74976907409</v>
      </c>
      <c r="G1136" s="2122"/>
      <c r="H1136" s="2122"/>
      <c r="I1136" s="2122"/>
      <c r="J1136" s="2122"/>
      <c r="K1136" s="2122"/>
      <c r="N1136" s="1910"/>
      <c r="O1136" s="1910"/>
    </row>
    <row r="1137" spans="1:19" ht="13.35" customHeight="1">
      <c r="A1137" s="1995" t="s">
        <v>993</v>
      </c>
      <c r="B1137" s="2122">
        <f>'Part VII-Pro Forma'!B109</f>
        <v>8191.9914458024632</v>
      </c>
      <c r="C1137" s="2122">
        <f>'Part VII-Pro Forma'!C109</f>
        <v>8355.83127471851</v>
      </c>
      <c r="D1137" s="2122">
        <f>'Part VII-Pro Forma'!D109</f>
        <v>8522.9479002128828</v>
      </c>
      <c r="E1137" s="2122">
        <f>'Part VII-Pro Forma'!E109</f>
        <v>8693.4068582171403</v>
      </c>
      <c r="F1137" s="2122">
        <f>'Part VII-Pro Forma'!F109</f>
        <v>8867.2749953814819</v>
      </c>
      <c r="G1137" s="2122"/>
      <c r="H1137" s="2122"/>
      <c r="I1137" s="2122"/>
      <c r="J1137" s="2122"/>
      <c r="K1137" s="2122"/>
      <c r="N1137" s="1910"/>
      <c r="O1137" s="1910"/>
    </row>
    <row r="1138" spans="1:19" ht="13.35" customHeight="1">
      <c r="A1138" s="1995" t="s">
        <v>2341</v>
      </c>
      <c r="B1138" s="2122">
        <f>'Part VII-Pro Forma'!B110</f>
        <v>-29245.409461514791</v>
      </c>
      <c r="C1138" s="2122">
        <f>'Part VII-Pro Forma'!C110</f>
        <v>-29830.317650745081</v>
      </c>
      <c r="D1138" s="2122">
        <f>'Part VII-Pro Forma'!D110</f>
        <v>-30426.924003759992</v>
      </c>
      <c r="E1138" s="2122">
        <f>'Part VII-Pro Forma'!E110</f>
        <v>-31035.462483835192</v>
      </c>
      <c r="F1138" s="2122">
        <f>'Part VII-Pro Forma'!F110</f>
        <v>-31656.171733511892</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388546.15427441074</v>
      </c>
      <c r="C1141" s="2122">
        <f>'Part VII-Pro Forma'!C113</f>
        <v>396317.07735989889</v>
      </c>
      <c r="D1141" s="2122">
        <f>'Part VII-Pro Forma'!D113</f>
        <v>404243.41890709702</v>
      </c>
      <c r="E1141" s="2122">
        <f>'Part VII-Pro Forma'!E113</f>
        <v>412328.28728523897</v>
      </c>
      <c r="F1141" s="2122">
        <f>'Part VII-Pro Forma'!F113</f>
        <v>420574.85303094366</v>
      </c>
      <c r="G1141" s="2122"/>
      <c r="H1141" s="2122"/>
      <c r="I1141" s="2122"/>
      <c r="J1141" s="2122"/>
      <c r="K1141" s="2122"/>
      <c r="N1141" s="1910"/>
      <c r="O1141" s="1910"/>
    </row>
    <row r="1142" spans="1:19" ht="13.35" customHeight="1">
      <c r="A1142" s="1995" t="s">
        <v>596</v>
      </c>
      <c r="B1142" s="2122">
        <f>'Part VII-Pro Forma'!B114</f>
        <v>-330090.7052444953</v>
      </c>
      <c r="C1142" s="2122">
        <f>'Part VII-Pro Forma'!C114</f>
        <v>-339993.42640183022</v>
      </c>
      <c r="D1142" s="2122">
        <f>'Part VII-Pro Forma'!D114</f>
        <v>-350193.22919388505</v>
      </c>
      <c r="E1142" s="2122">
        <f>'Part VII-Pro Forma'!E114</f>
        <v>-360699.02606970165</v>
      </c>
      <c r="F1142" s="2122">
        <f>'Part VII-Pro Forma'!F114</f>
        <v>-371519.99685179262</v>
      </c>
      <c r="G1142" s="2122"/>
      <c r="H1142" s="2122"/>
      <c r="I1142" s="2122"/>
      <c r="J1142" s="2122"/>
      <c r="K1142" s="2122"/>
      <c r="N1142" s="1910"/>
      <c r="O1142" s="1910"/>
    </row>
    <row r="1143" spans="1:19" ht="13.35" customHeight="1">
      <c r="A1143" s="1995" t="s">
        <v>1092</v>
      </c>
      <c r="B1143" s="2122">
        <f>'Part VII-Pro Forma'!B115</f>
        <v>-27198</v>
      </c>
      <c r="C1143" s="2122">
        <f>'Part VII-Pro Forma'!C115</f>
        <v>-27742</v>
      </c>
      <c r="D1143" s="2122">
        <f>'Part VII-Pro Forma'!D115</f>
        <v>-28297</v>
      </c>
      <c r="E1143" s="2122">
        <f>'Part VII-Pro Forma'!E115</f>
        <v>-28863</v>
      </c>
      <c r="F1143" s="2122">
        <f>'Part VII-Pro Forma'!F115</f>
        <v>-29440</v>
      </c>
      <c r="G1143" s="2122"/>
      <c r="H1143" s="2122"/>
      <c r="I1143" s="2122"/>
      <c r="J1143" s="2122"/>
      <c r="K1143" s="2122"/>
      <c r="N1143" s="1910"/>
      <c r="O1143" s="1910"/>
    </row>
    <row r="1144" spans="1:19" ht="13.35" customHeight="1">
      <c r="A1144" s="1995" t="s">
        <v>1175</v>
      </c>
      <c r="B1144" s="2122">
        <f>'Part VII-Pro Forma'!B116</f>
        <v>-33981.674596655226</v>
      </c>
      <c r="C1144" s="2122">
        <f>'Part VII-Pro Forma'!C116</f>
        <v>-35001.124834554888</v>
      </c>
      <c r="D1144" s="2122">
        <f>'Part VII-Pro Forma'!D116</f>
        <v>-36051.158579591531</v>
      </c>
      <c r="E1144" s="2122">
        <f>'Part VII-Pro Forma'!E116</f>
        <v>-37132.693336979275</v>
      </c>
      <c r="F1144" s="2122">
        <f>'Part VII-Pro Forma'!F116</f>
        <v>-38246.674137088652</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1176</v>
      </c>
      <c r="B1146" s="2122">
        <f>'Part VII-Pro Forma'!B118</f>
        <v>-2724.225566739784</v>
      </c>
      <c r="C1146" s="2122">
        <f>'Part VII-Pro Forma'!C118</f>
        <v>-6419.4738764862195</v>
      </c>
      <c r="D1146" s="2122">
        <f>'Part VII-Pro Forma'!D118</f>
        <v>-10297.968866379568</v>
      </c>
      <c r="E1146" s="2122">
        <f>'Part VII-Pro Forma'!E118</f>
        <v>-14366.432121441954</v>
      </c>
      <c r="F1146" s="2122">
        <f>'Part VII-Pro Forma'!F118</f>
        <v>-18631.817957937608</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744</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1140</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1141</v>
      </c>
      <c r="B1153" s="2122">
        <f>'Part VII-Pro Forma'!B125</f>
        <v>-2724.225566739784</v>
      </c>
      <c r="C1153" s="2122">
        <f>'Part VII-Pro Forma'!C125</f>
        <v>-6419.4738764862195</v>
      </c>
      <c r="D1153" s="2122">
        <f>'Part VII-Pro Forma'!D125</f>
        <v>-10297.968866379568</v>
      </c>
      <c r="E1153" s="2122">
        <f>'Part VII-Pro Forma'!E125</f>
        <v>-14366.432121441954</v>
      </c>
      <c r="F1153" s="2122">
        <f>'Part VII-Pro Forma'!F125</f>
        <v>-18631.817957937608</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3530</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751</v>
      </c>
      <c r="B1159" s="2122">
        <f>'Part VII-Pro Forma'!B131</f>
        <v>0.99303748582285789</v>
      </c>
      <c r="C1159" s="2122">
        <f>'Part VII-Pro Forma'!C131</f>
        <v>0.98406036438267475</v>
      </c>
      <c r="D1159" s="2122">
        <f>'Part VII-Pro Forma'!D131</f>
        <v>0.97515816473310302</v>
      </c>
      <c r="E1159" s="2122">
        <f>'Part VII-Pro Forma'!E131</f>
        <v>0.96633088841263737</v>
      </c>
      <c r="F1159" s="2122">
        <f>'Part VII-Pro Forma'!F131</f>
        <v>0.95757847230328319</v>
      </c>
      <c r="G1159" s="2122"/>
      <c r="H1159" s="2122"/>
      <c r="I1159" s="2122"/>
      <c r="J1159" s="2122"/>
      <c r="K1159" s="2122"/>
      <c r="N1159" s="1910"/>
      <c r="O1159" s="1910"/>
    </row>
    <row r="1160" spans="1:15" ht="13.35" customHeight="1">
      <c r="A1160" s="1995" t="s">
        <v>2548</v>
      </c>
      <c r="B1160" s="2122">
        <f>'Part VII-Pro Forma'!B132</f>
        <v>0</v>
      </c>
      <c r="C1160" s="2122">
        <f>'Part VII-Pro Forma'!C132</f>
        <v>0</v>
      </c>
      <c r="D1160" s="2122">
        <f>'Part VII-Pro Forma'!D132</f>
        <v>0</v>
      </c>
      <c r="E1160" s="2122">
        <f>'Part VII-Pro Forma'!E132</f>
        <v>0</v>
      </c>
      <c r="F1160" s="2122">
        <f>'Part VII-Pro Forma'!F132</f>
        <v>0</v>
      </c>
      <c r="G1160" s="2122"/>
      <c r="H1160" s="2122"/>
      <c r="I1160" s="2122"/>
      <c r="J1160" s="2122"/>
      <c r="K1160" s="2122"/>
      <c r="N1160" s="1910"/>
      <c r="O1160" s="1910"/>
    </row>
    <row r="1161" spans="1:15" ht="13.35" customHeight="1">
      <c r="A1161" s="1995" t="s">
        <v>2549</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2550</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763</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553</v>
      </c>
      <c r="G1165" s="1995" t="s">
        <v>1008</v>
      </c>
    </row>
    <row r="1166" spans="1:15" ht="12" customHeight="1"/>
    <row r="1167" spans="1:15" ht="59.4" customHeight="1">
      <c r="A1167" s="1887" t="str">
        <f>'Part VII-Pro Forma'!A139</f>
        <v>There are no debt service payments that deviate from the payment calculations from the Sources of Funds tab. In each of the first 15 years of the cash flow analysis, DCA requirements are being met with a DSCR above 1.25 and an income to expense ratio above 1.15 in year 15.</v>
      </c>
      <c r="B1167" s="1887"/>
      <c r="C1167" s="1887"/>
      <c r="D1167" s="1887"/>
      <c r="E1167" s="1887"/>
      <c r="F1167" s="1887"/>
      <c r="G1167" s="1887">
        <f>'Part VII-Pro Forma'!G139</f>
        <v>0</v>
      </c>
      <c r="H1167" s="1887"/>
      <c r="I1167" s="1887"/>
      <c r="J1167" s="1887"/>
      <c r="K1167" s="1887"/>
      <c r="N1167" s="1973" t="s">
        <v>2612</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2020-050 Twin Oaks Commons,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912</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549</v>
      </c>
      <c r="J1176" s="1990" t="s">
        <v>6902</v>
      </c>
      <c r="K1176" s="1990"/>
      <c r="L1176" s="1990"/>
      <c r="M1176" s="1990"/>
      <c r="N1176" s="1990"/>
      <c r="O1176" s="1990"/>
      <c r="P1176" s="2125"/>
      <c r="Q1176" s="2125"/>
      <c r="R1176" s="2103"/>
      <c r="S1176" s="2103"/>
    </row>
    <row r="1177" spans="1:19" ht="12.6" customHeight="1">
      <c r="A1177" s="1771" t="s">
        <v>3334</v>
      </c>
      <c r="H1177" s="1815"/>
      <c r="I1177" s="1815"/>
      <c r="J1177" s="1815"/>
      <c r="K1177" s="1815"/>
      <c r="L1177" s="1815"/>
      <c r="M1177" s="1732"/>
      <c r="N1177" s="1732"/>
    </row>
    <row r="1178" spans="1:19" ht="24.6" customHeight="1">
      <c r="A1178" s="1956" t="s">
        <v>1380</v>
      </c>
      <c r="B1178" s="1956"/>
      <c r="C1178" s="1956"/>
      <c r="D1178" s="1956"/>
      <c r="E1178" s="1956"/>
      <c r="F1178" s="1956"/>
      <c r="G1178" s="1956"/>
      <c r="H1178" s="1956"/>
      <c r="I1178" s="1956"/>
      <c r="J1178" s="1956"/>
      <c r="K1178" s="1956"/>
      <c r="L1178" s="1956"/>
      <c r="M1178" s="1956"/>
      <c r="N1178" s="1956"/>
      <c r="O1178" s="1956"/>
      <c r="P1178" s="1956"/>
      <c r="Q1178" s="1956"/>
      <c r="R1178" s="1973" t="s">
        <v>1982</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1376</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1377</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1378</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1379</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1381</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1969</v>
      </c>
      <c r="B1185" s="1956"/>
      <c r="C1185" s="1956"/>
      <c r="D1185" s="1956"/>
      <c r="E1185" s="1956"/>
      <c r="F1185" s="1956"/>
      <c r="G1185" s="1956"/>
      <c r="H1185" s="1956"/>
      <c r="I1185" s="1956"/>
      <c r="J1185" s="1956"/>
      <c r="K1185" s="1956"/>
      <c r="L1185" s="1956"/>
      <c r="M1185" s="1956"/>
      <c r="N1185" s="1956"/>
      <c r="O1185" s="1956"/>
      <c r="P1185" s="1956"/>
      <c r="Q1185" s="1956"/>
      <c r="R1185" s="1973" t="s">
        <v>1982</v>
      </c>
      <c r="S1185" s="1973"/>
    </row>
    <row r="1186" spans="1:19" ht="11.25" customHeight="1">
      <c r="A1186" s="1956" t="s">
        <v>1970</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1971</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1972</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1973</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1974</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1975</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1976</v>
      </c>
      <c r="B1192" s="1956"/>
      <c r="C1192" s="1956"/>
      <c r="D1192" s="1956"/>
      <c r="E1192" s="1956"/>
      <c r="F1192" s="1956"/>
      <c r="G1192" s="1956"/>
      <c r="H1192" s="1956"/>
      <c r="I1192" s="1956"/>
      <c r="J1192" s="1956"/>
      <c r="K1192" s="1956"/>
      <c r="L1192" s="1956"/>
      <c r="M1192" s="1956"/>
      <c r="N1192" s="1956"/>
      <c r="O1192" s="1956"/>
      <c r="P1192" s="1956"/>
      <c r="Q1192" s="1956"/>
      <c r="R1192" s="1973" t="s">
        <v>1982</v>
      </c>
      <c r="S1192" s="1973"/>
    </row>
    <row r="1193" spans="1:19" ht="11.25" customHeight="1">
      <c r="A1193" s="1956" t="s">
        <v>1977</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1978</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1979</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1980</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1981</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597</v>
      </c>
      <c r="B1199" s="1910" t="s">
        <v>2577</v>
      </c>
      <c r="C1199" s="1936"/>
      <c r="D1199" s="449"/>
      <c r="E1199" s="449"/>
      <c r="F1199" s="449"/>
      <c r="G1199" s="449"/>
      <c r="I1199" s="1229"/>
      <c r="J1199" s="1229"/>
      <c r="K1199" s="1229"/>
      <c r="L1199" s="1732"/>
      <c r="M1199" s="1732"/>
      <c r="O1199" s="1942" t="s">
        <v>1819</v>
      </c>
      <c r="P1199" s="1897"/>
      <c r="Q1199" s="1897"/>
    </row>
    <row r="1200" spans="1:19" ht="3" customHeight="1"/>
    <row r="1201" spans="1:32" ht="11.25" customHeight="1">
      <c r="B1201" s="449" t="s">
        <v>3563</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All commitments submitted financially are firm commitments, the development is clearly visible in a major commerical corridor of Ludowici and is located off of a major road. Additionally, this is a rehabilitation of an existing affordable housing property and this will lead to the preservation of affordable housing in the State of Georgia. One of DCA's goals.</v>
      </c>
      <c r="B1202" s="1936"/>
      <c r="C1202" s="1936"/>
      <c r="D1202" s="1936"/>
      <c r="E1202" s="1936"/>
      <c r="F1202" s="1936"/>
      <c r="G1202" s="1936"/>
      <c r="H1202" s="1936"/>
      <c r="I1202" s="1936"/>
      <c r="J1202" s="1936"/>
      <c r="K1202" s="1936"/>
      <c r="L1202" s="1936"/>
      <c r="M1202" s="1936"/>
      <c r="N1202" s="1936"/>
      <c r="O1202" s="1936"/>
      <c r="P1202" s="1936"/>
      <c r="Q1202" s="1936"/>
      <c r="R1202" s="1973" t="s">
        <v>1227</v>
      </c>
      <c r="S1202" s="1973"/>
      <c r="T1202" s="2123"/>
      <c r="U1202" s="1897"/>
      <c r="V1202" s="1897"/>
      <c r="W1202" s="1897"/>
      <c r="X1202" s="1897"/>
      <c r="Y1202" s="1897"/>
      <c r="Z1202" s="1897"/>
      <c r="AA1202" s="1897"/>
      <c r="AB1202" s="1897"/>
      <c r="AC1202" s="1897"/>
      <c r="AD1202" s="1897"/>
      <c r="AE1202" s="1897"/>
    </row>
    <row r="1203" spans="1:32" ht="11.25" customHeight="1">
      <c r="B1203" s="1936" t="s">
        <v>1818</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1227</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721</v>
      </c>
      <c r="B1206" s="1815" t="s">
        <v>2629</v>
      </c>
      <c r="C1206" s="1815"/>
      <c r="D1206" s="1815"/>
      <c r="E1206" s="1939"/>
      <c r="G1206" s="1897"/>
      <c r="H1206" s="1897"/>
      <c r="I1206" s="1897"/>
      <c r="J1206" s="1815"/>
      <c r="L1206" s="2120"/>
      <c r="M1206" s="2120"/>
      <c r="N1206" s="2120"/>
      <c r="O1206" s="1942" t="s">
        <v>1819</v>
      </c>
      <c r="P1206" s="1897"/>
      <c r="Q1206" s="1897"/>
    </row>
    <row r="1207" spans="1:32" ht="11.25" customHeight="1">
      <c r="A1207" s="1986"/>
      <c r="B1207" s="1986"/>
      <c r="C1207" s="1986"/>
      <c r="D1207" s="1986"/>
      <c r="E1207" s="1986"/>
      <c r="F1207" s="1986"/>
      <c r="G1207" s="1822" t="s">
        <v>2633</v>
      </c>
      <c r="H1207" s="1822"/>
      <c r="I1207" s="449"/>
      <c r="J1207" s="1815"/>
      <c r="K1207" s="449" t="s">
        <v>3465</v>
      </c>
      <c r="L1207" s="449"/>
      <c r="M1207" s="449"/>
      <c r="N1207" s="449"/>
    </row>
    <row r="1208" spans="1:32" ht="11.25" customHeight="1">
      <c r="A1208" s="1986"/>
      <c r="B1208" s="1986"/>
      <c r="C1208" s="1986"/>
      <c r="D1208" s="1986"/>
      <c r="E1208" s="1986"/>
      <c r="F1208" s="1986"/>
      <c r="G1208" s="1822" t="s">
        <v>341</v>
      </c>
      <c r="H1208" s="1822"/>
      <c r="I1208" s="449"/>
      <c r="J1208" s="1815"/>
      <c r="K1208" s="449" t="s">
        <v>3466</v>
      </c>
      <c r="L1208" s="449"/>
      <c r="M1208" s="449"/>
      <c r="N1208" s="449"/>
      <c r="P1208" s="1868" t="s">
        <v>2648</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2632</v>
      </c>
      <c r="F1210" s="1945" t="s">
        <v>3335</v>
      </c>
      <c r="G1210" s="1945" t="s">
        <v>4452</v>
      </c>
      <c r="H1210" s="1945"/>
      <c r="I1210" s="1945"/>
      <c r="K1210" s="1945" t="s">
        <v>3335</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3249</v>
      </c>
      <c r="B1211" s="1956"/>
      <c r="C1211" s="1956"/>
      <c r="D1211" s="1933" t="s">
        <v>550</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2375</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2376</v>
      </c>
      <c r="E1213" s="1229">
        <v>2</v>
      </c>
      <c r="F1213" s="1934" t="str">
        <f>'Part VIII-Threshold Criteria'!F43</f>
        <v/>
      </c>
      <c r="G1213" s="2126">
        <f>'Part VIII-Threshold Criteria'!G43</f>
        <v>260395.65</v>
      </c>
      <c r="H1213" s="1908" t="str">
        <f>'Part VIII-Threshold Criteria'!H43</f>
        <v xml:space="preserve">x  units = </v>
      </c>
      <c r="I1213" s="1875" t="str">
        <f>IF(F1213="","",F1213*G1213)</f>
        <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2377</v>
      </c>
      <c r="E1214" s="1229">
        <v>3</v>
      </c>
      <c r="F1214" s="1934" t="str">
        <f>'Part VIII-Threshold Criteria'!F44</f>
        <v/>
      </c>
      <c r="G1214" s="2126">
        <f>'Part VIII-Threshold Criteria'!G44</f>
        <v>297016.5</v>
      </c>
      <c r="H1214" s="1908" t="str">
        <f>'Part VIII-Threshold Criteria'!H44</f>
        <v xml:space="preserve">x  units = </v>
      </c>
      <c r="I1214" s="1875" t="str">
        <f>IF(F1214="","",F1214*G1214)</f>
        <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2378</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5691701.1975492882</v>
      </c>
      <c r="Q1215" s="2127"/>
      <c r="AC1215" s="450"/>
      <c r="AD1215" s="450"/>
      <c r="AE1215" s="450"/>
      <c r="AF1215" s="450"/>
    </row>
    <row r="1216" spans="1:32" ht="10.5" customHeight="1">
      <c r="C1216" s="1815"/>
      <c r="D1216" s="2128" t="s">
        <v>3259</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3244</v>
      </c>
      <c r="B1218" s="1956"/>
      <c r="C1218" s="1956"/>
      <c r="D1218" s="1933" t="s">
        <v>550</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4483</v>
      </c>
      <c r="L1218" s="2126">
        <v>159979.19999999998</v>
      </c>
      <c r="M1218" s="1908" t="s">
        <v>6813</v>
      </c>
      <c r="N1218" s="1875" t="str">
        <f>IF(K1218="","",K1218*L1218)</f>
        <v/>
      </c>
      <c r="P1218" s="2127">
        <f>'Part VIII-Threshold Criteria'!P48</f>
        <v>5466874.5499999998</v>
      </c>
      <c r="Q1218" s="2127"/>
      <c r="AC1218" s="450"/>
      <c r="AD1218" s="450"/>
      <c r="AE1218" s="450"/>
      <c r="AF1218" s="450"/>
    </row>
    <row r="1219" spans="1:32" ht="10.5" customHeight="1">
      <c r="A1219" s="1956"/>
      <c r="B1219" s="1956"/>
      <c r="C1219" s="1956"/>
      <c r="D1219" s="1933" t="s">
        <v>2375</v>
      </c>
      <c r="E1219" s="1229">
        <v>1</v>
      </c>
      <c r="F1219" s="1934">
        <f>'Part VIII-Threshold Criteria'!F49</f>
        <v>12</v>
      </c>
      <c r="G1219" s="2126">
        <f>'Part VIII-Threshold Criteria'!G49</f>
        <v>188621.84999999998</v>
      </c>
      <c r="H1219" s="1908" t="str">
        <f>'Part VIII-Threshold Criteria'!H49</f>
        <v xml:space="preserve">x 12 units = </v>
      </c>
      <c r="I1219" s="1875">
        <f>IF(F1219="","",F1219*G1219)</f>
        <v>2263462.1999999997</v>
      </c>
      <c r="J1219" s="1815"/>
      <c r="K1219" s="1934" t="s">
        <v>4483</v>
      </c>
      <c r="L1219" s="2126">
        <v>198564.74999999997</v>
      </c>
      <c r="M1219" s="1908" t="s">
        <v>6813</v>
      </c>
      <c r="N1219" s="1875" t="str">
        <f>IF(K1219="","",K1219*L1219)</f>
        <v/>
      </c>
      <c r="P1219" s="1822" t="s">
        <v>3771</v>
      </c>
      <c r="Q1219" s="1822"/>
      <c r="AC1219" s="450"/>
      <c r="AD1219" s="450"/>
      <c r="AE1219" s="450"/>
      <c r="AF1219" s="450"/>
    </row>
    <row r="1220" spans="1:32" ht="10.5" customHeight="1">
      <c r="A1220" s="1956"/>
      <c r="B1220" s="1956"/>
      <c r="C1220" s="1956"/>
      <c r="D1220" s="1933" t="s">
        <v>2376</v>
      </c>
      <c r="E1220" s="1229">
        <v>2</v>
      </c>
      <c r="F1220" s="1934">
        <f>'Part VIII-Threshold Criteria'!F50</f>
        <v>20</v>
      </c>
      <c r="G1220" s="2126">
        <f>'Part VIII-Threshold Criteria'!G50</f>
        <v>228676.34999999998</v>
      </c>
      <c r="H1220" s="1908" t="str">
        <f>'Part VIII-Threshold Criteria'!H50</f>
        <v xml:space="preserve">x 20 units = </v>
      </c>
      <c r="I1220" s="1875">
        <f>IF(F1220="","",F1220*G1220)</f>
        <v>4573527</v>
      </c>
      <c r="J1220" s="1815"/>
      <c r="K1220" s="1934" t="s">
        <v>4483</v>
      </c>
      <c r="L1220" s="2126">
        <v>237737.19999999998</v>
      </c>
      <c r="M1220" s="1908" t="s">
        <v>6813</v>
      </c>
      <c r="N1220" s="1875" t="str">
        <f>IF(K1220="","",K1220*L1220)</f>
        <v/>
      </c>
      <c r="O1220" s="1896"/>
      <c r="P1220" s="2132"/>
      <c r="Q1220" s="2132"/>
      <c r="R1220" s="2240"/>
      <c r="S1220" s="1952" t="s">
        <v>6927</v>
      </c>
      <c r="T1220" s="1952"/>
      <c r="U1220" s="1952"/>
      <c r="V1220" s="1952"/>
      <c r="AC1220" s="450"/>
      <c r="AD1220" s="450"/>
      <c r="AE1220" s="450"/>
      <c r="AF1220" s="450"/>
    </row>
    <row r="1221" spans="1:32" ht="10.5" customHeight="1">
      <c r="C1221" s="1815"/>
      <c r="D1221" s="1933" t="s">
        <v>2377</v>
      </c>
      <c r="E1221" s="1229">
        <v>3</v>
      </c>
      <c r="F1221" s="1934">
        <f>'Part VIII-Threshold Criteria'!F51</f>
        <v>8</v>
      </c>
      <c r="G1221" s="2126">
        <f>'Part VIII-Threshold Criteria'!G51</f>
        <v>267129.5</v>
      </c>
      <c r="H1221" s="1908" t="str">
        <f>'Part VIII-Threshold Criteria'!H51</f>
        <v xml:space="preserve">x 8 units = </v>
      </c>
      <c r="I1221" s="1875">
        <f>IF(F1221="","",F1221*G1221)</f>
        <v>2137036</v>
      </c>
      <c r="J1221" s="1815"/>
      <c r="K1221" s="1934" t="s">
        <v>4483</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2378</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4483</v>
      </c>
      <c r="L1222" s="2126">
        <v>319916.30000000005</v>
      </c>
      <c r="M1222" s="1908" t="s">
        <v>6813</v>
      </c>
      <c r="N1222" s="1875" t="str">
        <f>IF(K1222="","",K1222*L1222)</f>
        <v/>
      </c>
      <c r="O1222" s="1896"/>
      <c r="P1222" s="1849" t="s">
        <v>3461</v>
      </c>
      <c r="Q1222" s="1849"/>
      <c r="S1222" s="1952"/>
      <c r="T1222" s="1952"/>
      <c r="U1222" s="1952"/>
      <c r="V1222" s="1952"/>
      <c r="AC1222" s="450"/>
      <c r="AD1222" s="450"/>
      <c r="AE1222" s="450"/>
      <c r="AF1222" s="450"/>
    </row>
    <row r="1223" spans="1:32" ht="10.5" customHeight="1">
      <c r="C1223" s="1815"/>
      <c r="D1223" s="2128" t="s">
        <v>3259</v>
      </c>
      <c r="E1223" s="1910"/>
      <c r="F1223" s="2129">
        <f>SUM(F1218:F1222)</f>
        <v>40</v>
      </c>
      <c r="G1223" s="2130"/>
      <c r="H1223" s="1938"/>
      <c r="I1223" s="2131">
        <f>SUM(I1218:I1222)</f>
        <v>8974025.1999999993</v>
      </c>
      <c r="J1223" s="1910"/>
      <c r="K1223" s="2129">
        <f>SUM(K1218:K1222)</f>
        <v>0</v>
      </c>
      <c r="L1223" s="1910"/>
      <c r="M1223" s="1938"/>
      <c r="N1223" s="2131">
        <f>SUM(N1218:N1222)</f>
        <v>0</v>
      </c>
      <c r="O1223" s="1896"/>
      <c r="P1223" s="1898" t="s">
        <v>3138</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3245</v>
      </c>
      <c r="C1225" s="1815"/>
      <c r="D1225" s="1933" t="s">
        <v>550</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2375</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t="str">
        <f>'Part VIII-Threshold Criteria'!K56</f>
        <v/>
      </c>
      <c r="L1226" s="2126">
        <f>'Part VIII-Threshold Criteria'!L56</f>
        <v>190049.80499999999</v>
      </c>
      <c r="M1226" s="1908" t="str">
        <f>'Part VIII-Threshold Criteria'!M56</f>
        <v xml:space="preserve">x  units = </v>
      </c>
      <c r="N1226" s="1875" t="str">
        <f>IF(K1226="","",K1226*L1226)</f>
        <v/>
      </c>
      <c r="P1226" s="1849" t="s">
        <v>3462</v>
      </c>
      <c r="Q1226" s="1849"/>
      <c r="S1226" s="1952"/>
      <c r="T1226" s="1952"/>
      <c r="U1226" s="1952"/>
      <c r="V1226" s="1952"/>
      <c r="W1226" s="1815"/>
      <c r="AB1226" s="450"/>
      <c r="AC1226" s="450"/>
      <c r="AD1226" s="450"/>
      <c r="AE1226" s="450"/>
      <c r="AF1226" s="450"/>
    </row>
    <row r="1227" spans="1:32" ht="10.5" customHeight="1">
      <c r="C1227" s="1815"/>
      <c r="D1227" s="1933" t="s">
        <v>2376</v>
      </c>
      <c r="E1227" s="1229">
        <v>2</v>
      </c>
      <c r="F1227" s="1934" t="str">
        <f>'Part VIII-Threshold Criteria'!F57</f>
        <v/>
      </c>
      <c r="G1227" s="2126">
        <f>'Part VIII-Threshold Criteria'!G57</f>
        <v>218621.9</v>
      </c>
      <c r="H1227" s="1908" t="str">
        <f>'Part VIII-Threshold Criteria'!H57</f>
        <v xml:space="preserve">x  units = </v>
      </c>
      <c r="I1227" s="1875" t="str">
        <f>IF(F1227="","",F1227*G1227)</f>
        <v/>
      </c>
      <c r="J1227" s="1815"/>
      <c r="K1227" s="1934" t="str">
        <f>'Part VIII-Threshold Criteria'!K57</f>
        <v/>
      </c>
      <c r="L1227" s="2126">
        <f>'Part VIII-Threshold Criteria'!L57</f>
        <v>240484.09000000003</v>
      </c>
      <c r="M1227" s="1908" t="str">
        <f>'Part VIII-Threshold Criteria'!M57</f>
        <v xml:space="preserve">x  units = </v>
      </c>
      <c r="N1227" s="1875" t="str">
        <f>IF(K1227="","",K1227*L1227)</f>
        <v/>
      </c>
      <c r="P1227" s="1898" t="s">
        <v>3138</v>
      </c>
      <c r="Q1227" s="1898" t="s">
        <v>251</v>
      </c>
      <c r="S1227" s="1952"/>
      <c r="T1227" s="1952"/>
      <c r="U1227" s="1952"/>
      <c r="V1227" s="1952"/>
      <c r="W1227" s="1815"/>
      <c r="AB1227" s="450"/>
      <c r="AC1227" s="450"/>
      <c r="AD1227" s="450"/>
      <c r="AE1227" s="450"/>
      <c r="AF1227" s="450"/>
    </row>
    <row r="1228" spans="1:32" ht="10.5" customHeight="1">
      <c r="C1228" s="1815"/>
      <c r="D1228" s="1933" t="s">
        <v>2377</v>
      </c>
      <c r="E1228" s="1229">
        <v>3</v>
      </c>
      <c r="F1228" s="1934" t="str">
        <f>'Part VIII-Threshold Criteria'!F58</f>
        <v/>
      </c>
      <c r="G1228" s="2126">
        <f>'Part VIII-Threshold Criteria'!G58</f>
        <v>275475.20000000001</v>
      </c>
      <c r="H1228" s="1908" t="str">
        <f>'Part VIII-Threshold Criteria'!H58</f>
        <v xml:space="preserve">x  units = </v>
      </c>
      <c r="I1228" s="1875" t="str">
        <f>IF(F1228="","",F1228*G1228)</f>
        <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0</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2378</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2677</v>
      </c>
      <c r="S1229" s="1952"/>
      <c r="T1229" s="1952"/>
      <c r="U1229" s="1952"/>
      <c r="V1229" s="1952"/>
      <c r="W1229" s="1815"/>
      <c r="AB1229" s="450"/>
      <c r="AC1229" s="450"/>
      <c r="AD1229" s="450"/>
      <c r="AE1229" s="450"/>
      <c r="AF1229" s="450"/>
    </row>
    <row r="1230" spans="1:32" ht="10.5" customHeight="1">
      <c r="C1230" s="1815"/>
      <c r="D1230" s="2128" t="s">
        <v>3259</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3246</v>
      </c>
      <c r="C1232" s="1815"/>
      <c r="D1232" s="1933" t="s">
        <v>550</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2375</v>
      </c>
      <c r="E1233" s="1229">
        <v>1</v>
      </c>
      <c r="F1233" s="1934" t="str">
        <f>'Part VIII-Threshold Criteria'!F63</f>
        <v/>
      </c>
      <c r="G1233" s="2126">
        <f>'Part VIII-Threshold Criteria'!G63</f>
        <v>183497.44999999998</v>
      </c>
      <c r="H1233" s="1908" t="str">
        <f>'Part VIII-Threshold Criteria'!H63</f>
        <v xml:space="preserve">x  units = </v>
      </c>
      <c r="I1233" s="1875" t="str">
        <f>IF(F1233="","",F1233*G1233)</f>
        <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8974025.1999999993</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2376</v>
      </c>
      <c r="E1234" s="1229">
        <v>2</v>
      </c>
      <c r="F1234" s="1934" t="str">
        <f>'Part VIII-Threshold Criteria'!F64</f>
        <v/>
      </c>
      <c r="G1234" s="2126">
        <f>'Part VIII-Threshold Criteria'!G64</f>
        <v>235925.94999999998</v>
      </c>
      <c r="H1234" s="1908" t="str">
        <f>'Part VIII-Threshold Criteria'!H64</f>
        <v xml:space="preserve">x  units = </v>
      </c>
      <c r="I1234" s="1875" t="str">
        <f>IF(F1234="","",F1234*G1234)</f>
        <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2377</v>
      </c>
      <c r="E1235" s="1229">
        <v>3</v>
      </c>
      <c r="F1235" s="1934" t="str">
        <f>'Part VIII-Threshold Criteria'!F65</f>
        <v/>
      </c>
      <c r="G1235" s="2126">
        <f>'Part VIII-Threshold Criteria'!G65</f>
        <v>300890.7</v>
      </c>
      <c r="H1235" s="1908" t="str">
        <f>'Part VIII-Threshold Criteria'!H65</f>
        <v xml:space="preserve">x  units = </v>
      </c>
      <c r="I1235" s="1875" t="str">
        <f>IF(F1235="","",F1235*G1235)</f>
        <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6810</v>
      </c>
      <c r="Q1235" s="1986"/>
      <c r="R1235" s="2240"/>
      <c r="V1235" s="1815"/>
      <c r="W1235" s="1815"/>
      <c r="X1235" s="1918"/>
      <c r="Y1235" s="1815"/>
      <c r="Z1235" s="449"/>
      <c r="AA1235" s="450"/>
      <c r="AB1235" s="450"/>
      <c r="AC1235" s="450"/>
      <c r="AD1235" s="450"/>
      <c r="AE1235" s="450"/>
      <c r="AF1235" s="450"/>
    </row>
    <row r="1236" spans="1:32" ht="10.5" customHeight="1">
      <c r="C1236" s="1815"/>
      <c r="D1236" s="1933" t="s">
        <v>2378</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3259</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3260</v>
      </c>
      <c r="B1239" s="1815"/>
      <c r="C1239" s="1815"/>
      <c r="D1239" s="1815"/>
      <c r="E1239" s="1897"/>
      <c r="F1239" s="2134">
        <f>F1216+F1223+F1230+F1237</f>
        <v>40</v>
      </c>
      <c r="G1239" s="1849"/>
      <c r="H1239" s="1858">
        <f>I1216+I1223+I1230+I1237</f>
        <v>8974025.1999999993</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3563</v>
      </c>
      <c r="D1240" s="1908"/>
      <c r="E1240" s="1908"/>
      <c r="F1240" s="1908"/>
      <c r="G1240" s="1908"/>
      <c r="H1240" s="1908"/>
      <c r="I1240" s="1229"/>
      <c r="J1240" s="1229"/>
      <c r="K1240" s="1936" t="s">
        <v>1818</v>
      </c>
      <c r="L1240" s="1732"/>
      <c r="M1240" s="1732"/>
      <c r="N1240" s="1732"/>
      <c r="O1240" s="1732"/>
      <c r="P1240" s="1986"/>
      <c r="Q1240" s="1986"/>
    </row>
    <row r="1241" spans="1:32" ht="10.5" customHeight="1">
      <c r="A1241" s="1936" t="str">
        <f>'Part VIII-Threshold Criteria'!A71</f>
        <v>The proposed development is well under the Project Cost Limit (PCL).</v>
      </c>
      <c r="B1241" s="1936"/>
      <c r="C1241" s="1936"/>
      <c r="D1241" s="1936"/>
      <c r="E1241" s="1936"/>
      <c r="F1241" s="1936"/>
      <c r="G1241" s="1936"/>
      <c r="H1241" s="1936"/>
      <c r="I1241" s="1936"/>
      <c r="J1241" s="1936"/>
      <c r="K1241" s="1936"/>
      <c r="L1241" s="1936"/>
      <c r="M1241" s="1936"/>
      <c r="N1241" s="1936"/>
      <c r="O1241" s="1936"/>
      <c r="P1241" s="1936"/>
      <c r="Q1241" s="1936"/>
      <c r="R1241" s="1973" t="s">
        <v>1227</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723</v>
      </c>
      <c r="B1243" s="1815" t="s">
        <v>1165</v>
      </c>
      <c r="C1243" s="1815"/>
      <c r="D1243" s="1815"/>
      <c r="E1243" s="1939"/>
      <c r="F1243" s="1939"/>
      <c r="G1243" s="1936" t="s">
        <v>4553</v>
      </c>
      <c r="H1243" s="1939"/>
      <c r="J1243" s="449" t="str">
        <f>'Part I-Project Information'!$H$82</f>
        <v>Family</v>
      </c>
      <c r="K1243" s="449"/>
      <c r="L1243" s="449"/>
      <c r="O1243" s="1942" t="s">
        <v>1819</v>
      </c>
      <c r="P1243" s="1897"/>
      <c r="Q1243" s="1897"/>
    </row>
    <row r="1244" spans="1:32" ht="10.5" customHeight="1">
      <c r="B1244" s="1908" t="s">
        <v>3563</v>
      </c>
      <c r="D1244" s="1908"/>
      <c r="E1244" s="1908"/>
      <c r="F1244" s="1908"/>
      <c r="G1244" s="1908"/>
      <c r="H1244" s="1908"/>
      <c r="I1244" s="1229"/>
      <c r="J1244" s="1229"/>
      <c r="K1244" s="1936" t="s">
        <v>1818</v>
      </c>
      <c r="L1244" s="1732"/>
      <c r="M1244" s="1732"/>
      <c r="N1244" s="1732"/>
      <c r="O1244" s="1732"/>
      <c r="P1244" s="1732"/>
      <c r="Q1244" s="1732"/>
    </row>
    <row r="1245" spans="1:32" ht="10.5" customHeight="1">
      <c r="A1245" s="1936" t="str">
        <f>'Part VIII-Threshold Criteria'!A75</f>
        <v>The proposed development is designated as a family development and meets DCA requirements as a family development.</v>
      </c>
      <c r="B1245" s="1936"/>
      <c r="C1245" s="1936"/>
      <c r="D1245" s="1936"/>
      <c r="E1245" s="1936"/>
      <c r="F1245" s="1936"/>
      <c r="G1245" s="1936"/>
      <c r="H1245" s="1936"/>
      <c r="I1245" s="1936"/>
      <c r="J1245" s="1936"/>
      <c r="K1245" s="1936"/>
      <c r="L1245" s="1936"/>
      <c r="M1245" s="1936"/>
      <c r="N1245" s="1936"/>
      <c r="O1245" s="1936"/>
      <c r="P1245" s="1936"/>
      <c r="Q1245" s="1936"/>
      <c r="R1245" s="1973" t="s">
        <v>1227</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1747</v>
      </c>
      <c r="B1247" s="1922" t="s">
        <v>2578</v>
      </c>
      <c r="C1247" s="1908"/>
      <c r="D1247" s="1939"/>
      <c r="E1247" s="1939"/>
      <c r="F1247" s="1939"/>
      <c r="G1247" s="1939"/>
      <c r="H1247" s="1939"/>
      <c r="I1247" s="1939"/>
      <c r="J1247" s="1939"/>
      <c r="L1247" s="1940" t="s">
        <v>4248</v>
      </c>
      <c r="M1247" s="1229" t="s">
        <v>4249</v>
      </c>
      <c r="O1247" s="1942" t="s">
        <v>1819</v>
      </c>
      <c r="P1247" s="1897"/>
      <c r="Q1247" s="1897"/>
    </row>
    <row r="1248" spans="1:32" ht="1.5" customHeight="1"/>
    <row r="1249" spans="1:31" ht="12" customHeight="1">
      <c r="A1249" s="1942" t="s">
        <v>1934</v>
      </c>
      <c r="B1249" s="1936" t="s">
        <v>4241</v>
      </c>
      <c r="C1249" s="1936"/>
      <c r="D1249" s="1936"/>
      <c r="E1249" s="1936"/>
      <c r="F1249" s="1936"/>
      <c r="G1249" s="1936"/>
      <c r="H1249" s="1936"/>
      <c r="I1249" s="1936"/>
      <c r="J1249" s="1936"/>
      <c r="L1249" s="1938" t="s">
        <v>2805</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4247</v>
      </c>
      <c r="M1250" s="1938">
        <v>4</v>
      </c>
      <c r="O1250" s="1936"/>
      <c r="P1250" s="449"/>
      <c r="Q1250" s="449"/>
    </row>
    <row r="1251" spans="1:31" ht="12" customHeight="1">
      <c r="A1251" s="1940" t="s">
        <v>1936</v>
      </c>
      <c r="B1251" s="1936" t="s">
        <v>4250</v>
      </c>
      <c r="C1251" s="1936"/>
      <c r="D1251" s="1936"/>
      <c r="E1251" s="1936"/>
      <c r="F1251" s="1936"/>
      <c r="G1251" s="1936"/>
      <c r="H1251" s="1936"/>
      <c r="I1251" s="1936"/>
      <c r="J1251" s="1936"/>
      <c r="K1251" s="1936"/>
      <c r="L1251" s="1936"/>
      <c r="N1251" s="1936"/>
      <c r="O1251" s="1936"/>
      <c r="P1251" s="1936"/>
    </row>
    <row r="1252" spans="1:31" ht="12" customHeight="1">
      <c r="A1252" s="1940"/>
      <c r="B1252" s="1939" t="s">
        <v>1693</v>
      </c>
      <c r="C1252" s="1936" t="s">
        <v>4254</v>
      </c>
      <c r="D1252" s="1936"/>
      <c r="E1252" s="1936"/>
      <c r="F1252" s="1936"/>
      <c r="G1252" s="1936"/>
      <c r="H1252" s="1936"/>
      <c r="I1252" s="1936"/>
      <c r="J1252" s="1936"/>
      <c r="K1252" s="1936"/>
      <c r="L1252" s="1936"/>
      <c r="N1252" s="1936" t="s">
        <v>4699</v>
      </c>
      <c r="O1252" s="1936"/>
      <c r="P1252" s="1229" t="str">
        <f>'Part VIII-Threshold Criteria'!P82</f>
        <v>N/ap</v>
      </c>
      <c r="Q1252" s="1229"/>
    </row>
    <row r="1253" spans="1:31" ht="12" customHeight="1">
      <c r="A1253" s="1940"/>
      <c r="B1253" s="1939" t="s">
        <v>1694</v>
      </c>
      <c r="C1253" s="1936" t="s">
        <v>4251</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1695</v>
      </c>
      <c r="C1254" s="1936" t="s">
        <v>4252</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2303</v>
      </c>
      <c r="C1255" s="1939" t="s">
        <v>4255</v>
      </c>
      <c r="D1255" s="449"/>
      <c r="E1255" s="449"/>
      <c r="F1255" s="449"/>
      <c r="G1255" s="449"/>
      <c r="H1255" s="449"/>
      <c r="I1255" s="1815"/>
      <c r="J1255" s="1815"/>
      <c r="N1255" s="1936" t="s">
        <v>4702</v>
      </c>
      <c r="O1255" s="1936"/>
      <c r="P1255" s="1229" t="str">
        <f>'Part VIII-Threshold Criteria'!P85</f>
        <v>N/Ap</v>
      </c>
      <c r="Q1255" s="1229"/>
    </row>
    <row r="1256" spans="1:31" ht="11.1" customHeight="1">
      <c r="A1256" s="1982"/>
      <c r="B1256" s="1939"/>
      <c r="C1256" s="1936" t="s">
        <v>4256</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1515</v>
      </c>
      <c r="C1257" s="1936" t="s">
        <v>4253</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3563</v>
      </c>
      <c r="D1259" s="1908"/>
      <c r="E1259" s="1908"/>
      <c r="F1259" s="1908"/>
      <c r="G1259" s="1908"/>
      <c r="H1259" s="1908"/>
      <c r="I1259" s="1229"/>
      <c r="J1259" s="1229"/>
      <c r="K1259" s="1936" t="s">
        <v>1818</v>
      </c>
      <c r="L1259" s="1732"/>
      <c r="M1259" s="1732"/>
      <c r="N1259" s="1732"/>
      <c r="O1259" s="1732"/>
      <c r="P1259" s="1732"/>
      <c r="Q1259" s="1732"/>
    </row>
    <row r="1260" spans="1:31" ht="10.5" customHeight="1">
      <c r="A1260" s="1936" t="str">
        <f>'Part VIII-Threshold Criteria'!A90</f>
        <v>Proposed development is family, and Movie Nights and Exercise Classes are being proposed. The actitivites manager has been allocated on a proportional basis as this is a smaller development. Due to this we meet the requirements of 2 services for familty developments.</v>
      </c>
      <c r="B1260" s="1936"/>
      <c r="C1260" s="1936"/>
      <c r="D1260" s="1936"/>
      <c r="E1260" s="1936"/>
      <c r="F1260" s="1936"/>
      <c r="G1260" s="1936"/>
      <c r="H1260" s="1936"/>
      <c r="I1260" s="1936"/>
      <c r="J1260" s="1936"/>
      <c r="K1260" s="1936"/>
      <c r="L1260" s="1936"/>
      <c r="M1260" s="1936"/>
      <c r="N1260" s="1936"/>
      <c r="O1260" s="1936"/>
      <c r="P1260" s="1936"/>
      <c r="Q1260" s="1936"/>
      <c r="R1260" s="1973" t="s">
        <v>1227</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1749</v>
      </c>
      <c r="B1262" s="1922" t="s">
        <v>4692</v>
      </c>
      <c r="C1262" s="1922"/>
      <c r="D1262" s="1939"/>
      <c r="E1262" s="1939"/>
      <c r="F1262" s="1939"/>
      <c r="G1262" s="1939"/>
      <c r="H1262" s="1229" t="str">
        <f>'Part I-Project Information'!$K$40</f>
        <v>Rural</v>
      </c>
      <c r="J1262" s="1940" t="s">
        <v>4697</v>
      </c>
      <c r="K1262" s="449" t="str">
        <f>'Part I-Project Information'!$H$105</f>
        <v>Rural</v>
      </c>
      <c r="L1262" s="1940" t="s">
        <v>4307</v>
      </c>
      <c r="M1262" s="1908" t="str">
        <f>'Part I-Project Information'!$H$82</f>
        <v>Family</v>
      </c>
      <c r="O1262" s="1942" t="s">
        <v>1819</v>
      </c>
      <c r="P1262" s="1897"/>
      <c r="Q1262" s="1897"/>
    </row>
    <row r="1263" spans="1:31" ht="3" customHeight="1"/>
    <row r="1264" spans="1:31" ht="10.5" customHeight="1">
      <c r="A1264" s="1940" t="s">
        <v>1934</v>
      </c>
      <c r="B1264" s="449" t="s">
        <v>2394</v>
      </c>
      <c r="D1264" s="449"/>
      <c r="E1264" s="449"/>
      <c r="F1264" s="449"/>
      <c r="G1264" s="449"/>
      <c r="H1264" s="449"/>
      <c r="I1264" s="1815"/>
      <c r="J1264" s="1815"/>
      <c r="K1264" s="1815"/>
      <c r="L1264" s="1940" t="s">
        <v>1934</v>
      </c>
      <c r="M1264" s="449" t="str">
        <f>'Part VIII-Threshold Criteria'!M94</f>
        <v>Bowen National Research</v>
      </c>
      <c r="N1264" s="449"/>
      <c r="O1264" s="449"/>
      <c r="P1264" s="1815"/>
      <c r="Q1264" s="1229"/>
    </row>
    <row r="1265" spans="1:31" ht="10.5" customHeight="1">
      <c r="A1265" s="1940" t="s">
        <v>1936</v>
      </c>
      <c r="B1265" s="449" t="s">
        <v>4554</v>
      </c>
      <c r="D1265" s="449"/>
      <c r="E1265" s="449"/>
      <c r="F1265" s="449"/>
      <c r="L1265" s="1940" t="s">
        <v>1936</v>
      </c>
      <c r="M1265" s="449">
        <f>'Part VIII-Threshold Criteria'!M95</f>
        <v>4</v>
      </c>
      <c r="N1265" s="449"/>
      <c r="O1265" s="449"/>
      <c r="P1265" s="1815"/>
      <c r="Q1265" s="1229"/>
    </row>
    <row r="1266" spans="1:31" ht="10.5" customHeight="1">
      <c r="A1266" s="1940" t="s">
        <v>730</v>
      </c>
      <c r="B1266" s="449" t="s">
        <v>2776</v>
      </c>
      <c r="D1266" s="449"/>
      <c r="E1266" s="449"/>
      <c r="F1266" s="449"/>
      <c r="L1266" s="1940" t="s">
        <v>730</v>
      </c>
      <c r="M1266" s="2136">
        <f>'Part VIII-Threshold Criteria'!M96</f>
        <v>1</v>
      </c>
      <c r="N1266" s="2136"/>
      <c r="O1266" s="2136"/>
      <c r="P1266" s="2225"/>
      <c r="Q1266" s="1229"/>
    </row>
    <row r="1267" spans="1:31" ht="10.5" customHeight="1">
      <c r="A1267" s="1940" t="s">
        <v>2063</v>
      </c>
      <c r="B1267" s="449" t="s">
        <v>3663</v>
      </c>
      <c r="D1267" s="449"/>
      <c r="E1267" s="449"/>
      <c r="F1267" s="449"/>
      <c r="L1267" s="1940" t="s">
        <v>3664</v>
      </c>
      <c r="M1267" s="2226">
        <f>'Part VIII-Threshold Criteria'!M97</f>
        <v>0.14799999999999999</v>
      </c>
      <c r="N1267" s="2136"/>
      <c r="O1267" s="1941" t="s">
        <v>3803</v>
      </c>
      <c r="P1267" s="1985">
        <f>'Part VIII-Threshold Criteria'!P97</f>
        <v>0</v>
      </c>
      <c r="Q1267" s="1229"/>
    </row>
    <row r="1268" spans="1:31" ht="10.5" customHeight="1">
      <c r="A1268" s="1940" t="s">
        <v>1691</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2315</v>
      </c>
      <c r="E1269" s="1908" t="s">
        <v>598</v>
      </c>
      <c r="F1269" s="1908"/>
      <c r="H1269" s="449"/>
      <c r="I1269" s="1229" t="s">
        <v>2315</v>
      </c>
      <c r="J1269" s="1908" t="s">
        <v>598</v>
      </c>
      <c r="K1269" s="1908"/>
      <c r="M1269" s="449"/>
      <c r="N1269" s="1229" t="s">
        <v>2315</v>
      </c>
      <c r="O1269" s="1908" t="s">
        <v>598</v>
      </c>
      <c r="P1269" s="1908"/>
      <c r="Q1269" s="1940"/>
    </row>
    <row r="1270" spans="1:31" ht="10.5" customHeight="1">
      <c r="C1270" s="1940" t="s">
        <v>1693</v>
      </c>
      <c r="D1270" s="1229">
        <f>'Part VIII-Threshold Criteria'!D100</f>
        <v>0</v>
      </c>
      <c r="E1270" s="449" t="str">
        <f>'Part VIII-Threshold Criteria'!E100</f>
        <v>Ashton Place Apts.</v>
      </c>
      <c r="F1270" s="449"/>
      <c r="G1270" s="449"/>
      <c r="H1270" s="1940" t="s">
        <v>1695</v>
      </c>
      <c r="I1270" s="1229">
        <f>'Part VIII-Threshold Criteria'!I100</f>
        <v>0</v>
      </c>
      <c r="J1270" s="449" t="str">
        <f>'Part VIII-Threshold Criteria'!J100</f>
        <v>Royal Oaks</v>
      </c>
      <c r="K1270" s="449"/>
      <c r="L1270" s="449"/>
      <c r="M1270" s="1940" t="s">
        <v>1515</v>
      </c>
      <c r="N1270" s="1229">
        <f>'Part VIII-Threshold Criteria'!N100</f>
        <v>0</v>
      </c>
      <c r="O1270" s="449">
        <f>'Part VIII-Threshold Criteria'!O100</f>
        <v>0</v>
      </c>
      <c r="P1270" s="449"/>
      <c r="Q1270" s="449"/>
    </row>
    <row r="1271" spans="1:31" ht="10.5" customHeight="1">
      <c r="C1271" s="1940" t="s">
        <v>1694</v>
      </c>
      <c r="D1271" s="1229">
        <f>'Part VIII-Threshold Criteria'!D101</f>
        <v>0</v>
      </c>
      <c r="E1271" s="449" t="str">
        <f>'Part VIII-Threshold Criteria'!E101</f>
        <v>Pines at Willowbrook</v>
      </c>
      <c r="F1271" s="449"/>
      <c r="G1271" s="449"/>
      <c r="H1271" s="1940" t="s">
        <v>2303</v>
      </c>
      <c r="I1271" s="1229">
        <f>'Part VIII-Threshold Criteria'!I101</f>
        <v>0</v>
      </c>
      <c r="J1271" s="449" t="str">
        <f>'Part VIII-Threshold Criteria'!J101</f>
        <v>Sunset Pointe</v>
      </c>
      <c r="K1271" s="449"/>
      <c r="L1271" s="449"/>
      <c r="M1271" s="1940" t="s">
        <v>1516</v>
      </c>
      <c r="N1271" s="1229">
        <f>'Part VIII-Threshold Criteria'!N101</f>
        <v>0</v>
      </c>
      <c r="O1271" s="449">
        <f>'Part VIII-Threshold Criteria'!O101</f>
        <v>0</v>
      </c>
      <c r="P1271" s="449"/>
      <c r="Q1271" s="449"/>
    </row>
    <row r="1272" spans="1:31" ht="10.5" customHeight="1">
      <c r="A1272" s="1940" t="s">
        <v>1692</v>
      </c>
      <c r="B1272" s="449" t="s">
        <v>0</v>
      </c>
      <c r="D1272" s="449"/>
      <c r="E1272" s="449"/>
      <c r="F1272" s="449"/>
      <c r="G1272" s="449"/>
      <c r="H1272" s="449"/>
      <c r="I1272" s="1815"/>
      <c r="J1272" s="1815"/>
      <c r="K1272" s="449"/>
      <c r="L1272" s="1908"/>
      <c r="M1272" s="1908"/>
      <c r="O1272" s="1940" t="s">
        <v>1692</v>
      </c>
      <c r="P1272" s="1229" t="str">
        <f>'Part VIII-Threshold Criteria'!P102</f>
        <v>Yes</v>
      </c>
      <c r="Q1272" s="1229"/>
    </row>
    <row r="1273" spans="1:31" s="1910" customFormat="1" ht="43.2" customHeight="1">
      <c r="A1273" s="1942" t="s">
        <v>1898</v>
      </c>
      <c r="B1273" s="1936" t="s">
        <v>6869</v>
      </c>
      <c r="C1273" s="1936"/>
      <c r="D1273" s="1936"/>
      <c r="E1273" s="1936"/>
      <c r="F1273" s="1936"/>
      <c r="G1273" s="1936"/>
      <c r="H1273" s="1936"/>
      <c r="I1273" s="1936"/>
      <c r="J1273" s="1936"/>
      <c r="K1273" s="1936"/>
      <c r="L1273" s="1936"/>
      <c r="M1273" s="1936"/>
      <c r="N1273" s="1936"/>
      <c r="O1273" s="1942" t="s">
        <v>4787</v>
      </c>
      <c r="P1273" s="1938" t="str">
        <f>'Part VIII-Threshold Criteria'!P103</f>
        <v>Yes</v>
      </c>
      <c r="Q1273" s="1938"/>
    </row>
    <row r="1274" spans="1:31" s="1815" customFormat="1" ht="10.5" customHeight="1">
      <c r="A1274" s="1940"/>
      <c r="B1274" s="1939" t="s">
        <v>1694</v>
      </c>
      <c r="C1274" s="449" t="s">
        <v>4788</v>
      </c>
      <c r="D1274" s="449"/>
      <c r="E1274" s="449"/>
      <c r="F1274" s="449"/>
      <c r="G1274" s="449"/>
      <c r="H1274" s="449"/>
      <c r="K1274" s="449"/>
      <c r="L1274" s="1908"/>
      <c r="M1274" s="1908"/>
      <c r="O1274" s="1940" t="s">
        <v>1694</v>
      </c>
      <c r="P1274" s="1229" t="str">
        <f>'Part VIII-Threshold Criteria'!P104</f>
        <v>No</v>
      </c>
      <c r="Q1274" s="1229"/>
    </row>
    <row r="1275" spans="1:31" ht="9.75" customHeight="1">
      <c r="B1275" s="1908" t="s">
        <v>3563</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1818</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515</v>
      </c>
      <c r="B1279" s="1922" t="s">
        <v>2579</v>
      </c>
      <c r="C1279" s="1922"/>
      <c r="D1279" s="1939"/>
      <c r="E1279" s="1939"/>
      <c r="F1279" s="1939"/>
      <c r="G1279" s="1939"/>
      <c r="H1279" s="1939"/>
      <c r="I1279" s="1939"/>
      <c r="J1279" s="1939"/>
      <c r="K1279" s="1939"/>
      <c r="L1279" s="1939"/>
      <c r="M1279" s="1939"/>
      <c r="O1279" s="1942" t="s">
        <v>1819</v>
      </c>
      <c r="P1279" s="1897"/>
      <c r="Q1279" s="1897"/>
    </row>
    <row r="1280" spans="1:31" ht="3" customHeight="1"/>
    <row r="1281" spans="1:17" ht="10.5" customHeight="1">
      <c r="A1281" s="1940" t="s">
        <v>1934</v>
      </c>
      <c r="B1281" s="449" t="s">
        <v>4704</v>
      </c>
      <c r="C1281" s="449"/>
      <c r="E1281" s="449"/>
      <c r="F1281" s="449"/>
      <c r="G1281" s="449"/>
      <c r="H1281" s="449"/>
      <c r="I1281" s="449"/>
      <c r="J1281" s="449"/>
      <c r="K1281" s="449"/>
      <c r="L1281" s="1908"/>
      <c r="M1281" s="1908"/>
      <c r="O1281" s="1940" t="s">
        <v>1934</v>
      </c>
      <c r="P1281" s="1229" t="str">
        <f>'Part VIII-Threshold Criteria'!P111</f>
        <v>Yes</v>
      </c>
      <c r="Q1281" s="1229"/>
    </row>
    <row r="1282" spans="1:17" ht="10.5" customHeight="1">
      <c r="B1282" s="1939" t="s">
        <v>1693</v>
      </c>
      <c r="C1282" s="449" t="s">
        <v>537</v>
      </c>
      <c r="E1282" s="1815"/>
      <c r="F1282" s="1815"/>
      <c r="G1282" s="1815"/>
      <c r="H1282" s="1815"/>
      <c r="I1282" s="1815"/>
      <c r="L1282" s="1940" t="s">
        <v>538</v>
      </c>
      <c r="M1282" s="449" t="str">
        <f>'Part VIII-Threshold Criteria'!M112</f>
        <v>VSI APPRAISAL GROUP</v>
      </c>
      <c r="N1282" s="449"/>
      <c r="O1282" s="449"/>
      <c r="P1282" s="1815"/>
      <c r="Q1282" s="1229"/>
    </row>
    <row r="1283" spans="1:17" s="1815" customFormat="1" ht="9.75" customHeight="1">
      <c r="B1283" s="1908" t="s">
        <v>1694</v>
      </c>
      <c r="C1283" s="449" t="s">
        <v>4373</v>
      </c>
      <c r="O1283" s="1940" t="s">
        <v>1694</v>
      </c>
      <c r="P1283" s="1229" t="str">
        <f>'Part VIII-Threshold Criteria'!P113</f>
        <v>Yes</v>
      </c>
      <c r="Q1283" s="1229"/>
    </row>
    <row r="1284" spans="1:17" s="1815" customFormat="1" ht="9.75" customHeight="1">
      <c r="B1284" s="1939" t="s">
        <v>1695</v>
      </c>
      <c r="C1284" s="449" t="s">
        <v>4740</v>
      </c>
      <c r="O1284" s="1942" t="s">
        <v>1695</v>
      </c>
      <c r="P1284" s="2137">
        <f>'Part VIII-Threshold Criteria'!P114</f>
        <v>43969</v>
      </c>
      <c r="Q1284" s="2137"/>
    </row>
    <row r="1285" spans="1:17" ht="10.5" customHeight="1">
      <c r="A1285" s="1229"/>
      <c r="B1285" s="1939" t="s">
        <v>2303</v>
      </c>
      <c r="C1285" s="1908" t="s">
        <v>4257</v>
      </c>
      <c r="D1285" s="1922"/>
      <c r="E1285" s="1922"/>
      <c r="F1285" s="1922"/>
      <c r="G1285" s="1922"/>
      <c r="H1285" s="1922"/>
      <c r="I1285" s="1922"/>
      <c r="J1285" s="1922"/>
      <c r="K1285" s="1922"/>
      <c r="L1285" s="1922"/>
      <c r="M1285" s="1922"/>
      <c r="O1285" s="1942" t="s">
        <v>2303</v>
      </c>
      <c r="P1285" s="1229" t="str">
        <f>'Part VIII-Threshold Criteria'!P115</f>
        <v>Yes</v>
      </c>
      <c r="Q1285" s="1229"/>
    </row>
    <row r="1286" spans="1:17" ht="10.5" customHeight="1">
      <c r="A1286" s="1229"/>
      <c r="B1286" s="1939" t="s">
        <v>1515</v>
      </c>
      <c r="C1286" s="1908" t="s">
        <v>3350</v>
      </c>
      <c r="D1286" s="1922"/>
      <c r="E1286" s="1922"/>
      <c r="F1286" s="1922"/>
      <c r="G1286" s="1922"/>
      <c r="H1286" s="1922"/>
      <c r="I1286" s="1922"/>
      <c r="J1286" s="1922"/>
      <c r="K1286" s="1922"/>
      <c r="L1286" s="1922"/>
      <c r="M1286" s="1922"/>
      <c r="O1286" s="1942" t="s">
        <v>1515</v>
      </c>
      <c r="P1286" s="1229" t="str">
        <f>'Part VIII-Threshold Criteria'!P116</f>
        <v>Yes</v>
      </c>
      <c r="Q1286" s="1229"/>
    </row>
    <row r="1287" spans="1:17" ht="10.5" customHeight="1">
      <c r="A1287" s="1229"/>
      <c r="B1287" s="1939" t="s">
        <v>1516</v>
      </c>
      <c r="C1287" s="1908" t="s">
        <v>3351</v>
      </c>
      <c r="D1287" s="1922"/>
      <c r="E1287" s="1922"/>
      <c r="F1287" s="1922"/>
      <c r="G1287" s="1922"/>
      <c r="H1287" s="1922"/>
      <c r="I1287" s="1922"/>
      <c r="J1287" s="1922"/>
      <c r="K1287" s="1922"/>
      <c r="L1287" s="1922"/>
      <c r="M1287" s="1922"/>
      <c r="O1287" s="1942" t="s">
        <v>1516</v>
      </c>
      <c r="P1287" s="1229" t="str">
        <f>'Part VIII-Threshold Criteria'!P117</f>
        <v>Yes</v>
      </c>
      <c r="Q1287" s="1229"/>
    </row>
    <row r="1288" spans="1:17" ht="10.5" customHeight="1">
      <c r="A1288" s="1229"/>
      <c r="B1288" s="1939" t="s">
        <v>96</v>
      </c>
      <c r="C1288" s="1908" t="s">
        <v>2777</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499</v>
      </c>
      <c r="C1289" s="1936" t="s">
        <v>4557</v>
      </c>
      <c r="D1289" s="1936"/>
      <c r="E1289" s="1936"/>
      <c r="F1289" s="1936"/>
      <c r="G1289" s="1936"/>
      <c r="H1289" s="1936"/>
      <c r="I1289" s="1936"/>
      <c r="J1289" s="1936"/>
      <c r="K1289" s="1936"/>
      <c r="L1289" s="1936"/>
      <c r="M1289" s="1936"/>
      <c r="N1289" s="1936"/>
      <c r="O1289" s="1942" t="s">
        <v>499</v>
      </c>
      <c r="P1289" s="1938">
        <f>'Part VIII-Threshold Criteria'!P119</f>
        <v>0</v>
      </c>
      <c r="Q1289" s="1938"/>
    </row>
    <row r="1290" spans="1:17" ht="10.5" customHeight="1">
      <c r="A1290" s="1940" t="s">
        <v>1936</v>
      </c>
      <c r="B1290" s="449" t="s">
        <v>4556</v>
      </c>
      <c r="C1290" s="449"/>
      <c r="E1290" s="449"/>
      <c r="F1290" s="449"/>
      <c r="G1290" s="449"/>
      <c r="H1290" s="449"/>
      <c r="I1290" s="449"/>
      <c r="J1290" s="449"/>
      <c r="K1290" s="449"/>
      <c r="L1290" s="449"/>
      <c r="M1290" s="449"/>
      <c r="O1290" s="1940" t="s">
        <v>1936</v>
      </c>
      <c r="P1290" s="1229" t="str">
        <f>'Part VIII-Threshold Criteria'!P120</f>
        <v>No</v>
      </c>
      <c r="Q1290" s="1229"/>
    </row>
    <row r="1291" spans="1:17" ht="10.5" customHeight="1">
      <c r="B1291" s="1939" t="s">
        <v>1693</v>
      </c>
      <c r="C1291" s="449" t="s">
        <v>4796</v>
      </c>
      <c r="D1291" s="449"/>
      <c r="E1291" s="449"/>
      <c r="F1291" s="449"/>
      <c r="G1291" s="449"/>
      <c r="H1291" s="449"/>
      <c r="I1291" s="449"/>
      <c r="J1291" s="449"/>
      <c r="K1291" s="449"/>
      <c r="L1291" s="449"/>
      <c r="M1291" s="449"/>
      <c r="O1291" s="1942" t="s">
        <v>1693</v>
      </c>
      <c r="P1291" s="1229">
        <f>'Part VIII-Threshold Criteria'!P121</f>
        <v>0</v>
      </c>
      <c r="Q1291" s="1229"/>
    </row>
    <row r="1292" spans="1:17" ht="10.5" customHeight="1">
      <c r="A1292" s="1940"/>
      <c r="B1292" s="1908" t="s">
        <v>1694</v>
      </c>
      <c r="C1292" s="449" t="s">
        <v>4795</v>
      </c>
      <c r="D1292" s="449"/>
      <c r="E1292" s="449"/>
      <c r="F1292" s="449"/>
      <c r="G1292" s="449"/>
      <c r="H1292" s="449"/>
      <c r="I1292" s="449"/>
      <c r="J1292" s="449"/>
      <c r="K1292" s="449"/>
      <c r="L1292" s="449"/>
      <c r="M1292" s="449"/>
      <c r="O1292" s="1940" t="s">
        <v>1694</v>
      </c>
      <c r="P1292" s="1229">
        <f>'Part VIII-Threshold Criteria'!P122</f>
        <v>0</v>
      </c>
      <c r="Q1292" s="1229"/>
    </row>
    <row r="1293" spans="1:17" ht="10.5" customHeight="1">
      <c r="A1293" s="1940" t="s">
        <v>730</v>
      </c>
      <c r="B1293" s="449" t="s">
        <v>1399</v>
      </c>
      <c r="D1293" s="449"/>
      <c r="E1293" s="449"/>
      <c r="G1293" s="449"/>
      <c r="I1293" s="449"/>
      <c r="K1293" s="449"/>
      <c r="L1293" s="1908"/>
      <c r="M1293" s="1908"/>
      <c r="N1293" s="1908"/>
      <c r="O1293" s="1940" t="s">
        <v>730</v>
      </c>
      <c r="P1293" s="1908"/>
      <c r="Q1293" s="1908"/>
    </row>
    <row r="1294" spans="1:17" ht="10.5" customHeight="1">
      <c r="A1294" s="1940"/>
      <c r="B1294" s="1908" t="s">
        <v>1693</v>
      </c>
      <c r="C1294" s="449" t="s">
        <v>1400</v>
      </c>
      <c r="E1294" s="449"/>
      <c r="F1294" s="449"/>
      <c r="G1294" s="449"/>
      <c r="H1294" s="449"/>
      <c r="I1294" s="449"/>
      <c r="J1294" s="449"/>
      <c r="K1294" s="449"/>
      <c r="L1294" s="1908"/>
      <c r="M1294" s="1908"/>
      <c r="O1294" s="1940" t="s">
        <v>1693</v>
      </c>
      <c r="P1294" s="1229" t="str">
        <f>'Part VIII-Threshold Criteria'!P124</f>
        <v>No</v>
      </c>
      <c r="Q1294" s="1229"/>
    </row>
    <row r="1295" spans="1:17" ht="10.5" customHeight="1">
      <c r="B1295" s="1908" t="s">
        <v>1694</v>
      </c>
      <c r="C1295" s="449" t="s">
        <v>1401</v>
      </c>
      <c r="E1295" s="449"/>
      <c r="F1295" s="449"/>
      <c r="G1295" s="449"/>
      <c r="H1295" s="449"/>
      <c r="I1295" s="449"/>
      <c r="J1295" s="449"/>
      <c r="K1295" s="449"/>
      <c r="L1295" s="1908"/>
      <c r="M1295" s="1908"/>
      <c r="O1295" s="1940" t="s">
        <v>1694</v>
      </c>
      <c r="P1295" s="1229" t="str">
        <f>'Part VIII-Threshold Criteria'!P125</f>
        <v>No</v>
      </c>
      <c r="Q1295" s="1229"/>
    </row>
    <row r="1296" spans="1:17" ht="10.5" customHeight="1">
      <c r="B1296" s="1908" t="s">
        <v>1695</v>
      </c>
      <c r="C1296" s="449" t="s">
        <v>1402</v>
      </c>
      <c r="E1296" s="449"/>
      <c r="F1296" s="449"/>
      <c r="G1296" s="449"/>
      <c r="H1296" s="449"/>
      <c r="I1296" s="449"/>
      <c r="J1296" s="449"/>
      <c r="K1296" s="449"/>
      <c r="L1296" s="1908"/>
      <c r="M1296" s="1908"/>
      <c r="O1296" s="1940" t="s">
        <v>1695</v>
      </c>
      <c r="P1296" s="1229" t="str">
        <f>'Part VIII-Threshold Criteria'!P126</f>
        <v>No</v>
      </c>
      <c r="Q1296" s="1229"/>
    </row>
    <row r="1297" spans="1:31" ht="10.5" customHeight="1">
      <c r="B1297" s="1908" t="s">
        <v>3563</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 identity of interest exists between the buyer and seller of the property. An appraisal has been provided due to the requirements of the DCA Rural HOME Preservation Set-Aside.</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1818</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753</v>
      </c>
      <c r="B1301" s="1922" t="s">
        <v>2580</v>
      </c>
      <c r="C1301" s="1908"/>
      <c r="D1301" s="1939"/>
      <c r="E1301" s="1939"/>
      <c r="F1301" s="1939"/>
      <c r="G1301" s="1939"/>
      <c r="H1301" s="1939"/>
      <c r="I1301" s="1939"/>
      <c r="J1301" s="1939"/>
      <c r="K1301" s="1939"/>
      <c r="L1301" s="1939"/>
      <c r="M1301" s="1939"/>
      <c r="O1301" s="1942" t="s">
        <v>1819</v>
      </c>
      <c r="P1301" s="1897"/>
      <c r="Q1301" s="1897"/>
    </row>
    <row r="1302" spans="1:31" ht="6.6" customHeight="1"/>
    <row r="1303" spans="1:31" ht="12" customHeight="1">
      <c r="A1303" s="1940" t="s">
        <v>1934</v>
      </c>
      <c r="B1303" s="449" t="s">
        <v>3467</v>
      </c>
      <c r="D1303" s="449"/>
      <c r="E1303" s="449"/>
      <c r="F1303" s="449"/>
      <c r="G1303" s="449"/>
      <c r="H1303" s="449"/>
      <c r="I1303" s="1815"/>
      <c r="J1303" s="1815"/>
      <c r="K1303" s="1940" t="s">
        <v>1934</v>
      </c>
      <c r="L1303" s="1897" t="str">
        <f>'Part VIII-Threshold Criteria'!L133</f>
        <v>United Consulting</v>
      </c>
      <c r="M1303" s="1897"/>
      <c r="N1303" s="1897"/>
      <c r="O1303" s="1897"/>
      <c r="P1303" s="1897"/>
      <c r="Q1303" s="1229"/>
    </row>
    <row r="1304" spans="1:31" ht="12" customHeight="1">
      <c r="A1304" s="1940" t="s">
        <v>1936</v>
      </c>
      <c r="B1304" s="449" t="s">
        <v>1504</v>
      </c>
      <c r="D1304" s="449"/>
      <c r="E1304" s="449"/>
      <c r="F1304" s="449"/>
      <c r="G1304" s="449"/>
      <c r="H1304" s="449"/>
      <c r="I1304" s="1815"/>
      <c r="J1304" s="1815"/>
      <c r="K1304" s="449"/>
      <c r="L1304" s="1908"/>
      <c r="O1304" s="1940" t="s">
        <v>1936</v>
      </c>
      <c r="P1304" s="1229" t="str">
        <f>'Part VIII-Threshold Criteria'!P134</f>
        <v>No</v>
      </c>
      <c r="Q1304" s="1229"/>
    </row>
    <row r="1305" spans="1:31" ht="12" customHeight="1">
      <c r="A1305" s="1940" t="s">
        <v>730</v>
      </c>
      <c r="B1305" s="449" t="s">
        <v>147</v>
      </c>
      <c r="D1305" s="449"/>
      <c r="E1305" s="449"/>
      <c r="F1305" s="449"/>
      <c r="G1305" s="449"/>
      <c r="H1305" s="449"/>
      <c r="I1305" s="1815"/>
      <c r="J1305" s="1815"/>
      <c r="K1305" s="1908"/>
      <c r="L1305" s="1908"/>
      <c r="O1305" s="1940" t="s">
        <v>730</v>
      </c>
      <c r="P1305" s="1229" t="str">
        <f>'Part VIII-Threshold Criteria'!P135</f>
        <v>Yes</v>
      </c>
      <c r="Q1305" s="1229"/>
    </row>
    <row r="1306" spans="1:31" ht="12" customHeight="1">
      <c r="A1306" s="1940"/>
      <c r="B1306" s="1908" t="s">
        <v>1693</v>
      </c>
      <c r="C1306" s="449" t="s">
        <v>2609</v>
      </c>
      <c r="E1306" s="449"/>
      <c r="F1306" s="449"/>
      <c r="G1306" s="449"/>
      <c r="H1306" s="449"/>
      <c r="I1306" s="1815"/>
      <c r="J1306" s="1815"/>
      <c r="K1306" s="1940" t="s">
        <v>1693</v>
      </c>
      <c r="L1306" s="1897" t="str">
        <f>'Part VIII-Threshold Criteria'!L136</f>
        <v>United Consulting</v>
      </c>
      <c r="M1306" s="1897"/>
      <c r="N1306" s="1897"/>
      <c r="O1306" s="1897"/>
      <c r="P1306" s="1897"/>
      <c r="Q1306" s="1229"/>
    </row>
    <row r="1307" spans="1:31" ht="12" customHeight="1">
      <c r="A1307" s="1904"/>
      <c r="B1307" s="1908" t="s">
        <v>1694</v>
      </c>
      <c r="C1307" s="449" t="s">
        <v>3352</v>
      </c>
      <c r="E1307" s="1815"/>
      <c r="F1307" s="1815"/>
      <c r="G1307" s="1815"/>
      <c r="H1307" s="449"/>
      <c r="I1307" s="1815"/>
      <c r="J1307" s="1815"/>
      <c r="K1307" s="449"/>
      <c r="L1307" s="1908"/>
      <c r="M1307" s="1908"/>
      <c r="O1307" s="1940" t="s">
        <v>1694</v>
      </c>
      <c r="P1307" s="1229">
        <f>'Part VIII-Threshold Criteria'!P137</f>
        <v>57</v>
      </c>
      <c r="Q1307" s="1229"/>
    </row>
    <row r="1308" spans="1:31" ht="12" customHeight="1">
      <c r="A1308" s="1904"/>
      <c r="B1308" s="1908" t="s">
        <v>1695</v>
      </c>
      <c r="C1308" s="449" t="s">
        <v>4242</v>
      </c>
      <c r="E1308" s="1815"/>
      <c r="F1308" s="1815"/>
      <c r="G1308" s="1815"/>
      <c r="H1308" s="449"/>
      <c r="I1308" s="1815"/>
      <c r="J1308" s="1815"/>
      <c r="K1308" s="449"/>
      <c r="L1308" s="1908"/>
      <c r="M1308" s="1908"/>
      <c r="O1308" s="1940" t="s">
        <v>1695</v>
      </c>
      <c r="P1308" s="1229" t="str">
        <f>'Part VIII-Threshold Criteria'!P138</f>
        <v>N/A</v>
      </c>
      <c r="Q1308" s="1229"/>
    </row>
    <row r="1309" spans="1:31" ht="12" customHeight="1">
      <c r="A1309" s="1940" t="s">
        <v>2063</v>
      </c>
      <c r="B1309" s="449" t="s">
        <v>1233</v>
      </c>
      <c r="D1309" s="449"/>
      <c r="E1309" s="449"/>
      <c r="F1309" s="449"/>
      <c r="G1309" s="449"/>
      <c r="H1309" s="449"/>
      <c r="I1309" s="1815"/>
      <c r="J1309" s="1815"/>
      <c r="K1309" s="449"/>
      <c r="L1309" s="1908"/>
      <c r="M1309" s="1908"/>
      <c r="N1309" s="1908"/>
      <c r="O1309" s="1940" t="s">
        <v>2063</v>
      </c>
    </row>
    <row r="1310" spans="1:31" ht="12" customHeight="1">
      <c r="A1310" s="1940"/>
      <c r="B1310" s="1908" t="s">
        <v>1693</v>
      </c>
      <c r="C1310" s="449" t="s">
        <v>145</v>
      </c>
      <c r="E1310" s="449"/>
      <c r="F1310" s="449"/>
      <c r="G1310" s="449"/>
      <c r="H1310" s="449"/>
      <c r="I1310" s="1815"/>
      <c r="J1310" s="1815"/>
      <c r="K1310" s="449"/>
      <c r="L1310" s="1908"/>
      <c r="M1310" s="1908"/>
      <c r="O1310" s="1940" t="s">
        <v>1693</v>
      </c>
      <c r="P1310" s="1229" t="str">
        <f>'Part VIII-Threshold Criteria'!P140</f>
        <v>No</v>
      </c>
      <c r="Q1310" s="1229"/>
    </row>
    <row r="1311" spans="1:31" ht="12" customHeight="1">
      <c r="A1311" s="1940"/>
      <c r="B1311" s="1908" t="s">
        <v>1694</v>
      </c>
      <c r="C1311" s="449" t="s">
        <v>1234</v>
      </c>
      <c r="E1311" s="449"/>
      <c r="F1311" s="449"/>
      <c r="G1311" s="449"/>
      <c r="H1311" s="1815"/>
      <c r="I1311" s="1815"/>
      <c r="J1311" s="1815"/>
      <c r="K1311" s="449"/>
      <c r="L1311" s="1908"/>
      <c r="M1311" s="1908"/>
      <c r="O1311" s="1940" t="s">
        <v>1694</v>
      </c>
      <c r="P1311" s="1229" t="str">
        <f>'Part VIII-Threshold Criteria'!P141</f>
        <v>No</v>
      </c>
      <c r="Q1311" s="1229"/>
    </row>
    <row r="1312" spans="1:31" ht="12" customHeight="1">
      <c r="A1312" s="1940"/>
      <c r="B1312" s="1908"/>
      <c r="C1312" s="449" t="s">
        <v>2560</v>
      </c>
      <c r="E1312" s="1940" t="s">
        <v>2370</v>
      </c>
      <c r="F1312" s="449" t="s">
        <v>2561</v>
      </c>
      <c r="G1312" s="1815"/>
      <c r="H1312" s="449"/>
      <c r="I1312" s="1815"/>
      <c r="J1312" s="1815"/>
      <c r="K1312" s="449"/>
      <c r="L1312" s="1908"/>
      <c r="M1312" s="1908"/>
      <c r="O1312" s="1940" t="s">
        <v>2370</v>
      </c>
      <c r="P1312" s="2138">
        <f>'Part VIII-Threshold Criteria'!P142</f>
        <v>0</v>
      </c>
      <c r="Q1312" s="2138"/>
    </row>
    <row r="1313" spans="1:17" ht="12" customHeight="1">
      <c r="A1313" s="1940"/>
      <c r="B1313" s="1908"/>
      <c r="E1313" s="1940" t="s">
        <v>2371</v>
      </c>
      <c r="F1313" s="449" t="s">
        <v>2562</v>
      </c>
      <c r="G1313" s="1815"/>
      <c r="H1313" s="449"/>
      <c r="I1313" s="1815"/>
      <c r="J1313" s="1815"/>
      <c r="K1313" s="449"/>
      <c r="L1313" s="1908"/>
      <c r="M1313" s="1908"/>
      <c r="O1313" s="1940" t="s">
        <v>2371</v>
      </c>
      <c r="P1313" s="1229">
        <f>'Part VIII-Threshold Criteria'!P143</f>
        <v>0</v>
      </c>
      <c r="Q1313" s="1229"/>
    </row>
    <row r="1314" spans="1:17" ht="12" customHeight="1">
      <c r="A1314" s="1940"/>
      <c r="B1314" s="1908"/>
      <c r="E1314" s="1940" t="s">
        <v>2372</v>
      </c>
      <c r="F1314" s="449" t="s">
        <v>2563</v>
      </c>
      <c r="G1314" s="1815"/>
      <c r="H1314" s="449"/>
      <c r="I1314" s="1815"/>
      <c r="J1314" s="1815"/>
      <c r="K1314" s="449"/>
      <c r="L1314" s="1908"/>
      <c r="M1314" s="1908"/>
      <c r="O1314" s="1940" t="s">
        <v>2372</v>
      </c>
      <c r="P1314" s="1229">
        <f>'Part VIII-Threshold Criteria'!P144</f>
        <v>0</v>
      </c>
      <c r="Q1314" s="1229"/>
    </row>
    <row r="1315" spans="1:17" ht="12" customHeight="1">
      <c r="A1315" s="1940"/>
      <c r="B1315" s="1908" t="s">
        <v>1695</v>
      </c>
      <c r="C1315" s="449" t="s">
        <v>1235</v>
      </c>
      <c r="E1315" s="449"/>
      <c r="F1315" s="449"/>
      <c r="G1315" s="449"/>
      <c r="H1315" s="449"/>
      <c r="I1315" s="1815"/>
      <c r="J1315" s="1815"/>
      <c r="K1315" s="449"/>
      <c r="L1315" s="1908"/>
      <c r="M1315" s="1908"/>
      <c r="O1315" s="1940" t="s">
        <v>1695</v>
      </c>
      <c r="P1315" s="1229" t="str">
        <f>'Part VIII-Threshold Criteria'!P145</f>
        <v>Yes</v>
      </c>
      <c r="Q1315" s="1229"/>
    </row>
    <row r="1316" spans="1:17" ht="12" customHeight="1">
      <c r="A1316" s="1940"/>
      <c r="B1316" s="1940"/>
      <c r="C1316" s="449" t="s">
        <v>2560</v>
      </c>
      <c r="E1316" s="1940" t="s">
        <v>2370</v>
      </c>
      <c r="F1316" s="449" t="s">
        <v>2564</v>
      </c>
      <c r="G1316" s="1815"/>
      <c r="H1316" s="449"/>
      <c r="I1316" s="1815"/>
      <c r="J1316" s="1815"/>
      <c r="K1316" s="449"/>
      <c r="L1316" s="1908"/>
      <c r="O1316" s="1940" t="s">
        <v>2370</v>
      </c>
      <c r="P1316" s="2138">
        <f>'Part VIII-Threshold Criteria'!P146</f>
        <v>0.02</v>
      </c>
      <c r="Q1316" s="2138"/>
    </row>
    <row r="1317" spans="1:17" ht="12" customHeight="1">
      <c r="A1317" s="1940"/>
      <c r="B1317" s="1940"/>
      <c r="E1317" s="1940" t="s">
        <v>2371</v>
      </c>
      <c r="F1317" s="449" t="s">
        <v>2565</v>
      </c>
      <c r="G1317" s="1815"/>
      <c r="H1317" s="449"/>
      <c r="I1317" s="1815"/>
      <c r="J1317" s="1815"/>
      <c r="O1317" s="1940" t="s">
        <v>2371</v>
      </c>
      <c r="P1317" s="1229" t="str">
        <f>'Part VIII-Threshold Criteria'!P147</f>
        <v>No</v>
      </c>
      <c r="Q1317" s="1229"/>
    </row>
    <row r="1318" spans="1:17" ht="12" customHeight="1">
      <c r="A1318" s="1940"/>
      <c r="B1318" s="1940"/>
      <c r="E1318" s="1940" t="s">
        <v>2372</v>
      </c>
      <c r="F1318" s="449" t="s">
        <v>2563</v>
      </c>
      <c r="G1318" s="1815"/>
      <c r="H1318" s="449"/>
      <c r="I1318" s="1815"/>
      <c r="J1318" s="1815"/>
      <c r="O1318" s="1940" t="s">
        <v>2372</v>
      </c>
      <c r="P1318" s="1229" t="str">
        <f>'Part VIII-Threshold Criteria'!P148</f>
        <v>Yes</v>
      </c>
      <c r="Q1318" s="1229"/>
    </row>
    <row r="1319" spans="1:17" ht="12" customHeight="1">
      <c r="A1319" s="1940" t="s">
        <v>1691</v>
      </c>
      <c r="B1319" s="1908" t="s">
        <v>2350</v>
      </c>
      <c r="D1319" s="449"/>
      <c r="E1319" s="449"/>
      <c r="F1319" s="449"/>
      <c r="G1319" s="449"/>
      <c r="H1319" s="449"/>
      <c r="I1319" s="1815"/>
      <c r="J1319" s="1815"/>
      <c r="K1319" s="449"/>
      <c r="L1319" s="1908"/>
      <c r="M1319" s="1908"/>
      <c r="N1319" s="1908"/>
      <c r="O1319" s="1908"/>
      <c r="P1319" s="1908"/>
      <c r="Q1319" s="1908"/>
    </row>
    <row r="1320" spans="1:17" ht="12" customHeight="1">
      <c r="B1320" s="1908" t="s">
        <v>1693</v>
      </c>
      <c r="C1320" s="449" t="s">
        <v>2428</v>
      </c>
      <c r="E1320" s="449"/>
      <c r="F1320" s="1229" t="str">
        <f>'Part VIII-Threshold Criteria'!F150</f>
        <v>No</v>
      </c>
      <c r="G1320" s="1229"/>
      <c r="H1320" s="1940" t="s">
        <v>4404</v>
      </c>
      <c r="I1320" s="1945" t="s">
        <v>2567</v>
      </c>
      <c r="L1320" s="1229" t="str">
        <f>'Part VIII-Threshold Criteria'!L150</f>
        <v>No</v>
      </c>
      <c r="M1320" s="1229"/>
      <c r="N1320" s="1940" t="s">
        <v>4408</v>
      </c>
      <c r="O1320" s="449" t="s">
        <v>1518</v>
      </c>
      <c r="P1320" s="1229" t="str">
        <f>'Part VIII-Threshold Criteria'!P150</f>
        <v>No</v>
      </c>
      <c r="Q1320" s="1229"/>
    </row>
    <row r="1321" spans="1:17" ht="12" customHeight="1">
      <c r="A1321" s="449"/>
      <c r="B1321" s="1908" t="s">
        <v>1694</v>
      </c>
      <c r="C1321" s="449" t="s">
        <v>2708</v>
      </c>
      <c r="E1321" s="449"/>
      <c r="F1321" s="1229" t="str">
        <f>'Part VIII-Threshold Criteria'!F151</f>
        <v>No</v>
      </c>
      <c r="G1321" s="1229"/>
      <c r="H1321" s="1940" t="s">
        <v>4405</v>
      </c>
      <c r="I1321" s="1945" t="s">
        <v>2568</v>
      </c>
      <c r="L1321" s="1229" t="str">
        <f>'Part VIII-Threshold Criteria'!L151</f>
        <v>No</v>
      </c>
      <c r="M1321" s="1229"/>
      <c r="N1321" s="1940" t="s">
        <v>4409</v>
      </c>
      <c r="O1321" s="449" t="s">
        <v>1517</v>
      </c>
      <c r="P1321" s="1229" t="str">
        <f>'Part VIII-Threshold Criteria'!P151</f>
        <v>No</v>
      </c>
      <c r="Q1321" s="1229"/>
    </row>
    <row r="1322" spans="1:17" ht="12" customHeight="1">
      <c r="A1322" s="449"/>
      <c r="B1322" s="1908" t="s">
        <v>1695</v>
      </c>
      <c r="C1322" s="449" t="s">
        <v>2566</v>
      </c>
      <c r="E1322" s="449"/>
      <c r="F1322" s="1229" t="str">
        <f>'Part VIII-Threshold Criteria'!F152</f>
        <v>No</v>
      </c>
      <c r="G1322" s="1229"/>
      <c r="H1322" s="1940" t="s">
        <v>4406</v>
      </c>
      <c r="I1322" s="1945" t="s">
        <v>3628</v>
      </c>
      <c r="L1322" s="1229" t="str">
        <f>'Part VIII-Threshold Criteria'!L152</f>
        <v>No</v>
      </c>
      <c r="M1322" s="1229"/>
      <c r="N1322" s="1940" t="s">
        <v>4410</v>
      </c>
      <c r="O1322" s="449" t="s">
        <v>1519</v>
      </c>
      <c r="P1322" s="1229" t="str">
        <f>'Part VIII-Threshold Criteria'!P152</f>
        <v>No</v>
      </c>
      <c r="Q1322" s="1229"/>
    </row>
    <row r="1323" spans="1:17" ht="12" customHeight="1">
      <c r="A1323" s="449"/>
      <c r="B1323" s="1908" t="s">
        <v>2303</v>
      </c>
      <c r="C1323" s="449" t="s">
        <v>2710</v>
      </c>
      <c r="E1323" s="449"/>
      <c r="F1323" s="1229" t="str">
        <f>'Part VIII-Threshold Criteria'!F153</f>
        <v>No</v>
      </c>
      <c r="G1323" s="1229"/>
      <c r="H1323" s="1940" t="s">
        <v>4407</v>
      </c>
      <c r="I1323" s="449" t="s">
        <v>2707</v>
      </c>
      <c r="L1323" s="1229" t="str">
        <f>'Part VIII-Threshold Criteria'!L153</f>
        <v>No</v>
      </c>
      <c r="M1323" s="1229"/>
      <c r="O1323" s="1940"/>
    </row>
    <row r="1324" spans="1:17" ht="12" customHeight="1">
      <c r="A1324" s="449"/>
      <c r="B1324" s="1908" t="s">
        <v>2789</v>
      </c>
      <c r="C1324" s="449" t="s">
        <v>2709</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1692</v>
      </c>
      <c r="B1326" s="449" t="s">
        <v>3434</v>
      </c>
      <c r="D1326" s="449"/>
      <c r="E1326" s="449"/>
      <c r="F1326" s="449"/>
      <c r="G1326" s="449"/>
      <c r="H1326" s="449"/>
      <c r="I1326" s="1815"/>
      <c r="J1326" s="1815"/>
      <c r="K1326" s="449"/>
      <c r="L1326" s="449"/>
      <c r="M1326" s="1908"/>
    </row>
    <row r="1327" spans="1:17" ht="12" customHeight="1">
      <c r="A1327" s="1815"/>
      <c r="B1327" s="1908" t="s">
        <v>1693</v>
      </c>
      <c r="C1327" s="449" t="s">
        <v>2711</v>
      </c>
      <c r="E1327" s="449"/>
      <c r="F1327" s="449"/>
      <c r="G1327" s="449"/>
      <c r="H1327" s="449"/>
      <c r="O1327" s="1940" t="s">
        <v>1693</v>
      </c>
      <c r="P1327" s="1229">
        <f>'Part VIII-Threshold Criteria'!P157</f>
        <v>0</v>
      </c>
      <c r="Q1327" s="1229"/>
    </row>
    <row r="1328" spans="1:17" ht="12" customHeight="1">
      <c r="A1328" s="1229"/>
      <c r="B1328" s="1908" t="s">
        <v>1694</v>
      </c>
      <c r="C1328" s="449" t="s">
        <v>479</v>
      </c>
      <c r="E1328" s="449"/>
      <c r="F1328" s="449"/>
      <c r="G1328" s="449"/>
      <c r="H1328" s="449"/>
      <c r="I1328" s="1815"/>
      <c r="J1328" s="1815"/>
      <c r="K1328" s="449"/>
      <c r="L1328" s="449"/>
      <c r="M1328" s="449"/>
      <c r="O1328" s="1940" t="s">
        <v>1694</v>
      </c>
      <c r="P1328" s="1229">
        <f>'Part VIII-Threshold Criteria'!P158</f>
        <v>0</v>
      </c>
      <c r="Q1328" s="1229"/>
    </row>
    <row r="1329" spans="1:31" ht="12" customHeight="1">
      <c r="A1329" s="1229"/>
      <c r="B1329" s="1908" t="s">
        <v>1695</v>
      </c>
      <c r="C1329" s="449" t="s">
        <v>662</v>
      </c>
      <c r="E1329" s="449"/>
      <c r="F1329" s="449"/>
      <c r="G1329" s="449"/>
      <c r="H1329" s="449"/>
      <c r="I1329" s="1815"/>
      <c r="J1329" s="1815"/>
      <c r="K1329" s="449"/>
      <c r="L1329" s="449"/>
      <c r="M1329" s="449"/>
      <c r="O1329" s="1940" t="s">
        <v>1695</v>
      </c>
      <c r="P1329" s="1229">
        <f>'Part VIII-Threshold Criteria'!P159</f>
        <v>0</v>
      </c>
      <c r="Q1329" s="1229"/>
    </row>
    <row r="1330" spans="1:31" ht="12" customHeight="1">
      <c r="A1330" s="1229"/>
      <c r="B1330" s="1908" t="s">
        <v>2303</v>
      </c>
      <c r="C1330" s="449" t="s">
        <v>4390</v>
      </c>
      <c r="E1330" s="449"/>
      <c r="F1330" s="449"/>
      <c r="G1330" s="449"/>
      <c r="H1330" s="449"/>
      <c r="I1330" s="1815"/>
      <c r="J1330" s="1815"/>
      <c r="K1330" s="449"/>
      <c r="L1330" s="449"/>
      <c r="M1330" s="449"/>
      <c r="O1330" s="1940" t="s">
        <v>2303</v>
      </c>
      <c r="P1330" s="1229">
        <f>'Part VIII-Threshold Criteria'!P160</f>
        <v>0</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1898</v>
      </c>
      <c r="B1332" s="1936" t="s">
        <v>6928</v>
      </c>
      <c r="C1332" s="1936"/>
      <c r="D1332" s="1936"/>
      <c r="E1332" s="1936"/>
      <c r="F1332" s="1936"/>
      <c r="G1332" s="1936"/>
      <c r="H1332" s="1936"/>
      <c r="I1332" s="1936"/>
      <c r="J1332" s="1936"/>
      <c r="K1332" s="1936"/>
      <c r="L1332" s="1936"/>
      <c r="M1332" s="1940" t="s">
        <v>1898</v>
      </c>
      <c r="N1332" s="1936" t="str">
        <f>'Part VIII-Threshold Criteria'!N162</f>
        <v>&lt;&lt;Select&gt;&gt;</v>
      </c>
      <c r="O1332" s="1936"/>
      <c r="P1332" s="1936" t="s">
        <v>1726</v>
      </c>
      <c r="Q1332" s="1936"/>
    </row>
    <row r="1333" spans="1:31" ht="11.25" customHeight="1">
      <c r="B1333" s="1908" t="s">
        <v>3563</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Development as proposed meets all DCA environmental requirements.</v>
      </c>
      <c r="B1334" s="1936"/>
      <c r="C1334" s="1936"/>
      <c r="D1334" s="1936"/>
      <c r="E1334" s="1936"/>
      <c r="F1334" s="1936"/>
      <c r="G1334" s="1936"/>
      <c r="H1334" s="1936"/>
      <c r="I1334" s="1936"/>
      <c r="J1334" s="1936"/>
      <c r="K1334" s="1936"/>
      <c r="L1334" s="1936"/>
      <c r="M1334" s="1936"/>
      <c r="N1334" s="1936"/>
      <c r="O1334" s="1936"/>
      <c r="P1334" s="1936"/>
      <c r="Q1334" s="1936"/>
      <c r="R1334" s="1973" t="s">
        <v>1227</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1818</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2581</v>
      </c>
      <c r="C1339" s="1922"/>
      <c r="D1339" s="1939"/>
      <c r="E1339" s="1939"/>
      <c r="F1339" s="1939"/>
      <c r="G1339" s="1939"/>
      <c r="H1339" s="1939"/>
      <c r="I1339" s="1939"/>
      <c r="J1339" s="1939"/>
      <c r="K1339" s="1939"/>
      <c r="O1339" s="1942" t="s">
        <v>1819</v>
      </c>
      <c r="P1339" s="1897"/>
      <c r="Q1339" s="1897"/>
    </row>
    <row r="1340" spans="1:31" ht="12" customHeight="1">
      <c r="A1340" s="1940" t="s">
        <v>1934</v>
      </c>
      <c r="B1340" s="1908" t="s">
        <v>1693</v>
      </c>
      <c r="C1340" s="449" t="s">
        <v>6870</v>
      </c>
      <c r="D1340" s="449"/>
      <c r="E1340" s="449"/>
      <c r="F1340" s="449"/>
      <c r="G1340" s="449"/>
      <c r="K1340" s="449" t="s">
        <v>2625</v>
      </c>
      <c r="M1340" s="2227">
        <f>'Part VIII-Threshold Criteria'!M170</f>
        <v>44435</v>
      </c>
      <c r="N1340" s="2227"/>
      <c r="O1340" s="1940" t="s">
        <v>1693</v>
      </c>
      <c r="P1340" s="1229" t="str">
        <f>'Part VIII-Threshold Criteria'!P170</f>
        <v>Yes</v>
      </c>
      <c r="Q1340" s="1229"/>
    </row>
    <row r="1341" spans="1:31" ht="12" customHeight="1">
      <c r="A1341" s="1940"/>
      <c r="B1341" s="1908" t="s">
        <v>1694</v>
      </c>
      <c r="C1341" s="449" t="s">
        <v>6871</v>
      </c>
      <c r="D1341" s="449"/>
      <c r="E1341" s="449"/>
      <c r="F1341" s="449"/>
      <c r="G1341" s="449"/>
      <c r="K1341" s="449" t="s">
        <v>2625</v>
      </c>
      <c r="M1341" s="2227">
        <f>'Part VIII-Threshold Criteria'!M171</f>
        <v>0</v>
      </c>
      <c r="N1341" s="2227"/>
      <c r="O1341" s="1940" t="s">
        <v>1694</v>
      </c>
      <c r="P1341" s="1229">
        <f>'Part VIII-Threshold Criteria'!P171</f>
        <v>0</v>
      </c>
      <c r="Q1341" s="1229"/>
    </row>
    <row r="1342" spans="1:31" ht="12" customHeight="1">
      <c r="A1342" s="1940" t="s">
        <v>1936</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1936</v>
      </c>
      <c r="N1342" s="1945" t="str">
        <f>'Part VIII-Threshold Criteria'!N172</f>
        <v>Purchase Contract</v>
      </c>
      <c r="O1342" s="1945"/>
      <c r="P1342" s="1945" t="s">
        <v>1726</v>
      </c>
      <c r="Q1342" s="1945"/>
    </row>
    <row r="1343" spans="1:31" ht="12" customHeight="1">
      <c r="A1343" s="1940" t="s">
        <v>730</v>
      </c>
      <c r="B1343" s="1936" t="s">
        <v>663</v>
      </c>
      <c r="D1343" s="1936"/>
      <c r="E1343" s="1936"/>
      <c r="F1343" s="1936"/>
      <c r="G1343" s="1936"/>
      <c r="H1343" s="1936"/>
      <c r="J1343" s="1940" t="s">
        <v>730</v>
      </c>
      <c r="K1343" s="449" t="str">
        <f>'Part VIII-Threshold Criteria'!K173</f>
        <v>Twin Oaks Commons LLC</v>
      </c>
      <c r="L1343" s="449"/>
      <c r="M1343" s="449"/>
      <c r="N1343" s="449"/>
      <c r="O1343" s="449"/>
      <c r="P1343" s="449"/>
      <c r="Q1343" s="1229"/>
    </row>
    <row r="1344" spans="1:31" ht="12" customHeight="1">
      <c r="B1344" s="1908" t="s">
        <v>3563</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Development site is under control and the site control contract meets applicable DCA requirements. The entity with site control is the applicant. The seller of the property is an unrelated third party. The site control inspection period ends on December 30, 2020 and the closing date if no extensions are exercised is 08/27/21. This is through November 30, 2020. Exercising all of the extensions will lead to a final contract date of 08/27/21. Which greatly exceeds November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1818</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2582</v>
      </c>
      <c r="C1349" s="1922"/>
      <c r="D1349" s="1939"/>
      <c r="E1349" s="1939"/>
      <c r="F1349" s="1939"/>
      <c r="G1349" s="1939"/>
      <c r="H1349" s="1939"/>
      <c r="I1349" s="1939"/>
      <c r="J1349" s="1939"/>
      <c r="K1349" s="1939"/>
      <c r="L1349" s="1939"/>
      <c r="M1349" s="1939"/>
      <c r="O1349" s="1942" t="s">
        <v>1819</v>
      </c>
      <c r="P1349" s="1897"/>
      <c r="Q1349" s="1897"/>
    </row>
    <row r="1350" spans="1:31" ht="21.75" customHeight="1">
      <c r="A1350" s="1942" t="s">
        <v>1934</v>
      </c>
      <c r="B1350" s="1936" t="s">
        <v>3554</v>
      </c>
      <c r="C1350" s="1936"/>
      <c r="D1350" s="1936"/>
      <c r="E1350" s="1936"/>
      <c r="F1350" s="1936"/>
      <c r="G1350" s="1936"/>
      <c r="H1350" s="1936"/>
      <c r="I1350" s="1936"/>
      <c r="J1350" s="1936"/>
      <c r="K1350" s="1936"/>
      <c r="L1350" s="1936"/>
      <c r="M1350" s="1936"/>
      <c r="N1350" s="1936"/>
      <c r="O1350" s="1942" t="s">
        <v>1934</v>
      </c>
      <c r="P1350" s="1938" t="str">
        <f>'Part VIII-Threshold Criteria'!P180</f>
        <v>Yes</v>
      </c>
      <c r="Q1350" s="1938"/>
    </row>
    <row r="1351" spans="1:31" ht="22.35" customHeight="1">
      <c r="A1351" s="1942" t="s">
        <v>1936</v>
      </c>
      <c r="B1351" s="1936" t="s">
        <v>4258</v>
      </c>
      <c r="C1351" s="1936"/>
      <c r="D1351" s="1936"/>
      <c r="E1351" s="1936"/>
      <c r="F1351" s="1936"/>
      <c r="G1351" s="1936"/>
      <c r="H1351" s="1936"/>
      <c r="I1351" s="1936"/>
      <c r="J1351" s="1936"/>
      <c r="K1351" s="1936"/>
      <c r="L1351" s="1936"/>
      <c r="M1351" s="1936"/>
      <c r="N1351" s="1936"/>
      <c r="O1351" s="1942" t="s">
        <v>1936</v>
      </c>
      <c r="P1351" s="1938">
        <f>'Part VIII-Threshold Criteria'!P181</f>
        <v>0</v>
      </c>
      <c r="Q1351" s="1938"/>
    </row>
    <row r="1352" spans="1:31" ht="22.35" customHeight="1">
      <c r="A1352" s="1942" t="s">
        <v>730</v>
      </c>
      <c r="B1352" s="1936" t="s">
        <v>3555</v>
      </c>
      <c r="C1352" s="1936"/>
      <c r="D1352" s="1936"/>
      <c r="E1352" s="1936"/>
      <c r="F1352" s="1936"/>
      <c r="G1352" s="1936"/>
      <c r="H1352" s="1936"/>
      <c r="I1352" s="1936"/>
      <c r="J1352" s="1936"/>
      <c r="K1352" s="1936"/>
      <c r="L1352" s="1936"/>
      <c r="M1352" s="1936"/>
      <c r="N1352" s="1936"/>
      <c r="O1352" s="1942" t="s">
        <v>730</v>
      </c>
      <c r="P1352" s="1938">
        <f>'Part VIII-Threshold Criteria'!P182</f>
        <v>0</v>
      </c>
      <c r="Q1352" s="1938"/>
    </row>
    <row r="1353" spans="1:31" ht="21.75" customHeight="1">
      <c r="A1353" s="1942" t="s">
        <v>2063</v>
      </c>
      <c r="B1353" s="1936" t="s">
        <v>4351</v>
      </c>
      <c r="C1353" s="1936"/>
      <c r="D1353" s="1936"/>
      <c r="E1353" s="1936"/>
      <c r="F1353" s="1936"/>
      <c r="G1353" s="1936"/>
      <c r="H1353" s="1936"/>
      <c r="I1353" s="1936"/>
      <c r="J1353" s="1936"/>
      <c r="K1353" s="1936"/>
      <c r="L1353" s="1936"/>
      <c r="M1353" s="1936"/>
      <c r="N1353" s="1936"/>
      <c r="O1353" s="1942" t="s">
        <v>2063</v>
      </c>
      <c r="P1353" s="1938">
        <f>'Part VIII-Threshold Criteria'!P183</f>
        <v>0</v>
      </c>
      <c r="Q1353" s="1938"/>
    </row>
    <row r="1354" spans="1:31" ht="12" customHeight="1">
      <c r="B1354" s="1908" t="s">
        <v>3563</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development site is located directly off of a public road. S. McDonald Street is a public street in the City of Ludowici. All properties, including our development site, that have frontage
along S. McDonald Street has the right to connect and utilize this road. We have provided a letter from the City stating as much.</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1818</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2583</v>
      </c>
      <c r="C1359" s="1815"/>
      <c r="D1359" s="1815"/>
      <c r="O1359" s="1942" t="s">
        <v>1819</v>
      </c>
      <c r="P1359" s="1897"/>
      <c r="Q1359" s="1897"/>
    </row>
    <row r="1360" spans="1:31" ht="12" customHeight="1">
      <c r="A1360" s="1942" t="s">
        <v>1934</v>
      </c>
      <c r="B1360" s="1939" t="s">
        <v>459</v>
      </c>
      <c r="D1360" s="1939"/>
      <c r="E1360" s="1939"/>
      <c r="F1360" s="1939"/>
      <c r="G1360" s="1939"/>
      <c r="H1360" s="1939"/>
      <c r="I1360" s="1939"/>
      <c r="J1360" s="1939"/>
      <c r="K1360" s="1939"/>
      <c r="L1360" s="1939"/>
      <c r="M1360" s="1939"/>
      <c r="O1360" s="1942" t="s">
        <v>1934</v>
      </c>
      <c r="P1360" s="1229" t="str">
        <f>'Part VIII-Threshold Criteria'!P190</f>
        <v>Yes</v>
      </c>
      <c r="Q1360" s="1229"/>
    </row>
    <row r="1361" spans="1:31" ht="12" customHeight="1">
      <c r="A1361" s="1942" t="s">
        <v>1936</v>
      </c>
      <c r="B1361" s="1939" t="s">
        <v>2569</v>
      </c>
      <c r="D1361" s="1939"/>
      <c r="E1361" s="1939"/>
      <c r="F1361" s="1939"/>
      <c r="G1361" s="1939"/>
      <c r="H1361" s="1939"/>
      <c r="I1361" s="1939"/>
      <c r="J1361" s="1939"/>
      <c r="K1361" s="1939"/>
      <c r="L1361" s="1939"/>
      <c r="M1361" s="1939"/>
      <c r="O1361" s="1942" t="s">
        <v>1936</v>
      </c>
      <c r="P1361" s="1229" t="str">
        <f>'Part VIII-Threshold Criteria'!P191</f>
        <v>Yes</v>
      </c>
      <c r="Q1361" s="1229"/>
    </row>
    <row r="1362" spans="1:31" ht="12" customHeight="1">
      <c r="A1362" s="1942" t="s">
        <v>730</v>
      </c>
      <c r="B1362" s="1939" t="s">
        <v>2570</v>
      </c>
      <c r="D1362" s="1939"/>
      <c r="E1362" s="1939"/>
      <c r="F1362" s="1939"/>
      <c r="G1362" s="1939"/>
      <c r="H1362" s="1939"/>
      <c r="I1362" s="1939"/>
      <c r="J1362" s="1936" t="s">
        <v>4363</v>
      </c>
      <c r="L1362" s="1939"/>
      <c r="M1362" s="1939"/>
      <c r="O1362" s="1942" t="s">
        <v>730</v>
      </c>
      <c r="P1362" s="1229" t="str">
        <f>'Part VIII-Threshold Criteria'!P192</f>
        <v>Yes</v>
      </c>
      <c r="Q1362" s="1229"/>
    </row>
    <row r="1363" spans="1:31" ht="12" customHeight="1">
      <c r="B1363" s="1908" t="s">
        <v>1693</v>
      </c>
      <c r="C1363" s="1908" t="s">
        <v>2571</v>
      </c>
      <c r="G1363" s="1939"/>
      <c r="H1363" s="1939"/>
      <c r="J1363" s="1939"/>
      <c r="K1363" s="1939"/>
      <c r="L1363" s="1939"/>
      <c r="M1363" s="1939"/>
      <c r="O1363" s="1943" t="s">
        <v>1693</v>
      </c>
      <c r="P1363" s="1229" t="str">
        <f>'Part VIII-Threshold Criteria'!P193</f>
        <v>Yes</v>
      </c>
      <c r="Q1363" s="1229"/>
    </row>
    <row r="1364" spans="1:31" ht="12" customHeight="1">
      <c r="A1364" s="1936"/>
      <c r="B1364" s="1908" t="s">
        <v>1694</v>
      </c>
      <c r="C1364" s="1908" t="s">
        <v>6929</v>
      </c>
      <c r="G1364" s="1939"/>
      <c r="H1364" s="1939"/>
      <c r="I1364" s="1939"/>
      <c r="J1364" s="1939"/>
      <c r="K1364" s="1939"/>
      <c r="L1364" s="1939"/>
      <c r="M1364" s="1939"/>
      <c r="O1364" s="1943" t="s">
        <v>1694</v>
      </c>
      <c r="P1364" s="1229" t="str">
        <f>'Part VIII-Threshold Criteria'!P194</f>
        <v>Yes</v>
      </c>
      <c r="Q1364" s="1229"/>
    </row>
    <row r="1365" spans="1:31" s="1910" customFormat="1" ht="21.75" customHeight="1">
      <c r="A1365" s="1942"/>
      <c r="B1365" s="1939" t="s">
        <v>1695</v>
      </c>
      <c r="C1365" s="1936" t="s">
        <v>3556</v>
      </c>
      <c r="D1365" s="1936"/>
      <c r="E1365" s="1936"/>
      <c r="F1365" s="1936"/>
      <c r="G1365" s="1936"/>
      <c r="H1365" s="1936"/>
      <c r="I1365" s="1936"/>
      <c r="J1365" s="1936"/>
      <c r="K1365" s="1936"/>
      <c r="L1365" s="1936"/>
      <c r="M1365" s="1936"/>
      <c r="N1365" s="1936"/>
      <c r="O1365" s="1942" t="s">
        <v>1695</v>
      </c>
      <c r="P1365" s="1938" t="str">
        <f>'Part VIII-Threshold Criteria'!P195</f>
        <v>Yes</v>
      </c>
      <c r="Q1365" s="1938"/>
    </row>
    <row r="1366" spans="1:31" ht="12" customHeight="1">
      <c r="A1366" s="1942"/>
      <c r="B1366" s="1908" t="s">
        <v>2303</v>
      </c>
      <c r="C1366" s="1908" t="s">
        <v>2573</v>
      </c>
      <c r="G1366" s="1939"/>
      <c r="H1366" s="1939"/>
      <c r="I1366" s="1939"/>
      <c r="J1366" s="1939"/>
      <c r="K1366" s="1939"/>
      <c r="L1366" s="1939"/>
      <c r="M1366" s="1939"/>
      <c r="O1366" s="1943" t="s">
        <v>2303</v>
      </c>
      <c r="P1366" s="1229" t="str">
        <f>'Part VIII-Threshold Criteria'!P196</f>
        <v>Yes</v>
      </c>
      <c r="Q1366" s="1229"/>
    </row>
    <row r="1367" spans="1:31" s="1910" customFormat="1" ht="21.75" customHeight="1">
      <c r="A1367" s="1942"/>
      <c r="B1367" s="1939" t="s">
        <v>1515</v>
      </c>
      <c r="C1367" s="1936" t="s">
        <v>2574</v>
      </c>
      <c r="D1367" s="1936"/>
      <c r="E1367" s="1936"/>
      <c r="F1367" s="1936"/>
      <c r="G1367" s="1936"/>
      <c r="H1367" s="1936"/>
      <c r="I1367" s="1936"/>
      <c r="J1367" s="1936"/>
      <c r="K1367" s="1936"/>
      <c r="L1367" s="1936"/>
      <c r="M1367" s="1936"/>
      <c r="N1367" s="1936"/>
      <c r="O1367" s="1942" t="s">
        <v>1515</v>
      </c>
      <c r="P1367" s="1938" t="str">
        <f>'Part VIII-Threshold Criteria'!P197</f>
        <v>Yes</v>
      </c>
      <c r="Q1367" s="1938"/>
    </row>
    <row r="1368" spans="1:31" s="1910" customFormat="1" ht="21.75" customHeight="1">
      <c r="A1368" s="1942"/>
      <c r="B1368" s="1939" t="s">
        <v>1516</v>
      </c>
      <c r="C1368" s="1936" t="s">
        <v>3665</v>
      </c>
      <c r="D1368" s="1936"/>
      <c r="E1368" s="1936"/>
      <c r="F1368" s="1936"/>
      <c r="G1368" s="1936"/>
      <c r="H1368" s="1936"/>
      <c r="I1368" s="1936"/>
      <c r="J1368" s="1936"/>
      <c r="K1368" s="1936"/>
      <c r="L1368" s="1936"/>
      <c r="M1368" s="1936"/>
      <c r="N1368" s="1936"/>
      <c r="O1368" s="1942" t="s">
        <v>1516</v>
      </c>
      <c r="P1368" s="1938" t="str">
        <f>'Part VIII-Threshold Criteria'!P198</f>
        <v>N/Ap</v>
      </c>
      <c r="Q1368" s="1938"/>
    </row>
    <row r="1369" spans="1:31" ht="21.75" customHeight="1">
      <c r="A1369" s="1942" t="s">
        <v>2063</v>
      </c>
      <c r="B1369" s="1936" t="s">
        <v>2575</v>
      </c>
      <c r="C1369" s="1936"/>
      <c r="D1369" s="1936"/>
      <c r="E1369" s="1936"/>
      <c r="F1369" s="1936"/>
      <c r="G1369" s="1936"/>
      <c r="H1369" s="1936"/>
      <c r="I1369" s="1936"/>
      <c r="J1369" s="1936"/>
      <c r="K1369" s="1936"/>
      <c r="L1369" s="1936"/>
      <c r="M1369" s="1936"/>
      <c r="N1369" s="1936"/>
      <c r="O1369" s="1942" t="s">
        <v>2063</v>
      </c>
      <c r="P1369" s="1938" t="str">
        <f>'Part VIII-Threshold Criteria'!P199</f>
        <v>Yes</v>
      </c>
      <c r="Q1369" s="1938"/>
    </row>
    <row r="1370" spans="1:31" ht="12" customHeight="1">
      <c r="A1370" s="1942" t="s">
        <v>1691</v>
      </c>
      <c r="B1370" s="1939" t="s">
        <v>2316</v>
      </c>
      <c r="D1370" s="1939"/>
      <c r="E1370" s="1939"/>
      <c r="F1370" s="1939"/>
      <c r="G1370" s="1939"/>
      <c r="H1370" s="1939"/>
      <c r="I1370" s="1939"/>
      <c r="J1370" s="1939"/>
      <c r="K1370" s="1939"/>
      <c r="L1370" s="1939"/>
      <c r="M1370" s="1939"/>
      <c r="O1370" s="1942" t="s">
        <v>1691</v>
      </c>
      <c r="P1370" s="1229" t="str">
        <f>'Part VIII-Threshold Criteria'!P200</f>
        <v>Yes</v>
      </c>
      <c r="Q1370" s="1229"/>
    </row>
    <row r="1371" spans="1:31" ht="12" customHeight="1">
      <c r="B1371" s="1908" t="s">
        <v>3563</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Zoning is in place at the time of application submission and all applicable Georgia DCA requirements are being met. We have provided a letter from Long County / City of Ludowici Planning and Zoning Board stating that all applicable zoning is in place and there are no further restrictions.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1818</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2584</v>
      </c>
      <c r="C1376" s="1922"/>
      <c r="D1376" s="1939"/>
      <c r="E1376" s="1981"/>
      <c r="F1376" s="1981"/>
      <c r="G1376" s="1939"/>
      <c r="J1376" s="1936"/>
      <c r="K1376" s="1936"/>
      <c r="L1376" s="1936"/>
      <c r="M1376" s="1936"/>
      <c r="N1376" s="1936"/>
      <c r="O1376" s="1942" t="s">
        <v>1819</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1693</v>
      </c>
      <c r="I1378" s="449" t="s">
        <v>148</v>
      </c>
      <c r="J1378" s="449" t="str">
        <f>'Part VIII-Threshold Criteria'!J208</f>
        <v>N/A</v>
      </c>
      <c r="K1378" s="449"/>
      <c r="L1378" s="449"/>
      <c r="M1378" s="449"/>
      <c r="N1378" s="449"/>
      <c r="O1378" s="1940" t="s">
        <v>1693</v>
      </c>
      <c r="P1378" s="1229" t="str">
        <f>'Part VIII-Threshold Criteria'!P208</f>
        <v>No</v>
      </c>
      <c r="Q1378" s="1229"/>
    </row>
    <row r="1379" spans="1:31" ht="11.25" customHeight="1">
      <c r="A1379" s="1904"/>
      <c r="B1379" s="1908" t="s">
        <v>3563</v>
      </c>
      <c r="C1379" s="1910"/>
      <c r="D1379" s="1910"/>
      <c r="E1379" s="1910"/>
      <c r="F1379" s="1910"/>
      <c r="H1379" s="1940" t="s">
        <v>1694</v>
      </c>
      <c r="I1379" s="449" t="s">
        <v>1562</v>
      </c>
      <c r="J1379" s="449" t="str">
        <f>'Part VIII-Threshold Criteria'!J209</f>
        <v>Georgia Power</v>
      </c>
      <c r="K1379" s="449"/>
      <c r="L1379" s="449"/>
      <c r="M1379" s="449"/>
      <c r="N1379" s="449"/>
      <c r="O1379" s="1940" t="s">
        <v>1694</v>
      </c>
      <c r="P1379" s="1229" t="str">
        <f>'Part VIII-Threshold Criteria'!P209</f>
        <v>Yes</v>
      </c>
      <c r="Q1379" s="1229"/>
    </row>
    <row r="1380" spans="1:31" ht="11.4" customHeight="1">
      <c r="A1380" s="1936" t="str">
        <f>'Part VIII-Threshold Criteria'!A210</f>
        <v>Georgia Power Company is currently providing electricity to the site and have provided a letter. They state that no further improvements are needed to continue providing power.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1818</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2585</v>
      </c>
      <c r="C1384" s="1815"/>
      <c r="D1384" s="449"/>
      <c r="E1384" s="449"/>
      <c r="F1384" s="449"/>
      <c r="G1384" s="1939"/>
      <c r="H1384" s="1939"/>
      <c r="I1384" s="1939"/>
      <c r="J1384" s="1939"/>
      <c r="K1384" s="1939"/>
      <c r="L1384" s="1939"/>
      <c r="M1384" s="1939"/>
      <c r="O1384" s="1942" t="s">
        <v>1819</v>
      </c>
      <c r="P1384" s="1897"/>
      <c r="Q1384" s="1897"/>
    </row>
    <row r="1385" spans="1:31" ht="11.4" customHeight="1">
      <c r="A1385" s="1942" t="s">
        <v>1934</v>
      </c>
      <c r="B1385" s="1936" t="s">
        <v>1801</v>
      </c>
      <c r="C1385" s="1936"/>
      <c r="D1385" s="1936"/>
      <c r="E1385" s="1936"/>
      <c r="F1385" s="1936"/>
      <c r="G1385" s="1936"/>
      <c r="H1385" s="1940" t="s">
        <v>1693</v>
      </c>
      <c r="I1385" s="449" t="s">
        <v>616</v>
      </c>
      <c r="J1385" s="449" t="str">
        <f>'Part VIII-Threshold Criteria'!J215</f>
        <v>City of Ludowici</v>
      </c>
      <c r="K1385" s="449"/>
      <c r="L1385" s="449"/>
      <c r="M1385" s="449"/>
      <c r="N1385" s="449"/>
      <c r="O1385" s="1942" t="s">
        <v>1454</v>
      </c>
      <c r="P1385" s="1229" t="str">
        <f>'Part VIII-Threshold Criteria'!P215</f>
        <v>Yes</v>
      </c>
      <c r="Q1385" s="1229"/>
    </row>
    <row r="1386" spans="1:31" ht="11.4" customHeight="1">
      <c r="A1386" s="1815"/>
      <c r="B1386" s="1936"/>
      <c r="C1386" s="1936"/>
      <c r="D1386" s="1936"/>
      <c r="E1386" s="1936"/>
      <c r="F1386" s="1936"/>
      <c r="G1386" s="1936"/>
      <c r="H1386" s="1940" t="s">
        <v>1694</v>
      </c>
      <c r="I1386" s="449" t="s">
        <v>113</v>
      </c>
      <c r="J1386" s="449" t="str">
        <f>'Part VIII-Threshold Criteria'!J216</f>
        <v>City of Ludowici</v>
      </c>
      <c r="K1386" s="449"/>
      <c r="L1386" s="449"/>
      <c r="M1386" s="449"/>
      <c r="N1386" s="449"/>
      <c r="O1386" s="1942" t="s">
        <v>1694</v>
      </c>
      <c r="P1386" s="1229" t="str">
        <f>'Part VIII-Threshold Criteria'!P216</f>
        <v>Yes</v>
      </c>
      <c r="Q1386" s="1229"/>
    </row>
    <row r="1387" spans="1:31" ht="12" customHeight="1">
      <c r="A1387" s="1942" t="s">
        <v>1936</v>
      </c>
      <c r="B1387" s="449" t="s">
        <v>3670</v>
      </c>
      <c r="D1387" s="449"/>
      <c r="E1387" s="449"/>
      <c r="F1387" s="449"/>
      <c r="G1387" s="449"/>
      <c r="H1387" s="449"/>
      <c r="I1387" s="449"/>
      <c r="J1387" s="449"/>
      <c r="K1387" s="1815"/>
      <c r="L1387" s="449"/>
      <c r="M1387" s="449"/>
      <c r="O1387" s="1940" t="s">
        <v>1936</v>
      </c>
      <c r="P1387" s="1229" t="str">
        <f>'Part VIII-Threshold Criteria'!P217</f>
        <v>Yes</v>
      </c>
      <c r="Q1387" s="1229"/>
    </row>
    <row r="1388" spans="1:31" ht="12" customHeight="1">
      <c r="A1388" s="1940" t="s">
        <v>730</v>
      </c>
      <c r="B1388" s="449" t="s">
        <v>3671</v>
      </c>
      <c r="D1388" s="449"/>
      <c r="E1388" s="449"/>
      <c r="F1388" s="449"/>
      <c r="G1388" s="449"/>
      <c r="H1388" s="449"/>
      <c r="I1388" s="449"/>
      <c r="J1388" s="449"/>
      <c r="K1388" s="1815"/>
      <c r="L1388" s="449"/>
      <c r="M1388" s="449"/>
      <c r="O1388" s="1940" t="s">
        <v>730</v>
      </c>
      <c r="P1388" s="1229">
        <f>'Part VIII-Threshold Criteria'!P218</f>
        <v>0</v>
      </c>
      <c r="Q1388" s="1229"/>
    </row>
    <row r="1389" spans="1:31" ht="11.25" customHeight="1">
      <c r="B1389" s="1908" t="s">
        <v>3563</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City of Jesup has provided a letter of availability for water and sewer included in the application. No annexation or improvements are required. Additionally, the City of Ludowici confirmed that the service at the development site is current and on-going.</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1818</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1682</v>
      </c>
      <c r="B1394" s="1922" t="s">
        <v>2586</v>
      </c>
      <c r="C1394" s="1908"/>
      <c r="D1394" s="1939"/>
      <c r="E1394" s="1939"/>
      <c r="F1394" s="1939"/>
      <c r="G1394" s="1939"/>
      <c r="H1394" s="1939"/>
      <c r="I1394" s="1939"/>
      <c r="J1394" s="1939"/>
      <c r="K1394" s="1939"/>
      <c r="L1394" s="1939"/>
      <c r="M1394" s="1939"/>
      <c r="O1394" s="1942" t="s">
        <v>1819</v>
      </c>
      <c r="P1394" s="1897"/>
      <c r="Q1394" s="1897"/>
    </row>
    <row r="1395" spans="1:18" ht="11.4" customHeight="1">
      <c r="B1395" s="1945" t="s">
        <v>1166</v>
      </c>
      <c r="N1395" s="1874"/>
      <c r="P1395" s="1229" t="str">
        <f>'Part VIII-Threshold Criteria'!P225</f>
        <v>No</v>
      </c>
      <c r="Q1395" s="1229"/>
    </row>
    <row r="1396" spans="1:18" ht="12" customHeight="1">
      <c r="A1396" s="1940" t="s">
        <v>1934</v>
      </c>
      <c r="B1396" s="449" t="s">
        <v>6973</v>
      </c>
      <c r="D1396" s="1815"/>
      <c r="E1396" s="1815"/>
      <c r="F1396" s="1815"/>
      <c r="G1396" s="1815"/>
      <c r="H1396" s="1815"/>
      <c r="I1396" s="1815"/>
      <c r="J1396" s="1815"/>
      <c r="K1396" s="1815"/>
      <c r="L1396" s="1815"/>
      <c r="M1396" s="1815"/>
      <c r="O1396" s="1940" t="s">
        <v>1934</v>
      </c>
      <c r="P1396" s="1229" t="str">
        <f>'Part VIII-Threshold Criteria'!P226</f>
        <v>Agree</v>
      </c>
      <c r="Q1396" s="1229"/>
    </row>
    <row r="1397" spans="1:18" ht="11.4" customHeight="1">
      <c r="A1397" s="1940"/>
      <c r="B1397" s="1908" t="s">
        <v>1693</v>
      </c>
      <c r="C1397" s="449" t="s">
        <v>1882</v>
      </c>
      <c r="E1397" s="449"/>
      <c r="F1397" s="449"/>
      <c r="G1397" s="449"/>
      <c r="H1397" s="449"/>
      <c r="I1397" s="1815"/>
      <c r="J1397" s="1940" t="s">
        <v>1454</v>
      </c>
      <c r="K1397" s="449" t="str">
        <f>'Part VIII-Threshold Criteria'!K227</f>
        <v>Room</v>
      </c>
      <c r="L1397" s="449"/>
      <c r="Q1397" s="1229"/>
    </row>
    <row r="1398" spans="1:18" ht="11.4" customHeight="1">
      <c r="A1398" s="1940"/>
      <c r="B1398" s="1908" t="s">
        <v>1694</v>
      </c>
      <c r="C1398" s="1908" t="s">
        <v>4243</v>
      </c>
      <c r="E1398" s="1908"/>
      <c r="F1398" s="1908"/>
      <c r="G1398" s="1908"/>
      <c r="H1398" s="1908"/>
      <c r="I1398" s="1815"/>
      <c r="J1398" s="1940" t="s">
        <v>1455</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1695</v>
      </c>
      <c r="C1399" s="1908" t="s">
        <v>4246</v>
      </c>
      <c r="E1399" s="1908"/>
      <c r="F1399" s="1908"/>
      <c r="G1399" s="1908"/>
      <c r="H1399" s="1908"/>
      <c r="I1399" s="1815"/>
      <c r="J1399" s="1940" t="s">
        <v>1456</v>
      </c>
      <c r="K1399" s="449" t="str">
        <f>'Part VIII-Threshold Criteria'!K229</f>
        <v>N/A - no NC involved</v>
      </c>
      <c r="L1399" s="449"/>
      <c r="M1399" s="449"/>
      <c r="N1399" s="449"/>
      <c r="O1399" s="449"/>
      <c r="Q1399" s="1229"/>
      <c r="R1399" s="1815"/>
    </row>
    <row r="1400" spans="1:18" ht="11.4" customHeight="1">
      <c r="A1400" s="1940"/>
      <c r="B1400" s="1908" t="s">
        <v>2303</v>
      </c>
      <c r="C1400" s="1908" t="s">
        <v>4245</v>
      </c>
      <c r="E1400" s="1908"/>
      <c r="F1400" s="1908"/>
      <c r="G1400" s="1908"/>
      <c r="H1400" s="1908"/>
      <c r="I1400" s="1815"/>
      <c r="J1400" s="1940" t="s">
        <v>4244</v>
      </c>
      <c r="K1400" s="449" t="str">
        <f>'Part VIII-Threshold Criteria'!K230</f>
        <v>On-site laundry</v>
      </c>
      <c r="L1400" s="449"/>
      <c r="M1400" s="449"/>
      <c r="N1400" s="449"/>
      <c r="Q1400" s="1229"/>
      <c r="R1400" s="1815"/>
    </row>
    <row r="1401" spans="1:18" ht="11.25" customHeight="1">
      <c r="A1401" s="1940" t="s">
        <v>1936</v>
      </c>
      <c r="B1401" s="449" t="s">
        <v>6930</v>
      </c>
      <c r="D1401" s="449"/>
      <c r="E1401" s="449"/>
      <c r="F1401" s="449"/>
      <c r="G1401" s="449"/>
      <c r="H1401" s="449"/>
      <c r="I1401" s="449"/>
      <c r="J1401" s="449"/>
      <c r="K1401" s="1815"/>
      <c r="L1401" s="1815"/>
      <c r="M1401" s="1815"/>
      <c r="N1401" s="1815"/>
      <c r="O1401" s="1940" t="s">
        <v>1936</v>
      </c>
      <c r="P1401" s="1229" t="str">
        <f>'Part VIII-Threshold Criteria'!P231</f>
        <v>Agree</v>
      </c>
      <c r="Q1401" s="1229"/>
    </row>
    <row r="1402" spans="1:18" ht="11.1" customHeight="1">
      <c r="A1402" s="1940"/>
      <c r="B1402" s="449" t="s">
        <v>6872</v>
      </c>
      <c r="D1402" s="449"/>
      <c r="E1402" s="449"/>
      <c r="F1402" s="449"/>
      <c r="G1402" s="449"/>
      <c r="H1402" s="449"/>
      <c r="I1402" s="449"/>
      <c r="J1402" s="449"/>
      <c r="K1402" s="1815"/>
      <c r="L1402" s="1815"/>
      <c r="M1402" s="1815"/>
      <c r="N1402" s="1940" t="s">
        <v>3449</v>
      </c>
      <c r="O1402" s="2139">
        <f>'Part VI-Revenues &amp; Expenses'!$P$67</f>
        <v>40</v>
      </c>
      <c r="P1402" s="1945" t="s">
        <v>4401</v>
      </c>
      <c r="Q1402" s="1945"/>
    </row>
    <row r="1403" spans="1:18" ht="11.1" customHeight="1">
      <c r="A1403" s="1940"/>
      <c r="B1403" s="1908" t="s">
        <v>1693</v>
      </c>
      <c r="C1403" s="449" t="s">
        <v>4402</v>
      </c>
      <c r="D1403" s="449"/>
      <c r="E1403" s="449"/>
      <c r="F1403" s="449"/>
      <c r="H1403" s="1940" t="s">
        <v>4403</v>
      </c>
      <c r="I1403" s="449" t="s">
        <v>6826</v>
      </c>
      <c r="M1403" s="1815"/>
      <c r="N1403" s="1815"/>
      <c r="O1403" s="1816"/>
      <c r="P1403" s="1898" t="s">
        <v>754</v>
      </c>
      <c r="Q1403" s="1898" t="s">
        <v>4400</v>
      </c>
    </row>
    <row r="1404" spans="1:18" s="1951" customFormat="1" ht="11.4" customHeight="1">
      <c r="A1404" s="1229"/>
      <c r="B1404" s="1940" t="s">
        <v>2064</v>
      </c>
      <c r="C1404" s="1936" t="str">
        <f>'Part VIII-Threshold Criteria'!C234</f>
        <v>Fenced community gardens</v>
      </c>
      <c r="D1404" s="1936"/>
      <c r="E1404" s="1936"/>
      <c r="F1404" s="1936"/>
      <c r="G1404" s="1936"/>
      <c r="H1404" s="1940" t="s">
        <v>2064</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2065</v>
      </c>
      <c r="C1405" s="1936" t="str">
        <f>'Part VIII-Threshold Criteria'!C235</f>
        <v>Equipped playground</v>
      </c>
      <c r="D1405" s="1936"/>
      <c r="E1405" s="1936"/>
      <c r="F1405" s="1936"/>
      <c r="G1405" s="1936"/>
      <c r="H1405" s="1940" t="s">
        <v>2065</v>
      </c>
      <c r="I1405" s="1956">
        <f>'Part VIII-Threshold Criteria'!I235</f>
        <v>0</v>
      </c>
      <c r="J1405" s="1956"/>
      <c r="K1405" s="1956"/>
      <c r="L1405" s="1956"/>
      <c r="M1405" s="1956"/>
      <c r="N1405" s="1956"/>
      <c r="O1405" s="1956"/>
      <c r="P1405" s="1229"/>
      <c r="Q1405" s="1229"/>
    </row>
    <row r="1406" spans="1:18" s="1951" customFormat="1" ht="11.4" customHeight="1">
      <c r="A1406" s="1229"/>
      <c r="B1406" s="1940" t="s">
        <v>1690</v>
      </c>
      <c r="C1406" s="1936" t="str">
        <f>'Part VIII-Threshold Criteria'!C236</f>
        <v>(Select an amenity from options provided here)</v>
      </c>
      <c r="D1406" s="1936"/>
      <c r="E1406" s="1936"/>
      <c r="F1406" s="1936"/>
      <c r="G1406" s="1936"/>
      <c r="H1406" s="1940" t="s">
        <v>1690</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4411</v>
      </c>
      <c r="C1407" s="1936" t="str">
        <f>'Part VIII-Threshold Criteria'!C237</f>
        <v>(Select an amenity from options provided here)</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730</v>
      </c>
      <c r="B1408" s="449" t="s">
        <v>1353</v>
      </c>
      <c r="C1408" s="449"/>
      <c r="E1408" s="449"/>
      <c r="F1408" s="449"/>
      <c r="G1408" s="449"/>
      <c r="H1408" s="449"/>
      <c r="I1408" s="449"/>
      <c r="J1408" s="449"/>
      <c r="K1408" s="1815"/>
      <c r="L1408" s="449"/>
      <c r="M1408" s="449"/>
      <c r="O1408" s="1940" t="s">
        <v>730</v>
      </c>
      <c r="P1408" s="1229" t="str">
        <f>'Part VIII-Threshold Criteria'!P238</f>
        <v>Agree</v>
      </c>
      <c r="Q1408" s="1229"/>
    </row>
    <row r="1409" spans="1:31" ht="11.4" customHeight="1">
      <c r="A1409" s="1940"/>
      <c r="B1409" s="1908" t="s">
        <v>1693</v>
      </c>
      <c r="C1409" s="449" t="s">
        <v>3345</v>
      </c>
      <c r="E1409" s="449"/>
      <c r="F1409" s="449"/>
      <c r="L1409" s="1815"/>
      <c r="M1409" s="1815"/>
      <c r="O1409" s="1940" t="s">
        <v>1693</v>
      </c>
      <c r="P1409" s="1229" t="str">
        <f>'Part VIII-Threshold Criteria'!P239</f>
        <v>Yes</v>
      </c>
      <c r="Q1409" s="1229"/>
    </row>
    <row r="1410" spans="1:31" ht="11.4" customHeight="1">
      <c r="B1410" s="1908" t="s">
        <v>1694</v>
      </c>
      <c r="C1410" s="1908" t="s">
        <v>2712</v>
      </c>
      <c r="E1410" s="1908"/>
      <c r="F1410" s="1908"/>
      <c r="L1410" s="1815"/>
      <c r="M1410" s="1815"/>
      <c r="O1410" s="1940" t="s">
        <v>1694</v>
      </c>
      <c r="P1410" s="1229" t="str">
        <f>'Part VIII-Threshold Criteria'!P240</f>
        <v>Yes</v>
      </c>
      <c r="Q1410" s="1229"/>
    </row>
    <row r="1411" spans="1:31" ht="11.4" customHeight="1">
      <c r="B1411" s="1908" t="s">
        <v>1695</v>
      </c>
      <c r="C1411" s="1908" t="s">
        <v>4560</v>
      </c>
      <c r="E1411" s="1908"/>
      <c r="F1411" s="1908"/>
      <c r="G1411" s="1908"/>
      <c r="H1411" s="1908"/>
      <c r="I1411" s="1815"/>
      <c r="J1411" s="1815"/>
      <c r="K1411" s="1815"/>
      <c r="L1411" s="1815"/>
      <c r="M1411" s="1815"/>
      <c r="O1411" s="1940" t="s">
        <v>1695</v>
      </c>
      <c r="P1411" s="1229" t="str">
        <f>'Part VIII-Threshold Criteria'!P241</f>
        <v>Yes</v>
      </c>
      <c r="Q1411" s="1229"/>
    </row>
    <row r="1412" spans="1:31" ht="11.4" customHeight="1">
      <c r="A1412" s="1940"/>
      <c r="B1412" s="1908" t="s">
        <v>2303</v>
      </c>
      <c r="C1412" s="1908" t="s">
        <v>2713</v>
      </c>
      <c r="E1412" s="1908"/>
      <c r="F1412" s="1908"/>
      <c r="G1412" s="1908"/>
      <c r="H1412" s="1908"/>
      <c r="I1412" s="1815"/>
      <c r="J1412" s="1815"/>
      <c r="K1412" s="1815"/>
      <c r="L1412" s="1815"/>
      <c r="M1412" s="1815"/>
      <c r="O1412" s="1940" t="s">
        <v>2303</v>
      </c>
      <c r="P1412" s="1229" t="str">
        <f>'Part VIII-Threshold Criteria'!P242</f>
        <v>Yes</v>
      </c>
      <c r="Q1412" s="1229"/>
    </row>
    <row r="1413" spans="1:31" ht="11.4" customHeight="1">
      <c r="A1413" s="1940"/>
      <c r="B1413" s="1908" t="s">
        <v>1515</v>
      </c>
      <c r="C1413" s="1908" t="s">
        <v>2714</v>
      </c>
      <c r="E1413" s="1908"/>
      <c r="F1413" s="1908"/>
      <c r="G1413" s="1908"/>
      <c r="H1413" s="1908"/>
      <c r="I1413" s="1815"/>
      <c r="J1413" s="1815"/>
      <c r="K1413" s="1815"/>
      <c r="L1413" s="1815"/>
      <c r="M1413" s="1815"/>
      <c r="O1413" s="1940" t="s">
        <v>1515</v>
      </c>
      <c r="P1413" s="1229" t="str">
        <f>'Part VIII-Threshold Criteria'!P243</f>
        <v>Yes</v>
      </c>
      <c r="Q1413" s="1229"/>
    </row>
    <row r="1414" spans="1:31" ht="11.4" customHeight="1">
      <c r="A1414" s="1940"/>
      <c r="B1414" s="1908" t="s">
        <v>1516</v>
      </c>
      <c r="C1414" s="449" t="s">
        <v>6873</v>
      </c>
      <c r="E1414" s="449"/>
      <c r="F1414" s="449"/>
      <c r="G1414" s="449"/>
      <c r="H1414" s="449"/>
      <c r="I1414" s="1815"/>
      <c r="J1414" s="1815"/>
      <c r="K1414" s="1815"/>
      <c r="L1414" s="1815"/>
      <c r="M1414" s="1815"/>
      <c r="O1414" s="1940" t="s">
        <v>2704</v>
      </c>
      <c r="P1414" s="1229" t="str">
        <f>'Part VIII-Threshold Criteria'!P244</f>
        <v>Yes</v>
      </c>
      <c r="Q1414" s="1229"/>
    </row>
    <row r="1415" spans="1:31" ht="11.4" customHeight="1">
      <c r="A1415" s="1940"/>
      <c r="B1415" s="1940"/>
      <c r="C1415" s="449" t="s">
        <v>1457</v>
      </c>
      <c r="E1415" s="449"/>
      <c r="F1415" s="449"/>
      <c r="G1415" s="449"/>
      <c r="H1415" s="449"/>
      <c r="I1415" s="1815"/>
      <c r="J1415" s="1815"/>
      <c r="K1415" s="1815"/>
      <c r="L1415" s="1815"/>
      <c r="M1415" s="1815"/>
      <c r="O1415" s="1940" t="s">
        <v>2705</v>
      </c>
      <c r="P1415" s="1229" t="str">
        <f>'Part VIII-Threshold Criteria'!P245</f>
        <v>No</v>
      </c>
      <c r="Q1415" s="1229"/>
    </row>
    <row r="1416" spans="1:31" ht="11.25" customHeight="1">
      <c r="A1416" s="1940" t="s">
        <v>2063</v>
      </c>
      <c r="B1416" s="449" t="s">
        <v>4559</v>
      </c>
      <c r="C1416" s="449"/>
      <c r="E1416" s="449"/>
      <c r="F1416" s="449"/>
      <c r="G1416" s="449"/>
      <c r="H1416" s="449"/>
      <c r="I1416" s="449"/>
      <c r="J1416" s="449"/>
      <c r="K1416" s="1815"/>
      <c r="M1416" s="1940"/>
      <c r="N1416" s="1908" t="str">
        <f>'Part I-Project Information'!$H$82</f>
        <v>Family</v>
      </c>
      <c r="O1416" s="1940" t="s">
        <v>2063</v>
      </c>
      <c r="P1416" s="1229" t="str">
        <f>'Part VIII-Threshold Criteria'!P246</f>
        <v>N/A</v>
      </c>
      <c r="Q1416" s="1229"/>
    </row>
    <row r="1417" spans="1:31" ht="11.4" customHeight="1">
      <c r="B1417" s="1908" t="s">
        <v>1693</v>
      </c>
      <c r="C1417" s="449" t="s">
        <v>1228</v>
      </c>
      <c r="E1417" s="1815"/>
      <c r="F1417" s="1815"/>
      <c r="G1417" s="449"/>
      <c r="H1417" s="1908"/>
      <c r="I1417" s="1815"/>
      <c r="J1417" s="1908"/>
      <c r="K1417" s="1815"/>
      <c r="L1417" s="1908"/>
      <c r="M1417" s="1908"/>
      <c r="O1417" s="1940" t="s">
        <v>1693</v>
      </c>
      <c r="P1417" s="1229">
        <f>'Part VIII-Threshold Criteria'!P247</f>
        <v>0</v>
      </c>
      <c r="Q1417" s="1229"/>
    </row>
    <row r="1418" spans="1:31" ht="11.4" customHeight="1">
      <c r="B1418" s="1908" t="s">
        <v>1694</v>
      </c>
      <c r="C1418" s="449" t="s">
        <v>4259</v>
      </c>
      <c r="E1418" s="1815"/>
      <c r="F1418" s="1815"/>
      <c r="G1418" s="1908"/>
      <c r="H1418" s="1908"/>
      <c r="I1418" s="1815"/>
      <c r="J1418" s="1908"/>
      <c r="K1418" s="1815"/>
      <c r="L1418" s="1908"/>
      <c r="M1418" s="1908"/>
      <c r="O1418" s="1940" t="s">
        <v>1694</v>
      </c>
      <c r="P1418" s="1229">
        <f>'Part VIII-Threshold Criteria'!P248</f>
        <v>0</v>
      </c>
      <c r="Q1418" s="1229"/>
    </row>
    <row r="1419" spans="1:31" ht="11.25" customHeight="1">
      <c r="B1419" s="1908" t="s">
        <v>3563</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Section D. is not applicable for this development. This development is providing required amenities that meet applicable DCA requirements.</v>
      </c>
      <c r="B1420" s="1936"/>
      <c r="C1420" s="1936"/>
      <c r="D1420" s="1936"/>
      <c r="E1420" s="1936"/>
      <c r="F1420" s="1936"/>
      <c r="G1420" s="1936"/>
      <c r="H1420" s="1936"/>
      <c r="I1420" s="1936"/>
      <c r="J1420" s="1936"/>
      <c r="K1420" s="1936"/>
      <c r="L1420" s="1936"/>
      <c r="M1420" s="1936"/>
      <c r="N1420" s="1936"/>
      <c r="O1420" s="1936"/>
      <c r="P1420" s="1936"/>
      <c r="Q1420" s="1936"/>
      <c r="R1420" s="1973" t="s">
        <v>1227</v>
      </c>
      <c r="S1420" s="1973"/>
      <c r="U1420" s="1897"/>
      <c r="V1420" s="1897"/>
      <c r="W1420" s="1897"/>
      <c r="X1420" s="1897"/>
      <c r="Y1420" s="1897"/>
      <c r="Z1420" s="1897"/>
      <c r="AA1420" s="1897"/>
      <c r="AB1420" s="1897"/>
      <c r="AC1420" s="1897"/>
      <c r="AD1420" s="1897"/>
      <c r="AE1420" s="1897"/>
    </row>
    <row r="1421" spans="1:31" ht="11.25" customHeight="1">
      <c r="B1421" s="1936" t="s">
        <v>1818</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2689</v>
      </c>
      <c r="B1424" s="1815" t="s">
        <v>4561</v>
      </c>
      <c r="C1424" s="1815"/>
      <c r="D1424" s="449"/>
      <c r="E1424" s="449"/>
      <c r="F1424" s="449"/>
      <c r="G1424" s="449"/>
      <c r="H1424" s="1939"/>
      <c r="I1424" s="1939"/>
      <c r="J1424" s="1939"/>
      <c r="K1424" s="1939"/>
      <c r="L1424" s="1817"/>
      <c r="M1424" s="1944"/>
      <c r="O1424" s="1942" t="s">
        <v>1819</v>
      </c>
      <c r="P1424" s="1897"/>
      <c r="Q1424" s="1897"/>
    </row>
    <row r="1425" spans="1:17" ht="11.4" customHeight="1">
      <c r="A1425" s="1940" t="s">
        <v>1934</v>
      </c>
      <c r="B1425" s="449" t="s">
        <v>1241</v>
      </c>
      <c r="D1425" s="1815"/>
      <c r="E1425" s="449"/>
      <c r="F1425" s="449"/>
      <c r="J1425" s="1940" t="s">
        <v>1934</v>
      </c>
      <c r="K1425" s="449" t="str">
        <f>'Part VIII-Threshold Criteria'!K255</f>
        <v>Substantial Gut Rehab</v>
      </c>
      <c r="L1425" s="449"/>
      <c r="M1425" s="449"/>
      <c r="N1425" s="449"/>
      <c r="O1425" s="449"/>
      <c r="P1425" s="449" t="s">
        <v>1726</v>
      </c>
      <c r="Q1425" s="449"/>
    </row>
    <row r="1426" spans="1:17" ht="11.4" customHeight="1">
      <c r="A1426" s="1940" t="s">
        <v>1936</v>
      </c>
      <c r="B1426" s="449" t="s">
        <v>2715</v>
      </c>
      <c r="D1426" s="449"/>
      <c r="E1426" s="449"/>
      <c r="F1426" s="449"/>
      <c r="J1426" s="1940" t="s">
        <v>1936</v>
      </c>
      <c r="K1426" s="2140">
        <f>'Part VIII-Threshold Criteria'!K256</f>
        <v>43993</v>
      </c>
      <c r="L1426" s="2140"/>
      <c r="M1426" s="2140"/>
      <c r="N1426" s="2140"/>
      <c r="O1426" s="2140"/>
      <c r="P1426" s="2140"/>
      <c r="Q1426" s="2140"/>
    </row>
    <row r="1427" spans="1:17" ht="11.4" customHeight="1">
      <c r="A1427" s="1940"/>
      <c r="B1427" s="449" t="s">
        <v>1896</v>
      </c>
      <c r="D1427" s="449"/>
      <c r="E1427" s="449"/>
      <c r="F1427" s="449"/>
      <c r="K1427" s="449" t="str">
        <f>'Part VIII-Threshold Criteria'!K257</f>
        <v>Dominion Due Diligence Group</v>
      </c>
      <c r="L1427" s="449"/>
      <c r="M1427" s="449"/>
      <c r="N1427" s="449"/>
      <c r="O1427" s="449"/>
      <c r="P1427" s="449"/>
      <c r="Q1427" s="449"/>
    </row>
    <row r="1428" spans="1:17" ht="11.4" customHeight="1">
      <c r="A1428" s="1940"/>
      <c r="B1428" s="449" t="s">
        <v>2475</v>
      </c>
      <c r="D1428" s="449"/>
      <c r="E1428" s="449"/>
      <c r="F1428" s="449"/>
      <c r="G1428" s="449"/>
      <c r="H1428" s="449"/>
      <c r="I1428" s="1815"/>
      <c r="J1428" s="1815"/>
      <c r="M1428" s="449"/>
      <c r="N1428" s="1946"/>
      <c r="O1428" s="1940"/>
      <c r="P1428" s="1229" t="str">
        <f>'Part VIII-Threshold Criteria'!P258</f>
        <v>Yes</v>
      </c>
      <c r="Q1428" s="1229"/>
    </row>
    <row r="1429" spans="1:17" ht="11.4" customHeight="1">
      <c r="A1429" s="1940" t="s">
        <v>730</v>
      </c>
      <c r="B1429" s="449" t="s">
        <v>4352</v>
      </c>
      <c r="D1429" s="449"/>
      <c r="E1429" s="449"/>
      <c r="F1429" s="449"/>
      <c r="J1429" s="1940" t="s">
        <v>730</v>
      </c>
      <c r="K1429" s="2140">
        <f>'Part VIII-Threshold Criteria'!K259</f>
        <v>43992</v>
      </c>
      <c r="L1429" s="2140"/>
      <c r="M1429" s="2140"/>
      <c r="N1429" s="2140"/>
      <c r="O1429" s="2140"/>
      <c r="P1429" s="2140"/>
      <c r="Q1429" s="2140"/>
    </row>
    <row r="1430" spans="1:17" ht="11.4" customHeight="1">
      <c r="A1430" s="1940"/>
      <c r="B1430" s="449" t="s">
        <v>4264</v>
      </c>
      <c r="D1430" s="449"/>
      <c r="E1430" s="449"/>
      <c r="F1430" s="449"/>
    </row>
    <row r="1431" spans="1:17" ht="11.4" customHeight="1">
      <c r="A1431" s="1940"/>
      <c r="C1431" s="449" t="s">
        <v>4262</v>
      </c>
      <c r="D1431" s="449"/>
      <c r="E1431" s="449"/>
      <c r="F1431" s="449"/>
      <c r="K1431" s="1940" t="s">
        <v>4261</v>
      </c>
      <c r="L1431" s="1985">
        <f>'Part VIII-Threshold Criteria'!L261</f>
        <v>0.25</v>
      </c>
      <c r="M1431" s="449"/>
      <c r="N1431" s="1946"/>
      <c r="O1431" s="1946"/>
      <c r="P1431" s="1229" t="str">
        <f>'Part VIII-Threshold Criteria'!P261</f>
        <v>Yes</v>
      </c>
      <c r="Q1431" s="1229"/>
    </row>
    <row r="1432" spans="1:17" ht="11.4" customHeight="1">
      <c r="A1432" s="1940"/>
      <c r="B1432" s="449"/>
      <c r="C1432" s="1945" t="s">
        <v>4484</v>
      </c>
      <c r="D1432" s="449"/>
      <c r="E1432" s="449"/>
      <c r="F1432" s="449"/>
      <c r="K1432" s="1940" t="s">
        <v>4263</v>
      </c>
      <c r="L1432" s="2170">
        <f>'Part VIII-Threshold Criteria'!L262</f>
        <v>0</v>
      </c>
      <c r="M1432" s="449"/>
      <c r="N1432" s="1946"/>
      <c r="O1432" s="1946"/>
      <c r="P1432" s="1229">
        <f>'Part VIII-Threshold Criteria'!P262</f>
        <v>0</v>
      </c>
      <c r="Q1432" s="1229"/>
    </row>
    <row r="1433" spans="1:17" ht="11.4" customHeight="1">
      <c r="A1433" s="1940"/>
      <c r="B1433" s="449" t="s">
        <v>4260</v>
      </c>
      <c r="D1433" s="449"/>
      <c r="E1433" s="449"/>
      <c r="F1433" s="449"/>
      <c r="K1433" s="449" t="str">
        <f>'Part VIII-Threshold Criteria'!K263</f>
        <v>Jackie Queen</v>
      </c>
      <c r="L1433" s="449"/>
      <c r="M1433" s="449"/>
      <c r="N1433" s="449"/>
      <c r="O1433" s="449"/>
      <c r="P1433" s="449"/>
      <c r="Q1433" s="449"/>
    </row>
    <row r="1434" spans="1:17" ht="11.4" customHeight="1">
      <c r="A1434" s="1940" t="s">
        <v>2063</v>
      </c>
      <c r="B1434" s="449" t="s">
        <v>3672</v>
      </c>
      <c r="D1434" s="449"/>
      <c r="E1434" s="449"/>
      <c r="F1434" s="449"/>
      <c r="G1434" s="449"/>
      <c r="H1434" s="449"/>
      <c r="I1434" s="1815"/>
      <c r="J1434" s="1815"/>
      <c r="K1434" s="1815"/>
      <c r="M1434" s="449"/>
      <c r="N1434" s="1946"/>
      <c r="O1434" s="1940" t="s">
        <v>2063</v>
      </c>
      <c r="P1434" s="1229" t="str">
        <f>'Part VIII-Threshold Criteria'!P264</f>
        <v>Yes</v>
      </c>
      <c r="Q1434" s="1229"/>
    </row>
    <row r="1435" spans="1:17" ht="11.4" customHeight="1">
      <c r="A1435" s="1940"/>
      <c r="B1435" s="1936" t="s">
        <v>3569</v>
      </c>
      <c r="C1435" s="1936"/>
      <c r="D1435" s="1936"/>
      <c r="E1435" s="1936"/>
      <c r="F1435" s="1936"/>
      <c r="G1435" s="1936"/>
      <c r="H1435" s="1945" t="s">
        <v>3794</v>
      </c>
      <c r="K1435" s="1815"/>
      <c r="M1435" s="449"/>
      <c r="N1435" s="1946"/>
      <c r="O1435" s="1940" t="s">
        <v>1693</v>
      </c>
      <c r="P1435" s="1229" t="str">
        <f>'Part VIII-Threshold Criteria'!P265</f>
        <v>Yes</v>
      </c>
      <c r="Q1435" s="1229"/>
    </row>
    <row r="1436" spans="1:17" ht="11.4" customHeight="1">
      <c r="A1436" s="1940"/>
      <c r="B1436" s="1936"/>
      <c r="C1436" s="1936"/>
      <c r="D1436" s="1936"/>
      <c r="E1436" s="1936"/>
      <c r="F1436" s="1936"/>
      <c r="G1436" s="1936"/>
      <c r="H1436" s="1945" t="s">
        <v>3795</v>
      </c>
      <c r="K1436" s="1815"/>
      <c r="M1436" s="449"/>
      <c r="N1436" s="1946"/>
      <c r="O1436" s="1940" t="s">
        <v>1694</v>
      </c>
      <c r="P1436" s="1229" t="str">
        <f>'Part VIII-Threshold Criteria'!P266</f>
        <v>Yes</v>
      </c>
      <c r="Q1436" s="1229"/>
    </row>
    <row r="1437" spans="1:17" ht="11.4" customHeight="1">
      <c r="A1437" s="1940"/>
      <c r="B1437" s="449"/>
      <c r="D1437" s="449"/>
      <c r="E1437" s="449"/>
      <c r="F1437" s="449"/>
      <c r="G1437" s="449"/>
      <c r="H1437" s="1945" t="s">
        <v>3796</v>
      </c>
      <c r="K1437" s="1815"/>
      <c r="M1437" s="449"/>
      <c r="N1437" s="1946"/>
      <c r="O1437" s="1940" t="s">
        <v>1695</v>
      </c>
      <c r="P1437" s="1229" t="str">
        <f>'Part VIII-Threshold Criteria'!P267</f>
        <v>Yes</v>
      </c>
      <c r="Q1437" s="1229"/>
    </row>
    <row r="1438" spans="1:17" ht="11.4" customHeight="1">
      <c r="A1438" s="1940"/>
      <c r="B1438" s="449"/>
      <c r="D1438" s="449"/>
      <c r="E1438" s="449"/>
      <c r="F1438" s="449"/>
      <c r="G1438" s="449"/>
      <c r="H1438" s="1945" t="s">
        <v>3797</v>
      </c>
      <c r="K1438" s="1815"/>
      <c r="M1438" s="449"/>
      <c r="N1438" s="1946"/>
      <c r="O1438" s="1940" t="s">
        <v>2303</v>
      </c>
      <c r="P1438" s="1229" t="str">
        <f>'Part VIII-Threshold Criteria'!P268</f>
        <v>Yes</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1515</v>
      </c>
      <c r="P1439" s="1938" t="str">
        <f>'Part VIII-Threshold Criteria'!P269</f>
        <v>Agree</v>
      </c>
      <c r="Q1439" s="1938"/>
    </row>
    <row r="1440" spans="1:17" ht="11.25" customHeight="1">
      <c r="B1440" s="1908" t="s">
        <v>3563</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development is a rehabilitation development and specifically a preservation of affordable housing. A PNA by a qualified provider has been included as well as the required energy audit report. The rehab scope of work meets all applicable DCA requirements and also matches the suggestions found in the PNA.</v>
      </c>
      <c r="B1441" s="1936"/>
      <c r="C1441" s="1936"/>
      <c r="D1441" s="1936"/>
      <c r="E1441" s="1936"/>
      <c r="F1441" s="1936"/>
      <c r="G1441" s="1936"/>
      <c r="H1441" s="1936"/>
      <c r="I1441" s="1936"/>
      <c r="J1441" s="1936"/>
      <c r="K1441" s="1936"/>
      <c r="L1441" s="1936"/>
      <c r="M1441" s="1936"/>
      <c r="N1441" s="1936"/>
      <c r="O1441" s="1936"/>
      <c r="P1441" s="1936"/>
      <c r="Q1441" s="1936"/>
      <c r="R1441" s="1973" t="s">
        <v>1227</v>
      </c>
      <c r="S1441" s="1973"/>
      <c r="U1441" s="1897"/>
      <c r="V1441" s="1897"/>
      <c r="W1441" s="1897"/>
      <c r="X1441" s="1897"/>
      <c r="Y1441" s="1897"/>
      <c r="Z1441" s="1897"/>
      <c r="AA1441" s="1897"/>
      <c r="AB1441" s="1897"/>
      <c r="AC1441" s="1897"/>
      <c r="AD1441" s="1897"/>
      <c r="AE1441" s="1897"/>
    </row>
    <row r="1442" spans="1:31" ht="11.1" customHeight="1">
      <c r="B1442" s="1936" t="s">
        <v>1818</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2192</v>
      </c>
      <c r="B1445" s="1815" t="s">
        <v>2587</v>
      </c>
      <c r="C1445" s="1815"/>
      <c r="D1445" s="449"/>
      <c r="E1445" s="449"/>
      <c r="F1445" s="449"/>
      <c r="G1445" s="449"/>
      <c r="H1445" s="1939"/>
      <c r="I1445" s="1939"/>
      <c r="J1445" s="1939"/>
      <c r="K1445" s="1939"/>
      <c r="L1445" s="1939"/>
      <c r="M1445" s="1939"/>
      <c r="O1445" s="1942" t="s">
        <v>1819</v>
      </c>
      <c r="P1445" s="1897"/>
      <c r="Q1445" s="1897"/>
    </row>
    <row r="1446" spans="1:31" s="1910" customFormat="1" ht="21.75" customHeight="1">
      <c r="A1446" s="1942" t="s">
        <v>1934</v>
      </c>
      <c r="B1446" s="1939" t="s">
        <v>1693</v>
      </c>
      <c r="C1446" s="1936" t="s">
        <v>4708</v>
      </c>
      <c r="D1446" s="1936"/>
      <c r="E1446" s="1936"/>
      <c r="F1446" s="1936"/>
      <c r="G1446" s="1936"/>
      <c r="H1446" s="1936"/>
      <c r="I1446" s="1936"/>
      <c r="J1446" s="1936"/>
      <c r="K1446" s="1936"/>
      <c r="L1446" s="1936"/>
      <c r="M1446" s="1936"/>
      <c r="N1446" s="1936"/>
      <c r="O1446" s="1942" t="s">
        <v>1454</v>
      </c>
      <c r="P1446" s="1938" t="str">
        <f>'Part VIII-Threshold Criteria'!P276</f>
        <v>Yes</v>
      </c>
      <c r="Q1446" s="1938"/>
    </row>
    <row r="1447" spans="1:31" ht="11.4" customHeight="1">
      <c r="A1447" s="1940"/>
      <c r="B1447" s="1939" t="s">
        <v>1694</v>
      </c>
      <c r="C1447" s="449" t="s">
        <v>3566</v>
      </c>
      <c r="D1447" s="449"/>
      <c r="E1447" s="449"/>
      <c r="F1447" s="449"/>
      <c r="G1447" s="449"/>
      <c r="H1447" s="449"/>
      <c r="I1447" s="449"/>
      <c r="J1447" s="449"/>
      <c r="K1447" s="449"/>
      <c r="L1447" s="449"/>
      <c r="M1447" s="449"/>
      <c r="O1447" s="1942" t="s">
        <v>1694</v>
      </c>
      <c r="P1447" s="1229" t="str">
        <f>'Part VIII-Threshold Criteria'!P277</f>
        <v>Yes</v>
      </c>
      <c r="Q1447" s="1229"/>
    </row>
    <row r="1448" spans="1:31" ht="11.4" customHeight="1">
      <c r="A1448" s="1940" t="s">
        <v>1936</v>
      </c>
      <c r="B1448" s="449" t="s">
        <v>3567</v>
      </c>
      <c r="D1448" s="449"/>
      <c r="E1448" s="449"/>
      <c r="F1448" s="449"/>
      <c r="G1448" s="449"/>
      <c r="H1448" s="449"/>
      <c r="I1448" s="449"/>
      <c r="J1448" s="449"/>
      <c r="K1448" s="449"/>
      <c r="L1448" s="449"/>
      <c r="M1448" s="449"/>
      <c r="O1448" s="1940" t="s">
        <v>1936</v>
      </c>
      <c r="P1448" s="1229" t="str">
        <f>'Part VIII-Threshold Criteria'!P278</f>
        <v>Yes</v>
      </c>
      <c r="Q1448" s="1229"/>
    </row>
    <row r="1449" spans="1:31" s="1910" customFormat="1" ht="19.95" customHeight="1">
      <c r="A1449" s="1942" t="s">
        <v>730</v>
      </c>
      <c r="B1449" s="1939" t="s">
        <v>1693</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1694</v>
      </c>
      <c r="C1450" s="449" t="s">
        <v>3568</v>
      </c>
      <c r="D1450" s="449"/>
      <c r="E1450" s="449"/>
      <c r="F1450" s="449"/>
      <c r="G1450" s="449"/>
      <c r="H1450" s="449"/>
      <c r="I1450" s="449"/>
      <c r="J1450" s="449"/>
      <c r="K1450" s="449"/>
      <c r="L1450" s="449"/>
      <c r="M1450" s="449"/>
      <c r="O1450" s="1942" t="s">
        <v>1694</v>
      </c>
      <c r="P1450" s="1229" t="str">
        <f>'Part VIII-Threshold Criteria'!P280</f>
        <v>Yes</v>
      </c>
      <c r="Q1450" s="1229"/>
    </row>
    <row r="1451" spans="1:31" ht="22.5" customHeight="1">
      <c r="A1451" s="1942" t="s">
        <v>2063</v>
      </c>
      <c r="B1451" s="1936" t="s">
        <v>4746</v>
      </c>
      <c r="C1451" s="1936"/>
      <c r="D1451" s="1936"/>
      <c r="E1451" s="1936"/>
      <c r="F1451" s="1936"/>
      <c r="G1451" s="1936"/>
      <c r="H1451" s="1936"/>
      <c r="I1451" s="1936"/>
      <c r="J1451" s="1936"/>
      <c r="K1451" s="1936"/>
      <c r="L1451" s="1936"/>
      <c r="M1451" s="1936"/>
      <c r="N1451" s="1936"/>
      <c r="O1451" s="1940" t="s">
        <v>2063</v>
      </c>
      <c r="P1451" s="1938" t="str">
        <f>'Part VIII-Threshold Criteria'!P281</f>
        <v>Yes</v>
      </c>
      <c r="Q1451" s="1938"/>
    </row>
    <row r="1452" spans="1:31" ht="11.25" customHeight="1">
      <c r="B1452" s="1908" t="s">
        <v>3563</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is included in the application and all amenities required and selected are included on the plan.</v>
      </c>
      <c r="B1453" s="1936"/>
      <c r="C1453" s="1936"/>
      <c r="D1453" s="1936"/>
      <c r="E1453" s="1936"/>
      <c r="F1453" s="1936"/>
      <c r="G1453" s="1936"/>
      <c r="H1453" s="1936"/>
      <c r="I1453" s="1936"/>
      <c r="J1453" s="1936"/>
      <c r="K1453" s="1936"/>
      <c r="L1453" s="1936"/>
      <c r="M1453" s="1936"/>
      <c r="N1453" s="1936"/>
      <c r="O1453" s="1936"/>
      <c r="P1453" s="1936"/>
      <c r="Q1453" s="1936"/>
      <c r="R1453" s="1973" t="s">
        <v>1227</v>
      </c>
      <c r="S1453" s="1973"/>
      <c r="U1453" s="1897"/>
      <c r="V1453" s="1897"/>
      <c r="W1453" s="1897"/>
      <c r="X1453" s="1897"/>
      <c r="Y1453" s="1897"/>
      <c r="Z1453" s="1897"/>
      <c r="AA1453" s="1897"/>
      <c r="AB1453" s="1897"/>
      <c r="AC1453" s="1897"/>
      <c r="AD1453" s="1897"/>
      <c r="AE1453" s="1897"/>
    </row>
    <row r="1454" spans="1:31" ht="11.25" customHeight="1">
      <c r="B1454" s="1936" t="s">
        <v>1818</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2588</v>
      </c>
      <c r="C1457" s="1922"/>
      <c r="D1457" s="1939"/>
      <c r="E1457" s="1939"/>
      <c r="F1457" s="1939"/>
      <c r="G1457" s="1939"/>
      <c r="H1457" s="1939"/>
      <c r="I1457" s="1939"/>
      <c r="J1457" s="1939"/>
      <c r="K1457" s="1939"/>
      <c r="L1457" s="1939"/>
      <c r="M1457" s="1939"/>
      <c r="O1457" s="1942" t="s">
        <v>1819</v>
      </c>
      <c r="P1457" s="1897"/>
      <c r="Q1457" s="1897"/>
    </row>
    <row r="1458" spans="1:18" s="1910" customFormat="1" ht="30" customHeight="1">
      <c r="A1458" s="1942" t="s">
        <v>1934</v>
      </c>
      <c r="B1458" s="1936" t="s">
        <v>1693</v>
      </c>
      <c r="C1458" s="1936" t="s">
        <v>4391</v>
      </c>
      <c r="D1458" s="1936"/>
      <c r="E1458" s="1936"/>
      <c r="F1458" s="1936"/>
      <c r="G1458" s="1936"/>
      <c r="H1458" s="1936"/>
      <c r="I1458" s="1936"/>
      <c r="J1458" s="1936"/>
      <c r="K1458" s="1936"/>
      <c r="L1458" s="1936"/>
      <c r="M1458" s="1936"/>
      <c r="N1458" s="1936"/>
      <c r="O1458" s="1942" t="s">
        <v>1934</v>
      </c>
      <c r="P1458" s="1938" t="str">
        <f>'Part VIII-Threshold Criteria'!P288</f>
        <v>Agree</v>
      </c>
      <c r="Q1458" s="1938"/>
    </row>
    <row r="1459" spans="1:18" s="1910" customFormat="1" ht="21.75" customHeight="1">
      <c r="A1459" s="1942"/>
      <c r="B1459" s="1936" t="s">
        <v>1694</v>
      </c>
      <c r="C1459" s="1936" t="s">
        <v>2716</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1936</v>
      </c>
      <c r="B1460" s="1897" t="s">
        <v>305</v>
      </c>
      <c r="D1460" s="1815"/>
      <c r="E1460" s="1815"/>
      <c r="R1460" s="1993"/>
    </row>
    <row r="1461" spans="1:18" ht="11.4" customHeight="1">
      <c r="A1461" s="1904"/>
      <c r="B1461" s="449" t="s">
        <v>4549</v>
      </c>
      <c r="D1461" s="1815"/>
      <c r="E1461" s="1815"/>
      <c r="O1461" s="1940" t="s">
        <v>1936</v>
      </c>
      <c r="P1461" s="1938" t="str">
        <f>'Part VIII-Threshold Criteria'!P291</f>
        <v>Agree</v>
      </c>
      <c r="Q1461" s="1938"/>
      <c r="R1461" s="1940"/>
    </row>
    <row r="1462" spans="1:18" s="1947" customFormat="1" ht="11.4" customHeight="1">
      <c r="A1462" s="1815"/>
      <c r="B1462" s="1908" t="s">
        <v>3563</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follow DCA standards and policies regarding Building Sustanability. The development will also be receiving the required sustainable bulding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1227</v>
      </c>
    </row>
    <row r="1464" spans="1:18" s="1951" customFormat="1" ht="11.25" customHeight="1">
      <c r="A1464" s="1995"/>
      <c r="B1464" s="1936" t="s">
        <v>1818</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2589</v>
      </c>
      <c r="C1467" s="1981"/>
      <c r="D1467" s="1939"/>
      <c r="E1467" s="1939"/>
      <c r="F1467" s="1939"/>
      <c r="G1467" s="1939"/>
      <c r="H1467" s="1939"/>
      <c r="I1467" s="1939"/>
      <c r="J1467" s="1939"/>
      <c r="K1467" s="1939"/>
      <c r="L1467" s="1939"/>
      <c r="M1467" s="1939"/>
      <c r="O1467" s="1942" t="s">
        <v>1819</v>
      </c>
      <c r="P1467" s="1897"/>
      <c r="Q1467" s="1897"/>
    </row>
    <row r="1468" spans="1:18" ht="12.75" customHeight="1">
      <c r="A1468" s="1904" t="s">
        <v>1934</v>
      </c>
      <c r="B1468" s="1911" t="s">
        <v>6874</v>
      </c>
    </row>
    <row r="1469" spans="1:18" ht="44.25" customHeight="1">
      <c r="A1469" s="1942"/>
      <c r="B1469" s="1939" t="s">
        <v>1693</v>
      </c>
      <c r="C1469" s="1936" t="s">
        <v>3674</v>
      </c>
      <c r="D1469" s="1936"/>
      <c r="E1469" s="1936"/>
      <c r="F1469" s="1936"/>
      <c r="G1469" s="1936"/>
      <c r="H1469" s="1936"/>
      <c r="I1469" s="1936"/>
      <c r="J1469" s="1936"/>
      <c r="K1469" s="1936"/>
      <c r="L1469" s="1936"/>
      <c r="M1469" s="1936"/>
      <c r="N1469" s="1936"/>
      <c r="O1469" s="1942" t="s">
        <v>2641</v>
      </c>
      <c r="P1469" s="1938" t="str">
        <f>'Part VIII-Threshold Criteria'!P299</f>
        <v>Yes</v>
      </c>
      <c r="Q1469" s="1938"/>
    </row>
    <row r="1470" spans="1:18" s="1910" customFormat="1" ht="12" customHeight="1">
      <c r="A1470" s="1942"/>
      <c r="B1470" s="1939" t="s">
        <v>1694</v>
      </c>
      <c r="C1470" s="1936" t="s">
        <v>4743</v>
      </c>
      <c r="D1470" s="1936"/>
      <c r="E1470" s="1936"/>
      <c r="F1470" s="1936"/>
      <c r="G1470" s="1936"/>
      <c r="H1470" s="1936"/>
      <c r="I1470" s="1936"/>
      <c r="J1470" s="1936"/>
      <c r="K1470" s="1936"/>
      <c r="L1470" s="1936"/>
      <c r="M1470" s="1936"/>
      <c r="N1470" s="1936"/>
      <c r="O1470" s="1942" t="s">
        <v>1694</v>
      </c>
      <c r="P1470" s="1938" t="str">
        <f>'Part VIII-Threshold Criteria'!P300</f>
        <v>Yes</v>
      </c>
      <c r="Q1470" s="1938"/>
    </row>
    <row r="1471" spans="1:18" s="1910" customFormat="1" ht="21.75" customHeight="1">
      <c r="A1471" s="1942"/>
      <c r="B1471" s="1939" t="s">
        <v>1695</v>
      </c>
      <c r="C1471" s="1936" t="s">
        <v>3673</v>
      </c>
      <c r="D1471" s="1936"/>
      <c r="E1471" s="1936"/>
      <c r="F1471" s="1936"/>
      <c r="G1471" s="1936"/>
      <c r="H1471" s="1936"/>
      <c r="I1471" s="1936"/>
      <c r="J1471" s="1936"/>
      <c r="K1471" s="1936"/>
      <c r="L1471" s="1936"/>
      <c r="M1471" s="1936"/>
      <c r="N1471" s="1936"/>
      <c r="O1471" s="1942" t="s">
        <v>1695</v>
      </c>
      <c r="P1471" s="1938">
        <f>'Part VIII-Threshold Criteria'!P301</f>
        <v>0</v>
      </c>
      <c r="Q1471" s="1938"/>
    </row>
    <row r="1472" spans="1:18" s="1815" customFormat="1" ht="12.75" customHeight="1">
      <c r="A1472" s="1904" t="s">
        <v>1936</v>
      </c>
      <c r="B1472" s="1911" t="s">
        <v>3649</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1693</v>
      </c>
      <c r="C1473" s="1936" t="s">
        <v>6875</v>
      </c>
      <c r="D1473" s="1936"/>
      <c r="E1473" s="1936"/>
      <c r="F1473" s="1936"/>
      <c r="G1473" s="1936"/>
      <c r="H1473" s="1936"/>
      <c r="I1473" s="1936"/>
      <c r="J1473" s="1945" t="s">
        <v>3599</v>
      </c>
      <c r="K1473" s="1945"/>
      <c r="L1473" s="1945"/>
      <c r="M1473" s="449" t="s">
        <v>3571</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3572</v>
      </c>
      <c r="N1474" s="1229" t="s">
        <v>3598</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3468</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3800</v>
      </c>
      <c r="J1476" s="1819"/>
      <c r="K1476" s="2228">
        <f>'Part VIII-Threshold Criteria'!K306</f>
        <v>3</v>
      </c>
      <c r="L1476" s="1823" t="str">
        <f>IF(K1476&lt;M1476,"Check!!!","")</f>
        <v/>
      </c>
      <c r="M1476" s="2142">
        <f>ROUNDUP(K1475*'Part VIII-Threshold Criteria'!N1476,0)</f>
        <v>0</v>
      </c>
      <c r="N1476" s="2143">
        <f>'DCA Underwriting Assumptions'!$Q$155</f>
        <v>0.4</v>
      </c>
      <c r="O1476" s="1940" t="s">
        <v>2065</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1694</v>
      </c>
      <c r="C1478" s="1936" t="s">
        <v>6877</v>
      </c>
      <c r="D1478" s="1936"/>
      <c r="E1478" s="1936"/>
      <c r="F1478" s="1936"/>
      <c r="G1478" s="1936"/>
      <c r="H1478" s="1936"/>
      <c r="I1478" s="449" t="s">
        <v>3801</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1694</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730</v>
      </c>
      <c r="B1481" s="1911" t="s">
        <v>3650</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3470</v>
      </c>
      <c r="C1482" s="1936"/>
      <c r="D1482" s="1936"/>
      <c r="E1482" s="1936"/>
      <c r="F1482" s="1936"/>
      <c r="G1482" s="1936"/>
      <c r="H1482" s="1936"/>
      <c r="I1482" s="1936"/>
      <c r="J1482" s="1936"/>
      <c r="K1482" s="1936"/>
      <c r="L1482" s="1936"/>
      <c r="M1482" s="1936"/>
      <c r="N1482" s="1936"/>
      <c r="O1482" s="1942" t="s">
        <v>730</v>
      </c>
      <c r="P1482" s="1938" t="str">
        <f>'Part VIII-Threshold Criteria'!P312</f>
        <v>Yes</v>
      </c>
      <c r="Q1482" s="1938"/>
    </row>
    <row r="1483" spans="1:33" s="1815" customFormat="1" ht="11.25" customHeight="1">
      <c r="B1483" s="1936" t="s">
        <v>3471</v>
      </c>
      <c r="D1483" s="1936"/>
      <c r="E1483" s="1936"/>
      <c r="F1483" s="1936"/>
      <c r="G1483" s="1936"/>
      <c r="H1483" s="1936"/>
      <c r="I1483" s="1936" t="s">
        <v>3570</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1693</v>
      </c>
      <c r="C1484" s="1936" t="s">
        <v>3469</v>
      </c>
      <c r="D1484" s="1936"/>
      <c r="E1484" s="1936"/>
      <c r="F1484" s="1936"/>
      <c r="G1484" s="1936"/>
      <c r="H1484" s="1936"/>
      <c r="I1484" s="1936"/>
      <c r="J1484" s="1936"/>
      <c r="K1484" s="1936"/>
      <c r="L1484" s="1936"/>
      <c r="M1484" s="1936"/>
      <c r="N1484" s="1936"/>
      <c r="O1484" s="1942" t="s">
        <v>3474</v>
      </c>
      <c r="P1484" s="1938" t="str">
        <f>'Part VIII-Threshold Criteria'!P314</f>
        <v>Yes</v>
      </c>
      <c r="Q1484" s="1938"/>
    </row>
    <row r="1485" spans="1:33" s="1910" customFormat="1" ht="34.5" customHeight="1">
      <c r="B1485" s="1939" t="s">
        <v>1694</v>
      </c>
      <c r="C1485" s="1936" t="s">
        <v>4353</v>
      </c>
      <c r="D1485" s="1936"/>
      <c r="E1485" s="1936"/>
      <c r="F1485" s="1936"/>
      <c r="G1485" s="1936"/>
      <c r="H1485" s="1936"/>
      <c r="I1485" s="1936"/>
      <c r="J1485" s="1936"/>
      <c r="K1485" s="1936"/>
      <c r="L1485" s="1936"/>
      <c r="M1485" s="1936"/>
      <c r="N1485" s="1936"/>
      <c r="O1485" s="1942" t="s">
        <v>3475</v>
      </c>
      <c r="P1485" s="1938" t="str">
        <f>'Part VIII-Threshold Criteria'!P315</f>
        <v>Yes</v>
      </c>
      <c r="Q1485" s="1938"/>
    </row>
    <row r="1486" spans="1:33" s="1910" customFormat="1" ht="22.5" customHeight="1">
      <c r="B1486" s="1939" t="s">
        <v>1695</v>
      </c>
      <c r="C1486" s="1936" t="s">
        <v>3472</v>
      </c>
      <c r="D1486" s="1936"/>
      <c r="E1486" s="1936"/>
      <c r="F1486" s="1936"/>
      <c r="G1486" s="1936"/>
      <c r="H1486" s="1936"/>
      <c r="I1486" s="1936"/>
      <c r="J1486" s="1936"/>
      <c r="K1486" s="1936"/>
      <c r="L1486" s="1936"/>
      <c r="M1486" s="1936"/>
      <c r="N1486" s="1936"/>
      <c r="O1486" s="1942" t="s">
        <v>3476</v>
      </c>
      <c r="P1486" s="1938" t="str">
        <f>'Part VIII-Threshold Criteria'!P316</f>
        <v>Yes</v>
      </c>
      <c r="Q1486" s="1938"/>
    </row>
    <row r="1487" spans="1:33" s="1910" customFormat="1" ht="32.25" customHeight="1">
      <c r="B1487" s="1939" t="s">
        <v>2303</v>
      </c>
      <c r="C1487" s="1936" t="s">
        <v>3473</v>
      </c>
      <c r="D1487" s="1936"/>
      <c r="E1487" s="1936"/>
      <c r="F1487" s="1936"/>
      <c r="G1487" s="1936"/>
      <c r="H1487" s="1936"/>
      <c r="I1487" s="1936"/>
      <c r="J1487" s="1936"/>
      <c r="K1487" s="1936"/>
      <c r="L1487" s="1936"/>
      <c r="M1487" s="1936"/>
      <c r="N1487" s="1936"/>
      <c r="O1487" s="1942" t="s">
        <v>3477</v>
      </c>
      <c r="P1487" s="1938" t="str">
        <f>'Part VIII-Threshold Criteria'!P317</f>
        <v>Yes</v>
      </c>
      <c r="Q1487" s="1938"/>
    </row>
    <row r="1488" spans="1:33" ht="11.25" customHeight="1">
      <c r="B1488" s="1908" t="s">
        <v>3563</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follow DCA standards and policies regarding Accessibility; additionally, as this is a Rehab development. The neccesary modifications and additional accessible units and features have been included in the Rehab Scope of Work.</v>
      </c>
      <c r="B1489" s="1936"/>
      <c r="C1489" s="1936"/>
      <c r="D1489" s="1936"/>
      <c r="E1489" s="1936"/>
      <c r="F1489" s="1936"/>
      <c r="G1489" s="1936"/>
      <c r="H1489" s="1936"/>
      <c r="I1489" s="1936"/>
      <c r="J1489" s="1936"/>
      <c r="K1489" s="1936"/>
      <c r="L1489" s="1936"/>
      <c r="M1489" s="1936"/>
      <c r="N1489" s="1936"/>
      <c r="O1489" s="1936"/>
      <c r="P1489" s="1936"/>
      <c r="Q1489" s="1936"/>
      <c r="R1489" s="1973" t="s">
        <v>1227</v>
      </c>
      <c r="S1489" s="1973"/>
      <c r="U1489" s="1897"/>
      <c r="V1489" s="1897"/>
      <c r="W1489" s="1897"/>
      <c r="X1489" s="1897"/>
      <c r="Y1489" s="1897"/>
      <c r="Z1489" s="1897"/>
      <c r="AA1489" s="1897"/>
      <c r="AB1489" s="1897"/>
      <c r="AC1489" s="1897"/>
      <c r="AD1489" s="1897"/>
      <c r="AE1489" s="1897"/>
    </row>
    <row r="1490" spans="1:256 1523:1523" ht="11.25" customHeight="1">
      <c r="B1490" s="1936" t="s">
        <v>1818</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2590</v>
      </c>
      <c r="C1492" s="1815"/>
      <c r="D1492" s="1815"/>
      <c r="E1492" s="1815"/>
      <c r="F1492" s="1815"/>
      <c r="G1492" s="1815"/>
      <c r="H1492" s="1939"/>
      <c r="I1492" s="1939"/>
      <c r="J1492" s="1939"/>
      <c r="K1492" s="1939"/>
      <c r="L1492" s="1939"/>
      <c r="M1492" s="1939"/>
      <c r="O1492" s="1942" t="s">
        <v>1819</v>
      </c>
      <c r="P1492" s="1897"/>
      <c r="Q1492" s="1897"/>
    </row>
    <row r="1493" spans="1:256 1523:1523" ht="11.4" customHeight="1">
      <c r="B1493" s="1945" t="s">
        <v>2193</v>
      </c>
      <c r="P1493" s="1229" t="str">
        <f>'Part VIII-Threshold Criteria'!P323</f>
        <v>No</v>
      </c>
      <c r="Q1493" s="1229"/>
    </row>
    <row r="1494" spans="1:256 1523:1523" ht="12" customHeight="1">
      <c r="B1494" s="1939" t="s">
        <v>2153</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1934</v>
      </c>
      <c r="B1495" s="1908" t="s">
        <v>6878</v>
      </c>
      <c r="D1495" s="1908"/>
      <c r="E1495" s="1908"/>
      <c r="F1495" s="1908"/>
      <c r="G1495" s="1908"/>
      <c r="H1495" s="1908"/>
      <c r="I1495" s="1908"/>
      <c r="J1495" s="1908"/>
      <c r="K1495" s="1908"/>
      <c r="L1495" s="1908"/>
      <c r="M1495" s="1908"/>
      <c r="N1495" s="1942"/>
    </row>
    <row r="1496" spans="1:256 1523:1523" ht="22.5" customHeight="1">
      <c r="B1496" s="1936" t="s">
        <v>2778</v>
      </c>
      <c r="C1496" s="1936"/>
      <c r="D1496" s="1936"/>
      <c r="E1496" s="1936"/>
      <c r="F1496" s="1936"/>
      <c r="G1496" s="1936"/>
      <c r="H1496" s="1936"/>
      <c r="I1496" s="1936"/>
      <c r="J1496" s="1936"/>
      <c r="K1496" s="1936"/>
      <c r="L1496" s="1936"/>
      <c r="M1496" s="1936"/>
      <c r="N1496" s="1936"/>
      <c r="O1496" s="1942" t="s">
        <v>1934</v>
      </c>
      <c r="P1496" s="1938" t="str">
        <f>'Part VIII-Threshold Criteria'!P326</f>
        <v>Yes</v>
      </c>
      <c r="Q1496" s="1938"/>
    </row>
    <row r="1497" spans="1:256 1523:1523" ht="12.6" customHeight="1">
      <c r="A1497" s="1942" t="s">
        <v>1936</v>
      </c>
      <c r="B1497" s="449" t="s">
        <v>451</v>
      </c>
      <c r="D1497" s="449"/>
      <c r="E1497" s="449"/>
      <c r="F1497" s="449"/>
      <c r="G1497" s="449"/>
      <c r="H1497" s="449"/>
      <c r="I1497" s="449"/>
      <c r="J1497" s="449"/>
      <c r="K1497" s="449"/>
      <c r="L1497" s="449"/>
      <c r="M1497" s="449"/>
      <c r="O1497" s="1942" t="s">
        <v>1936</v>
      </c>
      <c r="P1497" s="1732"/>
      <c r="Q1497" s="1732"/>
    </row>
    <row r="1498" spans="1:256 1523:1523" ht="36" customHeight="1">
      <c r="B1498" s="1939" t="s">
        <v>1693</v>
      </c>
      <c r="C1498" s="1936" t="s">
        <v>1108</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1693</v>
      </c>
      <c r="P1498" s="1938" t="str">
        <f>'Part VIII-Threshold Criteria'!P328</f>
        <v>Yes</v>
      </c>
      <c r="Q1498" s="1938"/>
      <c r="BFO1498" s="1995" t="s">
        <v>2642</v>
      </c>
    </row>
    <row r="1499" spans="1:256 1523:1523" ht="23.25" customHeight="1">
      <c r="B1499" s="1939" t="s">
        <v>1694</v>
      </c>
      <c r="C1499" s="1936" t="s">
        <v>1109</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1694</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730</v>
      </c>
      <c r="B1501" s="1936" t="s">
        <v>6879</v>
      </c>
      <c r="C1501" s="1936"/>
      <c r="D1501" s="1936"/>
      <c r="E1501" s="1936"/>
      <c r="F1501" s="1936"/>
      <c r="G1501" s="1936"/>
      <c r="H1501" s="1936"/>
      <c r="I1501" s="1936"/>
      <c r="J1501" s="1936"/>
      <c r="K1501" s="1936"/>
      <c r="L1501" s="1936"/>
      <c r="M1501" s="1936"/>
      <c r="N1501" s="1936"/>
      <c r="O1501" s="1943" t="s">
        <v>730</v>
      </c>
      <c r="P1501" s="1732"/>
      <c r="Q1501" s="1732"/>
    </row>
    <row r="1502" spans="1:256 1523:1523" s="1910" customFormat="1" ht="11.25" customHeight="1">
      <c r="A1502" s="1982"/>
      <c r="B1502" s="1939" t="s">
        <v>1693</v>
      </c>
      <c r="C1502" s="1936">
        <f>'Part VIII-Threshold Criteria'!C332</f>
        <v>0</v>
      </c>
      <c r="D1502" s="1936"/>
      <c r="E1502" s="1936"/>
      <c r="F1502" s="1936"/>
      <c r="G1502" s="1936"/>
      <c r="H1502" s="1936"/>
      <c r="I1502" s="1936"/>
      <c r="J1502" s="1936"/>
      <c r="K1502" s="1936"/>
      <c r="L1502" s="1936"/>
      <c r="M1502" s="1936"/>
      <c r="N1502" s="1936"/>
      <c r="O1502" s="1942" t="s">
        <v>1693</v>
      </c>
      <c r="P1502" s="1938">
        <f>'Part VIII-Threshold Criteria'!P332</f>
        <v>0</v>
      </c>
      <c r="Q1502" s="1938"/>
    </row>
    <row r="1503" spans="1:256 1523:1523" s="1910" customFormat="1" ht="11.25" customHeight="1">
      <c r="A1503" s="1982"/>
      <c r="B1503" s="1939" t="s">
        <v>1694</v>
      </c>
      <c r="C1503" s="1936">
        <f>'Part VIII-Threshold Criteria'!C333</f>
        <v>0</v>
      </c>
      <c r="D1503" s="1936"/>
      <c r="E1503" s="1936"/>
      <c r="F1503" s="1936"/>
      <c r="G1503" s="1936"/>
      <c r="H1503" s="1936"/>
      <c r="I1503" s="1936"/>
      <c r="J1503" s="1936"/>
      <c r="K1503" s="1936"/>
      <c r="L1503" s="1936"/>
      <c r="M1503" s="1936"/>
      <c r="N1503" s="1936"/>
      <c r="O1503" s="1942" t="s">
        <v>1694</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3563</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agrees to follow DCA standards and policies regarding Architectural Design &amp; Quality Standards.</v>
      </c>
      <c r="B1506" s="1936"/>
      <c r="C1506" s="1936"/>
      <c r="D1506" s="1936"/>
      <c r="E1506" s="1936"/>
      <c r="F1506" s="1936"/>
      <c r="G1506" s="1936"/>
      <c r="H1506" s="1936"/>
      <c r="I1506" s="1936"/>
      <c r="J1506" s="1936"/>
      <c r="K1506" s="1936"/>
      <c r="L1506" s="1936"/>
      <c r="M1506" s="1936"/>
      <c r="N1506" s="1936"/>
      <c r="O1506" s="1936"/>
      <c r="P1506" s="1936"/>
      <c r="Q1506" s="1936"/>
      <c r="R1506" s="1952" t="s">
        <v>1227</v>
      </c>
      <c r="S1506" s="1815"/>
      <c r="U1506" s="1897"/>
      <c r="V1506" s="1897"/>
      <c r="W1506" s="1897"/>
      <c r="X1506" s="1897"/>
      <c r="Y1506" s="1897"/>
      <c r="Z1506" s="1897"/>
      <c r="AA1506" s="1897"/>
      <c r="AB1506" s="1897"/>
      <c r="AC1506" s="1897"/>
      <c r="AD1506" s="1897"/>
      <c r="AE1506" s="1897"/>
    </row>
    <row r="1507" spans="1:31" ht="11.25" customHeight="1">
      <c r="B1507" s="1936" t="s">
        <v>1818</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1819</v>
      </c>
      <c r="P1509" s="1897"/>
      <c r="Q1509" s="1897"/>
    </row>
    <row r="1510" spans="1:31" ht="11.4" customHeight="1">
      <c r="A1510" s="1940" t="s">
        <v>1934</v>
      </c>
      <c r="B1510" s="1945" t="s">
        <v>4709</v>
      </c>
      <c r="O1510" s="1942" t="s">
        <v>1934</v>
      </c>
      <c r="P1510" s="1229" t="str">
        <f>'Part VIII-Threshold Criteria'!P340</f>
        <v>Yes</v>
      </c>
      <c r="Q1510" s="1229"/>
    </row>
    <row r="1511" spans="1:31" ht="11.4" customHeight="1">
      <c r="A1511" s="1942" t="s">
        <v>1936</v>
      </c>
      <c r="B1511" s="1945" t="s">
        <v>3772</v>
      </c>
      <c r="O1511" s="1942" t="s">
        <v>1936</v>
      </c>
      <c r="P1511" s="1229" t="str">
        <f>'Part VIII-Threshold Criteria'!P341</f>
        <v>Yes</v>
      </c>
      <c r="Q1511" s="1229"/>
    </row>
    <row r="1512" spans="1:31" ht="11.4" customHeight="1">
      <c r="A1512" s="1942" t="s">
        <v>730</v>
      </c>
      <c r="B1512" s="1945" t="s">
        <v>2289</v>
      </c>
      <c r="O1512" s="1942" t="s">
        <v>730</v>
      </c>
      <c r="P1512" s="1229" t="str">
        <f>'Part VIII-Threshold Criteria'!P342</f>
        <v>No</v>
      </c>
      <c r="Q1512" s="1229"/>
    </row>
    <row r="1513" spans="1:31" ht="11.4" customHeight="1">
      <c r="A1513" s="1940" t="s">
        <v>2063</v>
      </c>
      <c r="B1513" s="1945" t="s">
        <v>3625</v>
      </c>
      <c r="O1513" s="1940" t="s">
        <v>2063</v>
      </c>
      <c r="P1513" s="1229" t="str">
        <f>'Part VIII-Threshold Criteria'!P343</f>
        <v>No</v>
      </c>
      <c r="Q1513" s="1229"/>
    </row>
    <row r="1514" spans="1:31" ht="11.4" customHeight="1">
      <c r="A1514" s="1942" t="s">
        <v>1691</v>
      </c>
      <c r="B1514" s="1945" t="s">
        <v>2779</v>
      </c>
      <c r="N1514" s="1942" t="s">
        <v>1691</v>
      </c>
      <c r="O1514" s="1918" t="str">
        <f>'Part VIII-Threshold Criteria'!O344</f>
        <v>Certifying GP/Developer</v>
      </c>
      <c r="P1514" s="1918"/>
      <c r="Q1514" s="1918"/>
    </row>
    <row r="1515" spans="1:31" ht="11.4" customHeight="1">
      <c r="A1515" s="1942" t="s">
        <v>1692</v>
      </c>
      <c r="B1515" s="1945" t="s">
        <v>2290</v>
      </c>
      <c r="N1515" s="1942" t="s">
        <v>1692</v>
      </c>
      <c r="O1515" s="1918" t="s">
        <v>2780</v>
      </c>
      <c r="P1515" s="1918"/>
      <c r="Q1515" s="1918"/>
    </row>
    <row r="1516" spans="1:31" ht="11.25" customHeight="1">
      <c r="B1516" s="1908" t="s">
        <v>3563</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certifying GP/Developer and Principal (MVAH Holding LLC, MVAH Development LLC, and MVAH Partners LLC) have not changed and all qualifying entities are still participating with no change since pre-application.</v>
      </c>
      <c r="B1517" s="1936"/>
      <c r="C1517" s="1936"/>
      <c r="D1517" s="1936"/>
      <c r="E1517" s="1936"/>
      <c r="F1517" s="1936"/>
      <c r="G1517" s="1936"/>
      <c r="H1517" s="1936"/>
      <c r="I1517" s="1936"/>
      <c r="J1517" s="1936"/>
      <c r="K1517" s="1936"/>
      <c r="L1517" s="1936"/>
      <c r="M1517" s="1936"/>
      <c r="N1517" s="1936"/>
      <c r="O1517" s="1936"/>
      <c r="P1517" s="1936"/>
      <c r="Q1517" s="1936"/>
      <c r="R1517" s="1973" t="s">
        <v>1227</v>
      </c>
      <c r="S1517" s="1973"/>
      <c r="U1517" s="1897"/>
      <c r="V1517" s="1897"/>
      <c r="W1517" s="1897"/>
      <c r="X1517" s="1897"/>
      <c r="Y1517" s="1897"/>
      <c r="Z1517" s="1897"/>
      <c r="AA1517" s="1897"/>
      <c r="AB1517" s="1897"/>
      <c r="AC1517" s="1897"/>
      <c r="AD1517" s="1897"/>
      <c r="AE1517" s="1897"/>
    </row>
    <row r="1518" spans="1:31" ht="11.25" customHeight="1">
      <c r="B1518" s="1936" t="s">
        <v>1818</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1819</v>
      </c>
      <c r="P1521" s="1897"/>
      <c r="Q1521" s="1897"/>
    </row>
    <row r="1522" spans="1:31" ht="10.5" customHeight="1">
      <c r="A1522" s="1940" t="s">
        <v>1934</v>
      </c>
      <c r="B1522" s="449" t="s">
        <v>3764</v>
      </c>
      <c r="D1522" s="1815"/>
      <c r="E1522" s="1815"/>
      <c r="F1522" s="1815"/>
      <c r="G1522" s="1815"/>
      <c r="H1522" s="1940" t="s">
        <v>1934</v>
      </c>
      <c r="I1522" s="449" t="str">
        <f>'Part VIII-Threshold Criteria'!I352</f>
        <v>N/A</v>
      </c>
      <c r="J1522" s="449"/>
      <c r="K1522" s="449"/>
      <c r="L1522" s="449"/>
      <c r="M1522" s="449"/>
      <c r="N1522" s="449"/>
      <c r="O1522" s="449"/>
      <c r="P1522" s="449"/>
      <c r="Q1522" s="1229"/>
    </row>
    <row r="1523" spans="1:31" ht="10.5" customHeight="1">
      <c r="A1523" s="1942" t="s">
        <v>1936</v>
      </c>
      <c r="B1523" s="449" t="s">
        <v>3765</v>
      </c>
      <c r="D1523" s="1815"/>
      <c r="E1523" s="1815"/>
      <c r="F1523" s="1815"/>
      <c r="G1523" s="1815"/>
      <c r="H1523" s="1942" t="s">
        <v>1936</v>
      </c>
      <c r="I1523" s="449">
        <f>'Part VIII-Threshold Criteria'!I353</f>
        <v>0</v>
      </c>
      <c r="J1523" s="449"/>
      <c r="K1523" s="449"/>
      <c r="L1523" s="449"/>
      <c r="M1523" s="449"/>
      <c r="N1523" s="449"/>
      <c r="O1523" s="449"/>
      <c r="P1523" s="449"/>
      <c r="Q1523" s="1229"/>
    </row>
    <row r="1524" spans="1:31" ht="21.75" customHeight="1">
      <c r="A1524" s="1942" t="s">
        <v>730</v>
      </c>
      <c r="B1524" s="449" t="s">
        <v>3756</v>
      </c>
      <c r="C1524" s="449"/>
      <c r="D1524" s="449"/>
      <c r="E1524" s="449"/>
      <c r="F1524" s="449"/>
      <c r="G1524" s="449"/>
      <c r="H1524" s="449"/>
      <c r="I1524" s="449"/>
      <c r="J1524" s="449"/>
      <c r="K1524" s="449"/>
      <c r="L1524" s="449"/>
      <c r="M1524" s="449"/>
      <c r="N1524" s="449"/>
      <c r="O1524" s="1942" t="s">
        <v>730</v>
      </c>
      <c r="P1524" s="1938">
        <f>'Part VIII-Threshold Criteria'!P354</f>
        <v>0</v>
      </c>
      <c r="Q1524" s="1938"/>
    </row>
    <row r="1525" spans="1:31" ht="21.75" customHeight="1">
      <c r="A1525" s="1942" t="s">
        <v>2063</v>
      </c>
      <c r="B1525" s="1936" t="s">
        <v>3757</v>
      </c>
      <c r="C1525" s="1936"/>
      <c r="D1525" s="1936"/>
      <c r="E1525" s="1936"/>
      <c r="F1525" s="1936"/>
      <c r="G1525" s="1936"/>
      <c r="H1525" s="1936"/>
      <c r="I1525" s="1936"/>
      <c r="J1525" s="1936"/>
      <c r="K1525" s="1936"/>
      <c r="L1525" s="1936"/>
      <c r="M1525" s="1936"/>
      <c r="N1525" s="1936"/>
      <c r="O1525" s="1940" t="s">
        <v>2063</v>
      </c>
      <c r="P1525" s="1938">
        <f>'Part VIII-Threshold Criteria'!P355</f>
        <v>0</v>
      </c>
      <c r="Q1525" s="1938"/>
    </row>
    <row r="1526" spans="1:31" ht="10.5" customHeight="1">
      <c r="A1526" s="1942" t="s">
        <v>1691</v>
      </c>
      <c r="B1526" s="449" t="s">
        <v>3758</v>
      </c>
      <c r="D1526" s="449"/>
      <c r="E1526" s="449"/>
      <c r="F1526" s="449"/>
      <c r="G1526" s="449"/>
      <c r="H1526" s="449"/>
      <c r="I1526" s="449"/>
      <c r="J1526" s="449"/>
      <c r="K1526" s="449"/>
      <c r="L1526" s="449"/>
      <c r="M1526" s="449"/>
      <c r="O1526" s="1942" t="s">
        <v>1691</v>
      </c>
      <c r="P1526" s="1229">
        <f>'Part VIII-Threshold Criteria'!P356</f>
        <v>0</v>
      </c>
      <c r="Q1526" s="1229"/>
    </row>
    <row r="1527" spans="1:31" s="1910" customFormat="1" ht="21.75" customHeight="1">
      <c r="A1527" s="1942" t="s">
        <v>1692</v>
      </c>
      <c r="B1527" s="1936" t="s">
        <v>3759</v>
      </c>
      <c r="C1527" s="1936"/>
      <c r="D1527" s="1936"/>
      <c r="E1527" s="1936"/>
      <c r="F1527" s="1936"/>
      <c r="G1527" s="1936"/>
      <c r="H1527" s="1936"/>
      <c r="I1527" s="1936"/>
      <c r="J1527" s="1936"/>
      <c r="K1527" s="1936"/>
      <c r="L1527" s="1936"/>
      <c r="M1527" s="1936"/>
      <c r="N1527" s="1936"/>
      <c r="O1527" s="1942" t="s">
        <v>1692</v>
      </c>
      <c r="P1527" s="1938">
        <f>'Part VIII-Threshold Criteria'!P357</f>
        <v>0</v>
      </c>
      <c r="Q1527" s="1938"/>
    </row>
    <row r="1528" spans="1:31" s="1910" customFormat="1" ht="10.5" customHeight="1">
      <c r="A1528" s="1942" t="s">
        <v>1898</v>
      </c>
      <c r="B1528" s="1936" t="s">
        <v>3760</v>
      </c>
      <c r="D1528" s="1936"/>
      <c r="E1528" s="1936"/>
      <c r="F1528" s="1936"/>
      <c r="G1528" s="1936"/>
      <c r="H1528" s="1936"/>
      <c r="I1528" s="1936"/>
      <c r="J1528" s="1936"/>
      <c r="K1528" s="1936"/>
      <c r="L1528" s="1936"/>
      <c r="M1528" s="1936"/>
      <c r="N1528" s="1936"/>
      <c r="O1528" s="1942" t="s">
        <v>1898</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3261</v>
      </c>
      <c r="B1530" s="1936" t="s">
        <v>3761</v>
      </c>
      <c r="C1530" s="1936"/>
      <c r="D1530" s="1936"/>
      <c r="E1530" s="1936"/>
      <c r="F1530" s="1936"/>
      <c r="G1530" s="1936"/>
      <c r="H1530" s="1936"/>
      <c r="I1530" s="1936"/>
      <c r="J1530" s="1936"/>
      <c r="K1530" s="1936"/>
      <c r="L1530" s="1936"/>
      <c r="M1530" s="1936"/>
      <c r="N1530" s="1936"/>
      <c r="O1530" s="1942" t="s">
        <v>3261</v>
      </c>
      <c r="P1530" s="1938">
        <f>'Part VIII-Threshold Criteria'!P360</f>
        <v>0</v>
      </c>
      <c r="Q1530" s="1938"/>
    </row>
    <row r="1531" spans="1:31" ht="33" customHeight="1">
      <c r="A1531" s="1942" t="s">
        <v>597</v>
      </c>
      <c r="B1531" s="1936" t="s">
        <v>3762</v>
      </c>
      <c r="C1531" s="1936"/>
      <c r="D1531" s="1936"/>
      <c r="E1531" s="1936"/>
      <c r="F1531" s="1936"/>
      <c r="G1531" s="1936"/>
      <c r="H1531" s="1936"/>
      <c r="I1531" s="1936"/>
      <c r="J1531" s="1936"/>
      <c r="K1531" s="1936"/>
      <c r="L1531" s="1936"/>
      <c r="M1531" s="1936"/>
      <c r="N1531" s="1936"/>
      <c r="O1531" s="1942" t="s">
        <v>597</v>
      </c>
      <c r="P1531" s="1938">
        <f>'Part VIII-Threshold Criteria'!P361</f>
        <v>0</v>
      </c>
      <c r="Q1531" s="1938"/>
    </row>
    <row r="1532" spans="1:31" ht="10.5" customHeight="1">
      <c r="B1532" s="1908" t="s">
        <v>3563</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This development does not qualify for the non-profit set-aside.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1818</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4693</v>
      </c>
      <c r="C1537" s="1815"/>
      <c r="D1537" s="1815"/>
      <c r="E1537" s="1815"/>
      <c r="F1537" s="1815"/>
      <c r="G1537" s="1815"/>
      <c r="H1537" s="1939"/>
      <c r="I1537" s="1939"/>
      <c r="J1537" s="1939"/>
      <c r="O1537" s="1942" t="s">
        <v>1819</v>
      </c>
      <c r="P1537" s="1897"/>
      <c r="Q1537" s="1897"/>
    </row>
    <row r="1538" spans="1:18" s="1815" customFormat="1" ht="10.5" customHeight="1">
      <c r="A1538" s="1940" t="s">
        <v>1934</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1693</v>
      </c>
      <c r="C1539" s="449" t="s">
        <v>4360</v>
      </c>
      <c r="D1539" s="449"/>
      <c r="E1539" s="449"/>
      <c r="F1539" s="449"/>
      <c r="H1539" s="449" t="s">
        <v>598</v>
      </c>
      <c r="J1539" s="449" t="str">
        <f>'Part VIII-Threshold Criteria'!J369</f>
        <v>Twin Oaks</v>
      </c>
      <c r="K1539" s="449"/>
      <c r="L1539" s="449"/>
      <c r="M1539" s="449"/>
      <c r="N1539" s="449" t="s">
        <v>3676</v>
      </c>
      <c r="O1539" s="449"/>
      <c r="P1539" s="449" t="str">
        <f>'Part VIII-Threshold Criteria'!P369</f>
        <v>GA-98-01901</v>
      </c>
      <c r="Q1539" s="449"/>
    </row>
    <row r="1540" spans="1:18" s="1815" customFormat="1" ht="11.25" customHeight="1">
      <c r="B1540" s="1908"/>
      <c r="C1540" s="1908"/>
      <c r="D1540" s="1908"/>
      <c r="E1540" s="1908"/>
      <c r="F1540" s="1908"/>
      <c r="G1540" s="1908"/>
      <c r="H1540" s="1908" t="s">
        <v>4485</v>
      </c>
      <c r="I1540" s="1908"/>
      <c r="J1540" s="449" t="str">
        <f>'Part VIII-Threshold Criteria'!J370</f>
        <v>Live Oaks</v>
      </c>
      <c r="K1540" s="449"/>
      <c r="L1540" s="449"/>
      <c r="M1540" s="449"/>
      <c r="N1540" s="449"/>
      <c r="O1540" s="449"/>
      <c r="P1540" s="449"/>
      <c r="Q1540" s="449"/>
    </row>
    <row r="1541" spans="1:18" s="1815" customFormat="1" ht="11.25" customHeight="1">
      <c r="B1541" s="1908" t="s">
        <v>1694</v>
      </c>
      <c r="C1541" s="449" t="s">
        <v>3678</v>
      </c>
      <c r="J1541" s="1978">
        <f>'Part VIII-Threshold Criteria'!J371</f>
        <v>36631</v>
      </c>
      <c r="K1541" s="1978"/>
      <c r="O1541" s="1940"/>
    </row>
    <row r="1542" spans="1:18" s="1815" customFormat="1" ht="11.25" customHeight="1">
      <c r="A1542" s="1940"/>
      <c r="B1542" s="1908" t="s">
        <v>1695</v>
      </c>
      <c r="C1542" s="449" t="s">
        <v>3679</v>
      </c>
      <c r="D1542" s="1896"/>
      <c r="E1542" s="449"/>
      <c r="I1542" s="449"/>
      <c r="J1542" s="449">
        <f>'Part I-Project Information'!K1210</f>
        <v>0</v>
      </c>
      <c r="K1542" s="449"/>
      <c r="L1542" s="1908" t="s">
        <v>3680</v>
      </c>
      <c r="M1542" s="449"/>
      <c r="N1542" s="449"/>
      <c r="O1542" s="1940" t="s">
        <v>1695</v>
      </c>
      <c r="P1542" s="1229" t="str">
        <f>'Part VIII-Threshold Criteria'!P372</f>
        <v>Yes</v>
      </c>
      <c r="Q1542" s="1229"/>
    </row>
    <row r="1543" spans="1:18" s="1815" customFormat="1" ht="11.25" customHeight="1">
      <c r="A1543" s="1940"/>
      <c r="B1543" s="1908" t="s">
        <v>2303</v>
      </c>
      <c r="C1543" s="449" t="s">
        <v>4354</v>
      </c>
      <c r="E1543" s="449"/>
      <c r="F1543" s="449"/>
      <c r="G1543" s="449"/>
      <c r="H1543" s="449" t="s">
        <v>4355</v>
      </c>
      <c r="I1543" s="449"/>
      <c r="J1543" s="1979">
        <f>'Part VIII-Threshold Criteria'!J373</f>
        <v>696509</v>
      </c>
      <c r="K1543" s="1979"/>
      <c r="L1543" s="1979"/>
      <c r="M1543" s="1979"/>
      <c r="O1543" s="1940"/>
    </row>
    <row r="1544" spans="1:18" s="1815" customFormat="1" ht="11.25" customHeight="1">
      <c r="A1544" s="1940"/>
      <c r="B1544" s="1908"/>
      <c r="C1544" s="449"/>
      <c r="E1544" s="449"/>
      <c r="F1544" s="449"/>
      <c r="G1544" s="449"/>
      <c r="H1544" s="449" t="s">
        <v>4356</v>
      </c>
      <c r="I1544" s="449"/>
      <c r="J1544" s="449" t="str">
        <f>'Part VIII-Threshold Criteria'!J374</f>
        <v>Yes</v>
      </c>
      <c r="K1544" s="449"/>
      <c r="L1544" s="449"/>
      <c r="M1544" s="449"/>
      <c r="N1544" s="449"/>
      <c r="O1544" s="1940"/>
    </row>
    <row r="1545" spans="1:18" s="1815" customFormat="1" ht="11.25" customHeight="1">
      <c r="A1545" s="1940"/>
      <c r="B1545" s="1908" t="s">
        <v>1515</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1515</v>
      </c>
      <c r="P1545" s="1229" t="str">
        <f>'Part VIII-Threshold Criteria'!P375</f>
        <v>Yes</v>
      </c>
      <c r="Q1545" s="1229"/>
    </row>
    <row r="1546" spans="1:18" s="1815" customFormat="1" ht="11.25" customHeight="1">
      <c r="A1546" s="1940"/>
      <c r="B1546" s="1908" t="s">
        <v>1516</v>
      </c>
      <c r="C1546" s="449" t="s">
        <v>4562</v>
      </c>
      <c r="E1546" s="449"/>
      <c r="F1546" s="449"/>
      <c r="G1546" s="449"/>
      <c r="H1546" s="449" t="s">
        <v>4357</v>
      </c>
      <c r="I1546" s="449"/>
      <c r="J1546" s="1979">
        <f>'Part VIII-Threshold Criteria'!J376</f>
        <v>500000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t="str">
        <f>'Part VIII-Threshold Criteria'!P377</f>
        <v>Yes</v>
      </c>
      <c r="Q1547" s="1229"/>
    </row>
    <row r="1548" spans="1:18" s="1815" customFormat="1" ht="11.25" customHeight="1">
      <c r="A1548" s="1940" t="s">
        <v>1936</v>
      </c>
      <c r="B1548" s="449" t="s">
        <v>3684</v>
      </c>
      <c r="D1548" s="449"/>
      <c r="E1548" s="449"/>
      <c r="F1548" s="449"/>
      <c r="G1548" s="449"/>
      <c r="H1548" s="449"/>
      <c r="P1548" s="449"/>
      <c r="Q1548" s="449"/>
      <c r="R1548" s="449"/>
    </row>
    <row r="1549" spans="1:18" s="1815" customFormat="1" ht="11.25" customHeight="1">
      <c r="B1549" s="1908" t="s">
        <v>1693</v>
      </c>
      <c r="C1549" s="1908" t="s">
        <v>4392</v>
      </c>
      <c r="E1549" s="1908"/>
      <c r="F1549" s="1908"/>
      <c r="G1549" s="1908"/>
      <c r="H1549" s="1908"/>
      <c r="P1549" s="1229" t="str">
        <f>'Part VIII-Threshold Criteria'!P379</f>
        <v>No</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1694</v>
      </c>
      <c r="C1551" s="1908" t="s">
        <v>3685</v>
      </c>
      <c r="E1551" s="449"/>
      <c r="F1551" s="449"/>
      <c r="G1551" s="449"/>
      <c r="H1551" s="449"/>
      <c r="I1551" s="1940" t="s">
        <v>1694</v>
      </c>
      <c r="J1551" s="1979">
        <f>'Part VIII-Threshold Criteria'!J381</f>
        <v>1015331</v>
      </c>
      <c r="K1551" s="1979"/>
      <c r="L1551" s="1979"/>
      <c r="M1551" s="1979"/>
      <c r="N1551" s="1985">
        <f>IF(J1551="","",(J1551-J1543)/J1551)</f>
        <v>0.314007944207357</v>
      </c>
      <c r="O1551" s="1985" t="str">
        <f>IF(L1551="","",(L1551-L1543)/L1551)</f>
        <v/>
      </c>
      <c r="P1551" s="1229" t="str">
        <f>'Part VIII-Threshold Criteria'!P381</f>
        <v>Yes</v>
      </c>
      <c r="Q1551" s="1229"/>
    </row>
    <row r="1552" spans="1:18" s="1815" customFormat="1" ht="11.25" customHeight="1">
      <c r="B1552" s="1908" t="s">
        <v>1695</v>
      </c>
      <c r="C1552" s="449" t="s">
        <v>3687</v>
      </c>
      <c r="E1552" s="449"/>
      <c r="F1552" s="449"/>
      <c r="G1552" s="449"/>
      <c r="H1552" s="449"/>
      <c r="N1552" s="449"/>
      <c r="O1552" s="1940" t="s">
        <v>1695</v>
      </c>
      <c r="P1552" s="1925">
        <f>'Part VIII-Threshold Criteria'!P382</f>
        <v>30</v>
      </c>
      <c r="Q1552" s="1925"/>
    </row>
    <row r="1553" spans="1:31" s="1815" customFormat="1" ht="11.25" customHeight="1">
      <c r="B1553" s="1908" t="s">
        <v>2303</v>
      </c>
      <c r="C1553" s="449" t="s">
        <v>3689</v>
      </c>
      <c r="E1553" s="449"/>
      <c r="F1553" s="449"/>
      <c r="G1553" s="449"/>
      <c r="H1553" s="449"/>
      <c r="M1553" s="449"/>
      <c r="N1553" s="449"/>
      <c r="O1553" s="1940" t="s">
        <v>2303</v>
      </c>
      <c r="P1553" s="1229" t="str">
        <f>'Part VIII-Threshold Criteria'!P383</f>
        <v>Yes</v>
      </c>
      <c r="Q1553" s="1229"/>
    </row>
    <row r="1554" spans="1:31" ht="10.5" customHeight="1">
      <c r="B1554" s="1908" t="s">
        <v>3563</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This development does qualify for the rural home preservation set-aside. We have provided the DCA pre-application selection letter as well as the other required information.</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1818</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2606</v>
      </c>
      <c r="C1560" s="1815"/>
      <c r="D1560" s="1815"/>
      <c r="E1560" s="1815"/>
      <c r="F1560" s="1815"/>
      <c r="G1560" s="1815"/>
      <c r="H1560" s="1939"/>
      <c r="I1560" s="1939"/>
      <c r="J1560" s="1939"/>
      <c r="O1560" s="1942" t="s">
        <v>1819</v>
      </c>
      <c r="P1560" s="1897"/>
      <c r="Q1560" s="1897"/>
    </row>
    <row r="1561" spans="1:31" ht="11.4" customHeight="1">
      <c r="A1561" s="1940" t="s">
        <v>1934</v>
      </c>
      <c r="B1561" s="449" t="s">
        <v>1011</v>
      </c>
      <c r="E1561" s="449" t="str">
        <f>'Part VIII-Threshold Criteria'!E391</f>
        <v>N/A</v>
      </c>
      <c r="F1561" s="449"/>
      <c r="G1561" s="449"/>
      <c r="H1561" s="449"/>
      <c r="I1561" s="449"/>
      <c r="J1561" s="449" t="s">
        <v>2593</v>
      </c>
      <c r="K1561" s="449"/>
      <c r="L1561" s="449"/>
      <c r="M1561" s="449">
        <f>'Part VIII-Threshold Criteria'!M391</f>
        <v>0</v>
      </c>
      <c r="N1561" s="449"/>
      <c r="O1561" s="449"/>
      <c r="P1561" s="449"/>
      <c r="Q1561" s="449"/>
    </row>
    <row r="1562" spans="1:31" ht="11.4" customHeight="1">
      <c r="A1562" s="1940" t="s">
        <v>1936</v>
      </c>
      <c r="B1562" s="449" t="s">
        <v>3344</v>
      </c>
      <c r="D1562" s="449"/>
      <c r="E1562" s="449"/>
      <c r="F1562" s="449"/>
      <c r="G1562" s="449"/>
      <c r="H1562" s="449"/>
      <c r="I1562" s="449"/>
      <c r="J1562" s="449"/>
      <c r="K1562" s="449"/>
      <c r="L1562" s="1908"/>
      <c r="M1562" s="1908"/>
      <c r="O1562" s="1940" t="s">
        <v>1936</v>
      </c>
      <c r="P1562" s="1229">
        <f>'Part VIII-Threshold Criteria'!P392</f>
        <v>0</v>
      </c>
      <c r="Q1562" s="1229"/>
    </row>
    <row r="1563" spans="1:31" ht="22.5" customHeight="1">
      <c r="A1563" s="1942" t="s">
        <v>730</v>
      </c>
      <c r="B1563" s="1936" t="s">
        <v>3353</v>
      </c>
      <c r="C1563" s="1936"/>
      <c r="D1563" s="1936"/>
      <c r="E1563" s="1936"/>
      <c r="F1563" s="1936"/>
      <c r="G1563" s="1936"/>
      <c r="H1563" s="1936"/>
      <c r="I1563" s="1936"/>
      <c r="J1563" s="1936"/>
      <c r="K1563" s="1936"/>
      <c r="L1563" s="1936"/>
      <c r="M1563" s="1936"/>
      <c r="N1563" s="1936"/>
      <c r="O1563" s="1942" t="s">
        <v>730</v>
      </c>
      <c r="P1563" s="1938">
        <f>'Part VIII-Threshold Criteria'!P393</f>
        <v>0</v>
      </c>
      <c r="Q1563" s="1938"/>
    </row>
    <row r="1564" spans="1:31">
      <c r="A1564" s="1940" t="s">
        <v>2063</v>
      </c>
      <c r="B1564" s="1945" t="s">
        <v>3516</v>
      </c>
      <c r="G1564" s="1908"/>
      <c r="H1564" s="1908"/>
      <c r="I1564" s="1908"/>
      <c r="J1564" s="1908" t="s">
        <v>3517</v>
      </c>
      <c r="L1564" s="1908"/>
      <c r="M1564" s="2144">
        <f>'Part VIII-Threshold Criteria'!M394</f>
        <v>0</v>
      </c>
      <c r="N1564" s="2144"/>
      <c r="O1564" s="1940" t="s">
        <v>2063</v>
      </c>
      <c r="P1564" s="1229">
        <f>'Part VIII-Threshold Criteria'!P394</f>
        <v>0</v>
      </c>
      <c r="Q1564" s="1229"/>
    </row>
    <row r="1565" spans="1:31" ht="11.25" customHeight="1">
      <c r="B1565" s="1908" t="s">
        <v>3563</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This development does not qualify for the CHDO set-aside for Home Loans.</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1818</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2591</v>
      </c>
      <c r="C1570" s="1815"/>
      <c r="D1570" s="1815"/>
      <c r="E1570" s="1939"/>
      <c r="G1570" s="1936" t="s">
        <v>682</v>
      </c>
      <c r="H1570" s="1939"/>
      <c r="I1570" s="1939"/>
      <c r="J1570" s="1939"/>
      <c r="K1570" s="1939"/>
      <c r="L1570" s="1939"/>
      <c r="M1570" s="1939"/>
      <c r="O1570" s="1942" t="s">
        <v>1819</v>
      </c>
      <c r="P1570" s="1897"/>
      <c r="Q1570" s="1897"/>
    </row>
    <row r="1571" spans="1:31" ht="12" customHeight="1">
      <c r="A1571" s="1940" t="s">
        <v>1934</v>
      </c>
      <c r="B1571" s="449" t="s">
        <v>2595</v>
      </c>
      <c r="D1571" s="1936"/>
      <c r="E1571" s="1936"/>
      <c r="O1571" s="1940" t="s">
        <v>1934</v>
      </c>
      <c r="P1571" s="1229" t="str">
        <f>'Part VIII-Threshold Criteria'!P401</f>
        <v>Yes</v>
      </c>
      <c r="Q1571" s="1229"/>
    </row>
    <row r="1572" spans="1:31" ht="12" customHeight="1">
      <c r="A1572" s="1940" t="s">
        <v>1936</v>
      </c>
      <c r="B1572" s="449" t="s">
        <v>3440</v>
      </c>
      <c r="D1572" s="1936"/>
      <c r="E1572" s="1936"/>
      <c r="O1572" s="1940" t="s">
        <v>1936</v>
      </c>
      <c r="P1572" s="1229" t="str">
        <f>'Part VIII-Threshold Criteria'!P402</f>
        <v>No</v>
      </c>
      <c r="Q1572" s="1229"/>
    </row>
    <row r="1573" spans="1:31" ht="12" customHeight="1">
      <c r="A1573" s="1940" t="s">
        <v>730</v>
      </c>
      <c r="B1573" s="449" t="s">
        <v>4710</v>
      </c>
      <c r="D1573" s="1936"/>
      <c r="E1573" s="1936"/>
      <c r="O1573" s="1940" t="s">
        <v>730</v>
      </c>
      <c r="P1573" s="1229" t="str">
        <f>'Part VIII-Threshold Criteria'!P403</f>
        <v>No</v>
      </c>
      <c r="Q1573" s="1229"/>
    </row>
    <row r="1574" spans="1:31" ht="12" customHeight="1">
      <c r="A1574" s="1940" t="s">
        <v>2063</v>
      </c>
      <c r="B1574" s="449" t="s">
        <v>3441</v>
      </c>
      <c r="E1574" s="1936"/>
      <c r="O1574" s="1940" t="s">
        <v>2063</v>
      </c>
      <c r="P1574" s="1229" t="str">
        <f>'Part VIII-Threshold Criteria'!P404</f>
        <v>No</v>
      </c>
      <c r="Q1574" s="1229"/>
    </row>
    <row r="1575" spans="1:31" ht="12" customHeight="1">
      <c r="A1575" s="1940" t="s">
        <v>1691</v>
      </c>
      <c r="B1575" s="449" t="s">
        <v>2029</v>
      </c>
      <c r="E1575" s="1936"/>
      <c r="G1575" s="1940" t="s">
        <v>1691</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3563</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This development qualifies for and is requesting Acquisition credits. Because of this; we have included the required legal opinion as requested by DCA.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1818</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4532</v>
      </c>
      <c r="C1581" s="1815"/>
      <c r="D1581" s="1815"/>
      <c r="E1581" s="1815"/>
      <c r="F1581" s="1815"/>
      <c r="G1581" s="1815"/>
      <c r="H1581" s="1939"/>
      <c r="I1581" s="1939"/>
      <c r="J1581" s="1939"/>
      <c r="K1581" s="1939"/>
      <c r="L1581" s="1939"/>
      <c r="M1581" s="1939"/>
      <c r="O1581" s="1942" t="s">
        <v>1819</v>
      </c>
      <c r="P1581" s="1897"/>
      <c r="Q1581" s="1897"/>
    </row>
    <row r="1582" spans="1:31" ht="12" customHeight="1">
      <c r="A1582" s="1940" t="s">
        <v>1934</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1937</v>
      </c>
      <c r="C1583" s="1945" t="s">
        <v>733</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2370</v>
      </c>
      <c r="P1584" s="1229" t="str">
        <f>'Part VIII-Threshold Criteria'!P414</f>
        <v>Yes</v>
      </c>
      <c r="Q1584" s="1229"/>
    </row>
    <row r="1585" spans="1:17" ht="12" customHeight="1">
      <c r="B1585" s="449"/>
      <c r="C1585" s="449" t="s">
        <v>2371</v>
      </c>
      <c r="D1585" s="1945" t="s">
        <v>4713</v>
      </c>
      <c r="E1585" s="1815"/>
      <c r="F1585" s="1815"/>
      <c r="G1585" s="1815"/>
      <c r="H1585" s="1815"/>
      <c r="I1585" s="1815"/>
      <c r="J1585" s="1815"/>
      <c r="K1585" s="1815"/>
      <c r="L1585" s="1815"/>
      <c r="M1585" s="1815"/>
      <c r="N1585" s="1815"/>
      <c r="O1585" s="1940" t="s">
        <v>2371</v>
      </c>
      <c r="P1585" s="1229" t="str">
        <f>'Part VIII-Threshold Criteria'!P415</f>
        <v>No</v>
      </c>
      <c r="Q1585" s="1229"/>
    </row>
    <row r="1586" spans="1:17" ht="12" customHeight="1">
      <c r="A1586" s="1940"/>
      <c r="D1586" s="449" t="s">
        <v>1451</v>
      </c>
      <c r="E1586" s="449"/>
      <c r="F1586" s="449"/>
      <c r="G1586" s="449"/>
      <c r="H1586" s="449"/>
      <c r="I1586" s="449"/>
      <c r="J1586" s="449"/>
      <c r="K1586" s="449"/>
      <c r="L1586" s="449"/>
      <c r="M1586" s="449"/>
      <c r="N1586" s="1815"/>
      <c r="O1586" s="1930"/>
    </row>
    <row r="1587" spans="1:17" ht="12" customHeight="1">
      <c r="C1587" s="449" t="s">
        <v>4539</v>
      </c>
      <c r="D1587" s="449" t="s">
        <v>3354</v>
      </c>
      <c r="E1587" s="449"/>
      <c r="F1587" s="449"/>
      <c r="G1587" s="449"/>
      <c r="H1587" s="449"/>
      <c r="I1587" s="449"/>
      <c r="J1587" s="449"/>
      <c r="K1587" s="449"/>
      <c r="L1587" s="449"/>
      <c r="M1587" s="449"/>
      <c r="N1587" s="1815"/>
      <c r="O1587" s="1940" t="s">
        <v>2372</v>
      </c>
      <c r="P1587" s="1229">
        <f>'Part VIII-Threshold Criteria'!P417</f>
        <v>0</v>
      </c>
      <c r="Q1587" s="1229"/>
    </row>
    <row r="1588" spans="1:17" ht="12" customHeight="1">
      <c r="A1588" s="1940"/>
      <c r="C1588" s="1940" t="s">
        <v>2373</v>
      </c>
      <c r="D1588" s="449" t="s">
        <v>3435</v>
      </c>
      <c r="E1588" s="449"/>
      <c r="F1588" s="449"/>
      <c r="G1588" s="449"/>
      <c r="H1588" s="449"/>
      <c r="I1588" s="449"/>
      <c r="J1588" s="449"/>
      <c r="K1588" s="449"/>
      <c r="L1588" s="449"/>
      <c r="M1588" s="449"/>
      <c r="N1588" s="1815"/>
      <c r="O1588" s="1940" t="s">
        <v>2373</v>
      </c>
      <c r="P1588" s="1229" t="str">
        <f>'Part VIII-Threshold Criteria'!P418</f>
        <v>No</v>
      </c>
      <c r="Q1588" s="1229"/>
    </row>
    <row r="1589" spans="1:17" ht="12" customHeight="1">
      <c r="A1589" s="1940"/>
      <c r="B1589" s="2145" t="s">
        <v>1939</v>
      </c>
      <c r="C1589" s="449" t="s">
        <v>2149</v>
      </c>
      <c r="E1589" s="449"/>
      <c r="F1589" s="449"/>
      <c r="G1589" s="449"/>
      <c r="H1589" s="449"/>
      <c r="I1589" s="449"/>
      <c r="J1589" s="449"/>
      <c r="K1589" s="449"/>
      <c r="L1589" s="449"/>
      <c r="M1589" s="449"/>
      <c r="N1589" s="449"/>
      <c r="O1589" s="1940">
        <v>2</v>
      </c>
      <c r="P1589" s="1229" t="str">
        <f>'Part VIII-Threshold Criteria'!P419</f>
        <v>Yes</v>
      </c>
      <c r="Q1589" s="1229"/>
    </row>
    <row r="1590" spans="1:17" ht="12" customHeight="1">
      <c r="A1590" s="1940"/>
      <c r="B1590" s="2145" t="s">
        <v>2466</v>
      </c>
      <c r="C1590" s="1936" t="s">
        <v>2717</v>
      </c>
      <c r="D1590" s="1936"/>
      <c r="E1590" s="1936"/>
      <c r="F1590" s="1936"/>
      <c r="G1590" s="449" t="s">
        <v>4540</v>
      </c>
      <c r="J1590" s="1732">
        <f>'Part VIII-Threshold Criteria'!J420</f>
        <v>8</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21</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6</v>
      </c>
      <c r="K1592" s="1732"/>
      <c r="L1592" s="1908"/>
      <c r="M1592" s="1815"/>
      <c r="N1592" s="1940"/>
    </row>
    <row r="1593" spans="1:17" ht="12" customHeight="1">
      <c r="A1593" s="1940"/>
      <c r="B1593" s="2145" t="s">
        <v>1197</v>
      </c>
      <c r="C1593" s="1908" t="s">
        <v>4366</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t="str">
        <f>'Part VIII-Threshold Criteria'!J424</f>
        <v>Yes</v>
      </c>
      <c r="K1594" s="1229"/>
      <c r="L1594" s="1908"/>
      <c r="M1594" s="1945" t="s">
        <v>4538</v>
      </c>
    </row>
    <row r="1595" spans="1:17" ht="12" customHeight="1">
      <c r="A1595" s="1815"/>
      <c r="G1595" s="1945" t="s">
        <v>4534</v>
      </c>
      <c r="H1595" s="1908"/>
      <c r="I1595" s="1908"/>
      <c r="J1595" s="1229" t="str">
        <f>'Part VIII-Threshold Criteria'!J425</f>
        <v>Yes</v>
      </c>
      <c r="K1595" s="1229"/>
      <c r="M1595" s="1956" t="str">
        <f>'Part VIII-Threshold Criteria'!M425</f>
        <v>Each resident will be given individual relocation advisory/counseling services no later than thirty (30) days prior to the date of their proposed relocation.  The resident will be furnished with a thirty (30) day notice to vacate their unit at that time and alternatives for temporary or permanent relocation housing will be discussed.  Resident and counselor will determine which temporary or permanent housing best fits resident’s needs and will formulate an individualized moving plan.</v>
      </c>
      <c r="N1595" s="1956"/>
      <c r="O1595" s="1956"/>
      <c r="P1595" s="1956"/>
      <c r="Q1595" s="1956"/>
    </row>
    <row r="1596" spans="1:17" ht="12" customHeight="1">
      <c r="A1596" s="1815"/>
      <c r="G1596" s="1945" t="s">
        <v>4535</v>
      </c>
      <c r="H1596" s="1908"/>
      <c r="J1596" s="1229" t="str">
        <f>'Part VIII-Threshold Criteria'!J426</f>
        <v>Yes</v>
      </c>
      <c r="K1596" s="1229"/>
      <c r="M1596" s="1956"/>
      <c r="N1596" s="1956"/>
      <c r="O1596" s="1956"/>
      <c r="P1596" s="1956"/>
      <c r="Q1596" s="1956"/>
    </row>
    <row r="1597" spans="1:17" ht="12" customHeight="1">
      <c r="A1597" s="1940"/>
      <c r="B1597" s="1945"/>
      <c r="C1597" s="1908" t="s">
        <v>4546</v>
      </c>
      <c r="E1597" s="1908"/>
      <c r="F1597" s="1908"/>
      <c r="L1597" s="1908"/>
      <c r="M1597" s="1908"/>
      <c r="O1597" s="1940" t="s">
        <v>1694</v>
      </c>
      <c r="P1597" s="1229" t="str">
        <f>'Part VIII-Threshold Criteria'!P427</f>
        <v>Third-party</v>
      </c>
      <c r="Q1597" s="1229" t="s">
        <v>1726</v>
      </c>
    </row>
    <row r="1598" spans="1:17" ht="12" customHeight="1">
      <c r="A1598" s="1815"/>
      <c r="D1598" s="1943" t="s">
        <v>2393</v>
      </c>
      <c r="E1598" s="1945" t="s">
        <v>3641</v>
      </c>
      <c r="F1598" s="1908"/>
      <c r="G1598" s="449" t="str">
        <f>'Part VIII-Threshold Criteria'!G428</f>
        <v>Custom Relocation Specialists, LLC</v>
      </c>
      <c r="H1598" s="449"/>
      <c r="I1598" s="449"/>
      <c r="J1598" s="449"/>
      <c r="K1598" s="449"/>
      <c r="L1598" s="1943"/>
    </row>
    <row r="1599" spans="1:17" ht="12" customHeight="1">
      <c r="D1599" s="1943" t="s">
        <v>4536</v>
      </c>
      <c r="E1599" s="1945" t="s">
        <v>4537</v>
      </c>
      <c r="F1599" s="1943"/>
      <c r="G1599" s="449" t="str">
        <f>'Part VIII-Threshold Criteria'!G429</f>
        <v>Relocation specialist</v>
      </c>
      <c r="H1599" s="449"/>
      <c r="I1599" s="449"/>
      <c r="J1599" s="1945" t="s">
        <v>4273</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4" customHeight="1">
      <c r="B1601" s="1956" t="str">
        <f>'Part VIII-Threshold Criteria'!B431</f>
        <v xml:space="preserve">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v>
      </c>
      <c r="C1601" s="1956"/>
      <c r="D1601" s="1956"/>
      <c r="E1601" s="1956"/>
      <c r="F1601" s="1956"/>
      <c r="G1601" s="1956"/>
      <c r="H1601" s="1956"/>
      <c r="I1601" s="1956"/>
      <c r="J1601" s="1956"/>
      <c r="K1601" s="1956"/>
      <c r="L1601" s="1956"/>
      <c r="M1601" s="1956"/>
      <c r="N1601" s="1956"/>
      <c r="O1601" s="1956"/>
      <c r="P1601" s="1956"/>
      <c r="Q1601" s="1956"/>
      <c r="R1601" s="1973" t="s">
        <v>4268</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1936</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1936</v>
      </c>
      <c r="P1605" s="1936" t="str">
        <f>'Part VIII-Threshold Criteria'!P435</f>
        <v>Agree</v>
      </c>
      <c r="Q1605" s="1936"/>
    </row>
    <row r="1606" spans="1:31" ht="12" customHeight="1">
      <c r="B1606" s="1908" t="s">
        <v>3563</v>
      </c>
      <c r="D1606" s="1908"/>
      <c r="E1606" s="1908"/>
      <c r="F1606" s="1908"/>
      <c r="G1606" s="1908"/>
      <c r="H1606" s="1908"/>
      <c r="I1606" s="1229"/>
      <c r="J1606" s="1229"/>
      <c r="K1606" s="1229"/>
    </row>
    <row r="1607" spans="1:31" ht="33.6" customHeight="1">
      <c r="A1607" s="1936" t="str">
        <f>'Part VIII-Threshold Criteria'!A437</f>
        <v>This development is involves temporary relocation but there will be NO displacement of tenants. All applicable relocation standards are being met and we are utilizing a highly qualified relocation specialist to help us formulate our relocation plan and also help perform the relocation.</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1818</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2718</v>
      </c>
      <c r="C1611" s="1815"/>
      <c r="D1611" s="449"/>
      <c r="E1611" s="1939"/>
      <c r="F1611" s="1939"/>
      <c r="G1611" s="1939"/>
      <c r="H1611" s="1939"/>
      <c r="O1611" s="1942" t="s">
        <v>1819</v>
      </c>
      <c r="P1611" s="1897"/>
      <c r="Q1611" s="1897"/>
    </row>
    <row r="1612" spans="1:31" ht="14.1" customHeight="1">
      <c r="B1612" s="449" t="s">
        <v>4458</v>
      </c>
      <c r="C1612" s="1815"/>
      <c r="D1612" s="449"/>
      <c r="E1612" s="1939"/>
      <c r="F1612" s="1939"/>
      <c r="G1612" s="1939"/>
      <c r="H1612" s="1939"/>
    </row>
    <row r="1613" spans="1:31" s="1910" customFormat="1" ht="21.75" customHeight="1">
      <c r="A1613" s="1942" t="s">
        <v>1934</v>
      </c>
      <c r="B1613" s="1936" t="s">
        <v>3691</v>
      </c>
      <c r="C1613" s="1936"/>
      <c r="D1613" s="1936"/>
      <c r="E1613" s="1936"/>
      <c r="F1613" s="1936"/>
      <c r="G1613" s="1936"/>
      <c r="H1613" s="1936"/>
      <c r="I1613" s="1936"/>
      <c r="J1613" s="1936"/>
      <c r="K1613" s="1936"/>
      <c r="L1613" s="1936"/>
      <c r="M1613" s="1936"/>
      <c r="N1613" s="1936"/>
      <c r="O1613" s="1942" t="s">
        <v>1934</v>
      </c>
      <c r="P1613" s="1938" t="str">
        <f>'Part VIII-Threshold Criteria'!P443</f>
        <v>Agree</v>
      </c>
      <c r="Q1613" s="1938"/>
    </row>
    <row r="1614" spans="1:31" s="1910" customFormat="1" ht="22.5" customHeight="1">
      <c r="A1614" s="1942" t="s">
        <v>1936</v>
      </c>
      <c r="B1614" s="1936" t="s">
        <v>3690</v>
      </c>
      <c r="C1614" s="1936"/>
      <c r="D1614" s="1936"/>
      <c r="E1614" s="1936"/>
      <c r="F1614" s="1936"/>
      <c r="G1614" s="1936"/>
      <c r="H1614" s="1936"/>
      <c r="I1614" s="1936"/>
      <c r="J1614" s="1936"/>
      <c r="K1614" s="1936"/>
      <c r="L1614" s="1936"/>
      <c r="M1614" s="1936"/>
      <c r="N1614" s="1936"/>
      <c r="O1614" s="1942" t="s">
        <v>1936</v>
      </c>
      <c r="P1614" s="1938" t="str">
        <f>'Part VIII-Threshold Criteria'!P444</f>
        <v>Agree</v>
      </c>
      <c r="Q1614" s="1938"/>
    </row>
    <row r="1615" spans="1:31" s="1910" customFormat="1" ht="22.5" customHeight="1">
      <c r="B1615" s="1939" t="s">
        <v>1693</v>
      </c>
      <c r="C1615" s="1936" t="s">
        <v>4414</v>
      </c>
      <c r="D1615" s="1936"/>
      <c r="E1615" s="1936"/>
      <c r="F1615" s="1936"/>
      <c r="G1615" s="1936"/>
      <c r="H1615" s="1936"/>
      <c r="I1615" s="1936"/>
      <c r="J1615" s="1936"/>
      <c r="K1615" s="1936"/>
      <c r="L1615" s="1936"/>
      <c r="M1615" s="1936"/>
      <c r="N1615" s="1936"/>
      <c r="O1615" s="1942" t="s">
        <v>1693</v>
      </c>
      <c r="P1615" s="1938" t="str">
        <f>'Part VIII-Threshold Criteria'!P445</f>
        <v>Agree</v>
      </c>
      <c r="Q1615" s="1938"/>
    </row>
    <row r="1616" spans="1:31" s="1815" customFormat="1" ht="12" customHeight="1">
      <c r="B1616" s="1939" t="s">
        <v>1694</v>
      </c>
      <c r="C1616" s="449" t="s">
        <v>4415</v>
      </c>
      <c r="D1616" s="449"/>
      <c r="E1616" s="449"/>
      <c r="F1616" s="449"/>
      <c r="G1616" s="449"/>
      <c r="H1616" s="449"/>
      <c r="I1616" s="449"/>
      <c r="J1616" s="449"/>
      <c r="K1616" s="449"/>
      <c r="L1616" s="449"/>
      <c r="M1616" s="449"/>
      <c r="N1616" s="449"/>
      <c r="O1616" s="1940" t="s">
        <v>1694</v>
      </c>
      <c r="P1616" s="1229" t="str">
        <f>'Part VIII-Threshold Criteria'!P446</f>
        <v>Agree</v>
      </c>
      <c r="Q1616" s="1229"/>
    </row>
    <row r="1617" spans="1:31" s="1910" customFormat="1" ht="33" customHeight="1">
      <c r="B1617" s="1939" t="s">
        <v>1695</v>
      </c>
      <c r="C1617" s="1936" t="s">
        <v>4416</v>
      </c>
      <c r="D1617" s="1936"/>
      <c r="E1617" s="1936"/>
      <c r="F1617" s="1936"/>
      <c r="G1617" s="1936"/>
      <c r="H1617" s="1936"/>
      <c r="I1617" s="1936"/>
      <c r="J1617" s="1936"/>
      <c r="K1617" s="1936"/>
      <c r="L1617" s="1936"/>
      <c r="M1617" s="1936"/>
      <c r="N1617" s="1936"/>
      <c r="O1617" s="1942" t="s">
        <v>1695</v>
      </c>
      <c r="P1617" s="1938" t="str">
        <f>'Part VIII-Threshold Criteria'!P447</f>
        <v>Agree</v>
      </c>
      <c r="Q1617" s="1938"/>
    </row>
    <row r="1618" spans="1:31" s="1910" customFormat="1" ht="22.5" customHeight="1">
      <c r="B1618" s="1939" t="s">
        <v>2303</v>
      </c>
      <c r="C1618" s="1936" t="s">
        <v>4417</v>
      </c>
      <c r="D1618" s="1936"/>
      <c r="E1618" s="1936"/>
      <c r="F1618" s="1936"/>
      <c r="G1618" s="1936"/>
      <c r="H1618" s="1936"/>
      <c r="I1618" s="1936"/>
      <c r="J1618" s="1936"/>
      <c r="K1618" s="1936"/>
      <c r="L1618" s="1936"/>
      <c r="M1618" s="1936"/>
      <c r="N1618" s="1936"/>
      <c r="O1618" s="1942" t="s">
        <v>2303</v>
      </c>
      <c r="P1618" s="1938" t="str">
        <f>'Part VIII-Threshold Criteria'!P448</f>
        <v>Agree</v>
      </c>
      <c r="Q1618" s="1938"/>
    </row>
    <row r="1619" spans="1:31" s="1910" customFormat="1" ht="22.5" customHeight="1">
      <c r="A1619" s="1942" t="s">
        <v>730</v>
      </c>
      <c r="B1619" s="1936" t="s">
        <v>3692</v>
      </c>
      <c r="C1619" s="1936"/>
      <c r="D1619" s="1936"/>
      <c r="E1619" s="1936"/>
      <c r="F1619" s="1936"/>
      <c r="G1619" s="1936"/>
      <c r="H1619" s="1936"/>
      <c r="I1619" s="1936"/>
      <c r="J1619" s="1936"/>
      <c r="K1619" s="1936"/>
      <c r="L1619" s="1936"/>
      <c r="M1619" s="1936"/>
      <c r="N1619" s="1936"/>
      <c r="O1619" s="1942" t="s">
        <v>730</v>
      </c>
      <c r="P1619" s="1938" t="str">
        <f>'Part VIII-Threshold Criteria'!P449</f>
        <v>Agree</v>
      </c>
      <c r="Q1619" s="1938"/>
    </row>
    <row r="1620" spans="1:31" s="1910" customFormat="1" ht="22.5" customHeight="1">
      <c r="A1620" s="1942" t="s">
        <v>2063</v>
      </c>
      <c r="B1620" s="1936" t="s">
        <v>4499</v>
      </c>
      <c r="C1620" s="1936"/>
      <c r="D1620" s="1936"/>
      <c r="E1620" s="1936"/>
      <c r="F1620" s="1936"/>
      <c r="G1620" s="1936"/>
      <c r="H1620" s="1936"/>
      <c r="I1620" s="1936"/>
      <c r="J1620" s="1936"/>
      <c r="K1620" s="1936"/>
      <c r="L1620" s="1936"/>
      <c r="M1620" s="1936"/>
      <c r="N1620" s="1936"/>
      <c r="O1620" s="1942" t="s">
        <v>2063</v>
      </c>
      <c r="P1620" s="1938" t="str">
        <f>'Part VIII-Threshold Criteria'!P450</f>
        <v>Agree</v>
      </c>
      <c r="Q1620" s="1938"/>
    </row>
    <row r="1621" spans="1:31" s="1910" customFormat="1" ht="21.75" customHeight="1">
      <c r="A1621" s="1942" t="s">
        <v>1691</v>
      </c>
      <c r="B1621" s="1936" t="s">
        <v>4500</v>
      </c>
      <c r="C1621" s="1936"/>
      <c r="D1621" s="1936"/>
      <c r="E1621" s="1936"/>
      <c r="F1621" s="1936"/>
      <c r="G1621" s="1936"/>
      <c r="H1621" s="1936"/>
      <c r="I1621" s="1936"/>
      <c r="J1621" s="1936"/>
      <c r="K1621" s="1936"/>
      <c r="L1621" s="1936"/>
      <c r="M1621" s="1936"/>
      <c r="N1621" s="1936"/>
      <c r="O1621" s="1942" t="s">
        <v>1691</v>
      </c>
      <c r="P1621" s="1938" t="str">
        <f>'Part VIII-Threshold Criteria'!P451</f>
        <v>Agree</v>
      </c>
      <c r="Q1621" s="1938"/>
    </row>
    <row r="1622" spans="1:31" s="1910" customFormat="1" ht="21.75" customHeight="1">
      <c r="A1622" s="1942" t="s">
        <v>1692</v>
      </c>
      <c r="B1622" s="1936" t="s">
        <v>4563</v>
      </c>
      <c r="C1622" s="1936"/>
      <c r="D1622" s="1936"/>
      <c r="E1622" s="1936"/>
      <c r="F1622" s="1936"/>
      <c r="G1622" s="1936"/>
      <c r="H1622" s="1936"/>
      <c r="I1622" s="1936"/>
      <c r="J1622" s="1936"/>
      <c r="K1622" s="1936"/>
      <c r="L1622" s="1936"/>
      <c r="M1622" s="1936"/>
      <c r="N1622" s="1936"/>
      <c r="O1622" s="1942" t="s">
        <v>1692</v>
      </c>
      <c r="P1622" s="1938" t="str">
        <f>'Part VIII-Threshold Criteria'!P452</f>
        <v>Agree</v>
      </c>
      <c r="Q1622" s="1938"/>
    </row>
    <row r="1623" spans="1:31" ht="11.25" customHeight="1">
      <c r="B1623" s="1908" t="s">
        <v>3563</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This development will meet all AFFH requirements.</v>
      </c>
      <c r="B1624" s="1936"/>
      <c r="C1624" s="1936"/>
      <c r="D1624" s="1936"/>
      <c r="E1624" s="1936"/>
      <c r="F1624" s="1936"/>
      <c r="G1624" s="1936"/>
      <c r="H1624" s="1936"/>
      <c r="I1624" s="1936"/>
      <c r="J1624" s="1936"/>
      <c r="K1624" s="1936"/>
      <c r="L1624" s="1936"/>
      <c r="M1624" s="1936"/>
      <c r="N1624" s="1936"/>
      <c r="O1624" s="1936"/>
      <c r="P1624" s="1936"/>
      <c r="Q1624" s="1936"/>
      <c r="R1624" s="1973" t="s">
        <v>1227</v>
      </c>
      <c r="S1624" s="1973"/>
      <c r="U1624" s="1897"/>
      <c r="V1624" s="1897"/>
      <c r="W1624" s="1897"/>
      <c r="X1624" s="1897"/>
      <c r="Y1624" s="1897"/>
      <c r="Z1624" s="1897"/>
      <c r="AA1624" s="1897"/>
      <c r="AB1624" s="1897"/>
      <c r="AC1624" s="1897"/>
      <c r="AD1624" s="1897"/>
      <c r="AE1624" s="1897"/>
    </row>
    <row r="1625" spans="1:31" ht="11.25" customHeight="1">
      <c r="B1625" s="1936" t="s">
        <v>1818</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2637</v>
      </c>
      <c r="D1628" s="1945"/>
      <c r="E1628" s="449"/>
      <c r="J1628" s="1908"/>
      <c r="M1628" s="1896"/>
      <c r="N1628" s="1896"/>
      <c r="O1628" s="1942" t="s">
        <v>1819</v>
      </c>
      <c r="P1628" s="1897"/>
      <c r="Q1628" s="1897"/>
    </row>
    <row r="1629" spans="1:31" s="1950" customFormat="1" ht="15" customHeight="1">
      <c r="A1629" s="1942" t="s">
        <v>1934</v>
      </c>
      <c r="B1629" s="1936" t="s">
        <v>4583</v>
      </c>
      <c r="C1629" s="1936"/>
      <c r="D1629" s="1936"/>
      <c r="E1629" s="1936"/>
      <c r="F1629" s="1936"/>
      <c r="G1629" s="1936"/>
      <c r="H1629" s="1936"/>
      <c r="I1629" s="1936"/>
      <c r="J1629" s="1945" t="s">
        <v>4454</v>
      </c>
      <c r="K1629" s="1945"/>
      <c r="L1629" s="1843" t="s">
        <v>4585</v>
      </c>
      <c r="M1629" s="1947"/>
      <c r="N1629" s="1926">
        <f>ROUNDUP('Part VI-Revenues &amp; Expenses'!$P$63*0.1,0)</f>
        <v>4</v>
      </c>
      <c r="O1629" s="1949" t="s">
        <v>1934</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40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1748</v>
      </c>
      <c r="M1631" s="1947"/>
      <c r="N1631" s="1926">
        <f>'Part VI-Revenues &amp; Expenses'!$P$67</f>
        <v>40</v>
      </c>
      <c r="P1631" s="1936"/>
      <c r="Q1631" s="1936"/>
    </row>
    <row r="1632" spans="1:31" s="1936" customFormat="1" ht="22.5" customHeight="1">
      <c r="A1632" s="1942" t="s">
        <v>1936</v>
      </c>
      <c r="B1632" s="1936" t="s">
        <v>4589</v>
      </c>
      <c r="J1632" s="449" t="s">
        <v>4584</v>
      </c>
      <c r="K1632" s="449"/>
      <c r="L1632" s="449" t="str">
        <f>'Part VIII-Threshold Criteria'!L462</f>
        <v>Section 811</v>
      </c>
      <c r="M1632" s="449"/>
      <c r="N1632" s="449"/>
      <c r="O1632" s="1949" t="s">
        <v>1936</v>
      </c>
      <c r="P1632" s="1938" t="str">
        <f>'Part VIII-Threshold Criteria'!P462</f>
        <v>Yes</v>
      </c>
      <c r="Q1632" s="1938"/>
    </row>
    <row r="1633" spans="1:31" s="1936" customFormat="1" ht="12" customHeight="1">
      <c r="A1633" s="1942" t="s">
        <v>730</v>
      </c>
      <c r="B1633" s="1936" t="s">
        <v>4358</v>
      </c>
      <c r="J1633" s="449" t="s">
        <v>4277</v>
      </c>
      <c r="K1633" s="1958">
        <f>'Part VI-Revenues &amp; Expenses'!$P$115</f>
        <v>0</v>
      </c>
      <c r="L1633" s="1908" t="s">
        <v>4276</v>
      </c>
      <c r="M1633" s="1947"/>
      <c r="N1633" s="1926">
        <f>ROUNDUP(N1631*0.1,0)</f>
        <v>4</v>
      </c>
      <c r="O1633" s="1949" t="s">
        <v>730</v>
      </c>
      <c r="P1633" s="1936" t="str">
        <f>'Part VIII-Threshold Criteria'!P463</f>
        <v>Yes</v>
      </c>
      <c r="R1633" s="1822"/>
      <c r="S1633" s="1822"/>
    </row>
    <row r="1634" spans="1:31" s="1936" customFormat="1" ht="12" customHeight="1">
      <c r="J1634" s="449" t="s">
        <v>4278</v>
      </c>
      <c r="K1634" s="2147">
        <f>IF(N1631=0,"",K1633/N1631)</f>
        <v>0</v>
      </c>
      <c r="L1634" s="1908" t="s">
        <v>4453</v>
      </c>
      <c r="M1634" s="449"/>
      <c r="N1634" s="2148">
        <f>'Part VI-Revenues &amp; Expenses'!$L$67/'Part VI-Revenues &amp; Expenses'!$P$67</f>
        <v>0.3</v>
      </c>
      <c r="O1634" s="1949" t="str">
        <f>IF(AND(N1634&lt;0.1,P1633="Yes"), "Check!","")</f>
        <v/>
      </c>
      <c r="P1634" s="1936">
        <f>'Part VIII-Threshold Criteria'!P464</f>
        <v>0</v>
      </c>
      <c r="R1634" s="1822"/>
      <c r="S1634" s="1822"/>
    </row>
    <row r="1635" spans="1:31" s="1815" customFormat="1" ht="12" customHeight="1">
      <c r="A1635" s="1940" t="s">
        <v>2063</v>
      </c>
      <c r="B1635" s="1960" t="s">
        <v>1937</v>
      </c>
      <c r="C1635" s="449" t="s">
        <v>4279</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1939</v>
      </c>
      <c r="C1636" s="449" t="s">
        <v>4587</v>
      </c>
      <c r="D1636" s="449"/>
      <c r="E1636" s="449"/>
      <c r="F1636" s="449"/>
      <c r="G1636" s="449"/>
      <c r="H1636" s="449"/>
      <c r="I1636" s="449"/>
      <c r="J1636" s="449"/>
      <c r="K1636" s="449"/>
      <c r="L1636" s="449"/>
      <c r="M1636" s="449"/>
      <c r="N1636" s="449"/>
      <c r="O1636" s="1940" t="s">
        <v>4588</v>
      </c>
      <c r="P1636" s="1229" t="str">
        <f>'Part VIII-Threshold Criteria'!P466</f>
        <v>N/a</v>
      </c>
      <c r="Q1636" s="1229"/>
    </row>
    <row r="1637" spans="1:31" s="1951" customFormat="1" ht="11.25" customHeight="1">
      <c r="A1637" s="1815"/>
      <c r="B1637" s="1908" t="s">
        <v>3563</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This development will meet the requirement by agreeing to accept a DCA PBRA contract if desired by DCA. We understand the requirements of the Section 811 program.</v>
      </c>
      <c r="B1638" s="1936"/>
      <c r="C1638" s="1936"/>
      <c r="D1638" s="1936"/>
      <c r="E1638" s="1936"/>
      <c r="F1638" s="1936"/>
      <c r="G1638" s="1936"/>
      <c r="H1638" s="1936"/>
      <c r="I1638" s="1936"/>
      <c r="J1638" s="1936"/>
      <c r="K1638" s="1936"/>
      <c r="L1638" s="1936"/>
      <c r="M1638" s="1936"/>
      <c r="N1638" s="1936"/>
      <c r="O1638" s="1936"/>
      <c r="P1638" s="1936"/>
      <c r="Q1638" s="1936"/>
      <c r="R1638" s="1973" t="s">
        <v>1227</v>
      </c>
    </row>
    <row r="1639" spans="1:31" s="1951" customFormat="1" ht="10.5" customHeight="1">
      <c r="B1639" s="1936" t="s">
        <v>1818</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4274</v>
      </c>
      <c r="B1642" s="1815"/>
      <c r="C1642" s="1815" t="s">
        <v>2592</v>
      </c>
      <c r="D1642" s="449"/>
      <c r="E1642" s="1939"/>
      <c r="F1642" s="1939"/>
      <c r="G1642" s="1939"/>
      <c r="H1642" s="1939"/>
      <c r="J1642" s="1939"/>
      <c r="K1642" s="1939"/>
      <c r="L1642" s="1939"/>
      <c r="M1642" s="1939"/>
      <c r="O1642" s="1942" t="s">
        <v>1819</v>
      </c>
      <c r="P1642" s="1897"/>
      <c r="Q1642" s="1897"/>
    </row>
    <row r="1643" spans="1:31" ht="11.25" customHeight="1">
      <c r="A1643" s="1922"/>
      <c r="B1643" s="1908" t="s">
        <v>3563</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This development is an optimal utilization of resources for DCA and will greatly benefit the residents of the City of Ludowici and Long County.</v>
      </c>
      <c r="B1644" s="1936"/>
      <c r="C1644" s="1936"/>
      <c r="D1644" s="1936"/>
      <c r="E1644" s="1936"/>
      <c r="F1644" s="1936"/>
      <c r="G1644" s="1936"/>
      <c r="H1644" s="1936"/>
      <c r="I1644" s="1936"/>
      <c r="J1644" s="1936"/>
      <c r="K1644" s="1936"/>
      <c r="L1644" s="1936"/>
      <c r="M1644" s="1936"/>
      <c r="N1644" s="1936"/>
      <c r="O1644" s="1936"/>
      <c r="P1644" s="1936"/>
      <c r="Q1644" s="1936"/>
      <c r="R1644" s="1973" t="s">
        <v>1227</v>
      </c>
      <c r="S1644" s="1973"/>
      <c r="U1644" s="1897"/>
      <c r="V1644" s="1897"/>
      <c r="W1644" s="1897"/>
      <c r="X1644" s="1897"/>
      <c r="Y1644" s="1897"/>
      <c r="Z1644" s="1897"/>
      <c r="AA1644" s="1897"/>
      <c r="AB1644" s="1897"/>
      <c r="AC1644" s="1897"/>
      <c r="AD1644" s="1897"/>
      <c r="AE1644" s="1897"/>
    </row>
    <row r="1645" spans="1:31" ht="11.25" customHeight="1">
      <c r="B1645" s="1936" t="s">
        <v>1818</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4275</v>
      </c>
      <c r="B1649" s="1815"/>
      <c r="C1649" s="1815" t="s">
        <v>4694</v>
      </c>
      <c r="D1649" s="449"/>
      <c r="E1649" s="1939"/>
      <c r="F1649" s="1939"/>
      <c r="G1649" s="1939"/>
      <c r="H1649" s="1939"/>
      <c r="I1649" s="1939"/>
      <c r="J1649" s="1939"/>
      <c r="K1649" s="1939"/>
      <c r="L1649" s="1939"/>
      <c r="M1649" s="1939"/>
      <c r="O1649" s="1942" t="s">
        <v>1819</v>
      </c>
      <c r="P1649" s="1897"/>
      <c r="Q1649" s="1897"/>
    </row>
    <row r="1650" spans="1:22" s="1947" customFormat="1" ht="11.25" customHeight="1">
      <c r="B1650" s="1911" t="s">
        <v>4280</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2020-050 Twin Oaks Commons,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2161</v>
      </c>
      <c r="N1658" s="1896"/>
      <c r="O1658" s="1896" t="s">
        <v>2160</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2161</v>
      </c>
      <c r="P1659" s="1896" t="s">
        <v>2161</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1199</v>
      </c>
      <c r="M1661" s="1923">
        <f>M2098</f>
        <v>95</v>
      </c>
      <c r="N1661" s="1923"/>
      <c r="O1661" s="1923">
        <f>O2098</f>
        <v>20</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4289</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4287</v>
      </c>
      <c r="P1665" s="1229">
        <f>SUM(P1666:P1678)</f>
        <v>0</v>
      </c>
      <c r="Q1665" s="449" t="s">
        <v>6933</v>
      </c>
      <c r="R1665" s="449"/>
      <c r="S1665" s="449"/>
      <c r="T1665" s="449"/>
      <c r="U1665" s="449"/>
      <c r="V1665" s="449"/>
    </row>
    <row r="1666" spans="1:22" s="1815" customFormat="1" ht="11.25" customHeight="1">
      <c r="A1666" s="1993" t="s">
        <v>723</v>
      </c>
      <c r="B1666" s="1956" t="s">
        <v>3810</v>
      </c>
      <c r="C1666" s="1956"/>
      <c r="D1666" s="1956"/>
      <c r="E1666" s="2149">
        <f>'Part IX Scoring Criteria'!E11</f>
        <v>0</v>
      </c>
      <c r="F1666" s="1986" t="str">
        <f>'Part IX Scoring Criteria'!F11</f>
        <v>This criteria is not being elected by applicant.</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515</v>
      </c>
      <c r="B1667" s="1956" t="s">
        <v>4718</v>
      </c>
      <c r="C1667" s="1956"/>
      <c r="D1667" s="1956"/>
      <c r="E1667" s="2149">
        <f>'Part IX Scoring Criteria'!E12</f>
        <v>0</v>
      </c>
      <c r="F1667" s="1986" t="str">
        <f>'Part IX Scoring Criteria'!F12</f>
        <v>This criteria is not being elected by applicant.</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1749</v>
      </c>
      <c r="B1668" s="1956" t="s">
        <v>4719</v>
      </c>
      <c r="C1668" s="1956"/>
      <c r="D1668" s="1956"/>
      <c r="E1668" s="2149">
        <f>'Part IX Scoring Criteria'!E13</f>
        <v>0</v>
      </c>
      <c r="F1668" s="1986" t="str">
        <f>'Part IX Scoring Criteria'!F13</f>
        <v>This criteria is not being elected by applicant.</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515</v>
      </c>
      <c r="B1669" s="1956" t="s">
        <v>3811</v>
      </c>
      <c r="C1669" s="1956"/>
      <c r="D1669" s="1956"/>
      <c r="E1669" s="2149">
        <f>'Part IX Scoring Criteria'!E14</f>
        <v>0</v>
      </c>
      <c r="F1669" s="1986" t="str">
        <f>'Part IX Scoring Criteria'!F14</f>
        <v>This criteria is not being elected by applicant.</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753</v>
      </c>
      <c r="B1670" s="1956" t="s">
        <v>3812</v>
      </c>
      <c r="C1670" s="1956"/>
      <c r="D1670" s="1956"/>
      <c r="E1670" s="2149">
        <f>'Part IX Scoring Criteria'!E15</f>
        <v>0</v>
      </c>
      <c r="F1670" s="1986" t="str">
        <f>'Part IX Scoring Criteria'!F15</f>
        <v>This criteria is not being elected by applicant.</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This criteria is not being elected by applicant.</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0</v>
      </c>
      <c r="F1672" s="1986" t="str">
        <f>'Part IX Scoring Criteria'!F17</f>
        <v>This criteria is not being elected by applicant.</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3595</v>
      </c>
      <c r="C1673" s="1956"/>
      <c r="D1673" s="1956"/>
      <c r="E1673" s="2149">
        <f>'Part IX Scoring Criteria'!E18</f>
        <v>0</v>
      </c>
      <c r="F1673" s="1986" t="str">
        <f>'Part IX Scoring Criteria'!F18</f>
        <v>This criteria is not being elected by applicant.</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'Part IX Scoring Criteria'!E19</f>
        <v>0</v>
      </c>
      <c r="F1674" s="1986" t="str">
        <f>'Part IX Scoring Criteria'!F19</f>
        <v>This criteria is not being elected by applicant.</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'Part IX Scoring Criteria'!E20</f>
        <v>0</v>
      </c>
      <c r="F1675" s="1986" t="str">
        <f>'Part IX Scoring Criteria'!F20</f>
        <v>This criteria is not being elected by applicant.</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0</v>
      </c>
      <c r="F1676" s="1986" t="str">
        <f>'Part IX Scoring Criteria'!F21</f>
        <v>This criteria is not being elected by applicant.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0</v>
      </c>
      <c r="F1677" s="1986" t="str">
        <f>'Part IX Scoring Criteria'!F22</f>
        <v>This criteria is not being elected by applicant.</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This criteria is not being elected by applicant.</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597</v>
      </c>
      <c r="B1680" s="1815" t="s">
        <v>2691</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1934</v>
      </c>
      <c r="B1682" s="1897" t="s">
        <v>4282</v>
      </c>
      <c r="D1682" s="1897"/>
      <c r="E1682" s="1897"/>
      <c r="F1682" s="1229"/>
      <c r="M1682" s="1896"/>
      <c r="N1682" s="1940" t="s">
        <v>1934</v>
      </c>
    </row>
    <row r="1683" spans="1:20" s="1951" customFormat="1" ht="11.25" customHeight="1">
      <c r="A1683" s="1904"/>
      <c r="B1683" s="2151" t="s">
        <v>1937</v>
      </c>
      <c r="C1683" s="1897" t="s">
        <v>4285</v>
      </c>
      <c r="D1683" s="1897"/>
      <c r="E1683" s="1897"/>
      <c r="F1683" s="1229"/>
      <c r="H1683" s="1822" t="s">
        <v>3478</v>
      </c>
      <c r="J1683" s="449"/>
      <c r="M1683" s="1896"/>
      <c r="N1683" s="1949" t="s">
        <v>1937</v>
      </c>
      <c r="O1683" s="1916">
        <f>'Part IX Scoring Criteria'!O28</f>
        <v>0</v>
      </c>
      <c r="P1683" s="1916">
        <f>F1691</f>
        <v>0</v>
      </c>
    </row>
    <row r="1684" spans="1:20" s="1951" customFormat="1" ht="11.25" customHeight="1">
      <c r="A1684" s="1904"/>
      <c r="B1684" s="2151" t="s">
        <v>1939</v>
      </c>
      <c r="C1684" s="1897" t="s">
        <v>6827</v>
      </c>
      <c r="D1684" s="1897"/>
      <c r="E1684" s="1897"/>
      <c r="F1684" s="1229"/>
      <c r="H1684" s="1822" t="s">
        <v>4283</v>
      </c>
      <c r="J1684" s="449"/>
      <c r="M1684" s="1896"/>
      <c r="N1684" s="1949" t="s">
        <v>1939</v>
      </c>
      <c r="O1684" s="1916">
        <f>'Part IX Scoring Criteria'!O29</f>
        <v>0</v>
      </c>
      <c r="P1684" s="1916">
        <f>J1691</f>
        <v>0</v>
      </c>
    </row>
    <row r="1685" spans="1:20" s="1951" customFormat="1" ht="11.25" customHeight="1">
      <c r="A1685" s="1904"/>
      <c r="B1685" s="2151" t="s">
        <v>2466</v>
      </c>
      <c r="C1685" s="1897" t="s">
        <v>4284</v>
      </c>
      <c r="D1685" s="1897"/>
      <c r="E1685" s="1897"/>
      <c r="F1685" s="1229"/>
      <c r="H1685" s="1822" t="s">
        <v>4288</v>
      </c>
      <c r="J1685" s="449"/>
      <c r="M1685" s="1896"/>
      <c r="N1685" s="1949" t="s">
        <v>2466</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1936</v>
      </c>
      <c r="B1688" s="1897" t="s">
        <v>707</v>
      </c>
      <c r="D1688" s="1897"/>
      <c r="E1688" s="1897"/>
      <c r="F1688" s="1229"/>
      <c r="H1688" s="1822" t="s">
        <v>6934</v>
      </c>
      <c r="J1688" s="449"/>
      <c r="M1688" s="1896"/>
      <c r="N1688" s="1940" t="s">
        <v>1936</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3807</v>
      </c>
      <c r="G1690" s="449" t="s">
        <v>4436</v>
      </c>
      <c r="H1690" s="449"/>
      <c r="I1690" s="449"/>
      <c r="J1690" s="1816" t="s">
        <v>3807</v>
      </c>
      <c r="K1690" s="1945" t="s">
        <v>4281</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1689</v>
      </c>
      <c r="K1692" s="1956">
        <v>1</v>
      </c>
      <c r="L1692" s="1956"/>
      <c r="M1692" s="1956"/>
      <c r="N1692" s="1956"/>
      <c r="O1692" s="1936" t="s">
        <v>1689</v>
      </c>
      <c r="P1692" s="1936"/>
      <c r="Q1692" s="1973" t="s">
        <v>1227</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2799</v>
      </c>
      <c r="K1694" s="1956">
        <v>3</v>
      </c>
      <c r="L1694" s="1956"/>
      <c r="M1694" s="1956"/>
      <c r="N1694" s="1956"/>
      <c r="O1694" s="1936" t="s">
        <v>2799</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2799</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3442</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3443</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3444</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3445</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721</v>
      </c>
      <c r="B1705" s="1815" t="s">
        <v>3446</v>
      </c>
      <c r="E1705" s="449"/>
      <c r="G1705" s="449"/>
      <c r="H1705" s="449"/>
      <c r="I1705" s="449" t="s">
        <v>3363</v>
      </c>
      <c r="M1705" s="1896">
        <v>3</v>
      </c>
      <c r="N1705" s="1896"/>
      <c r="O1705" s="1923">
        <f>'Part IX Scoring Criteria'!O50</f>
        <v>0</v>
      </c>
      <c r="P1705" s="1923">
        <f>'Part IX Scoring Criteria'!P50</f>
        <v>0</v>
      </c>
      <c r="Q1705" s="1896" t="s">
        <v>433</v>
      </c>
      <c r="R1705" s="1732" t="str">
        <f>IF(OR($O1705=$M1705,$O1705=0,$O1705=""),"","* * Check Score! * *")</f>
        <v/>
      </c>
    </row>
    <row r="1706" spans="1:18" s="1951" customFormat="1" ht="2.25" customHeight="1">
      <c r="A1706" s="2153"/>
      <c r="B1706" s="1995"/>
      <c r="E1706" s="449"/>
      <c r="F1706" s="1951" t="s">
        <v>4296</v>
      </c>
      <c r="G1706" s="1945"/>
      <c r="H1706" s="449"/>
      <c r="I1706" s="449"/>
      <c r="K1706" s="1868"/>
      <c r="L1706" s="2154"/>
      <c r="M1706" s="1896"/>
      <c r="N1706" s="1896"/>
      <c r="O1706" s="1923"/>
      <c r="P1706" s="1923"/>
      <c r="Q1706" s="1896"/>
      <c r="R1706" s="1732"/>
    </row>
    <row r="1707" spans="1:18" s="1951" customFormat="1" ht="13.5" customHeight="1">
      <c r="A1707" s="1904" t="s">
        <v>1934</v>
      </c>
      <c r="B1707" s="1911" t="s">
        <v>2555</v>
      </c>
      <c r="E1707" s="449"/>
      <c r="G1707" s="1945"/>
      <c r="H1707" s="1945" t="s">
        <v>4437</v>
      </c>
      <c r="J1707" s="2155"/>
      <c r="K1707" s="2155" t="str">
        <f>'Part I-Project Information'!$K$94</f>
        <v>40% of Units at 60% of AMI</v>
      </c>
      <c r="M1707" s="1896"/>
      <c r="N1707" s="1896"/>
      <c r="Q1707" s="1896"/>
      <c r="R1707" s="1732"/>
    </row>
    <row r="1708" spans="1:18" s="1947" customFormat="1" ht="9" customHeight="1">
      <c r="A1708" s="1904"/>
      <c r="B1708" s="1897" t="s">
        <v>4290</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1934</v>
      </c>
      <c r="O1709" s="1958">
        <f>'Part IX Scoring Criteria'!O54</f>
        <v>0</v>
      </c>
      <c r="P1709" s="1958">
        <f>'Part IX Scoring Criteria'!P54</f>
        <v>0</v>
      </c>
    </row>
    <row r="1710" spans="1:18" s="1947" customFormat="1" ht="13.5" customHeight="1">
      <c r="A1710" s="1904"/>
      <c r="B1710" s="2156" t="s">
        <v>1937</v>
      </c>
      <c r="C1710" s="1959" t="s">
        <v>4291</v>
      </c>
      <c r="D1710" s="449"/>
      <c r="H1710" s="449" t="s">
        <v>4292</v>
      </c>
      <c r="I1710" s="1822"/>
      <c r="K1710" s="2157">
        <f>'Part IX Scoring Criteria'!K55</f>
        <v>50</v>
      </c>
      <c r="L1710" s="1849" t="str">
        <f>IF(AND(O1710&gt;0,O1711&gt;0), "CHOOSE EITHER A OR B, NOT BOTH!", "")</f>
        <v/>
      </c>
      <c r="M1710" s="1732">
        <v>2</v>
      </c>
      <c r="N1710" s="1960" t="s">
        <v>1937</v>
      </c>
      <c r="O1710" s="1923">
        <f>'Part IX Scoring Criteria'!O55</f>
        <v>0</v>
      </c>
      <c r="P1710" s="1923"/>
      <c r="Q1710" s="1843" t="str">
        <f>IF(OR($O1710=$M1710,$O1710=0,$O1710=""),"","*CHECK!*")</f>
        <v/>
      </c>
      <c r="R1710" s="1823" t="s">
        <v>4765</v>
      </c>
    </row>
    <row r="1711" spans="1:18" s="1947" customFormat="1" ht="13.5" customHeight="1">
      <c r="A1711" s="1940" t="s">
        <v>3235</v>
      </c>
      <c r="B1711" s="2156" t="s">
        <v>1939</v>
      </c>
      <c r="C1711" s="1959" t="s">
        <v>4293</v>
      </c>
      <c r="D1711" s="449"/>
      <c r="I1711" s="1822"/>
      <c r="K1711" s="449"/>
      <c r="L1711" s="1849"/>
      <c r="M1711" s="1732">
        <v>2</v>
      </c>
      <c r="N1711" s="1960" t="s">
        <v>1939</v>
      </c>
      <c r="O1711" s="1923">
        <f>'Part IX Scoring Criteria'!O56</f>
        <v>0</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1936</v>
      </c>
      <c r="B1713" s="1911" t="s">
        <v>6936</v>
      </c>
      <c r="E1713" s="1945"/>
      <c r="H1713" s="1822" t="s">
        <v>4294</v>
      </c>
      <c r="I1713" s="1822"/>
      <c r="J1713" s="1961" t="s">
        <v>4295</v>
      </c>
      <c r="M1713" s="1732">
        <v>3</v>
      </c>
      <c r="N1713" s="1942" t="s">
        <v>1936</v>
      </c>
      <c r="O1713" s="1958">
        <f>'Part IX Scoring Criteria'!O58</f>
        <v>0</v>
      </c>
      <c r="P1713" s="1958">
        <f>'Part IX Scoring Criteria'!P58</f>
        <v>0</v>
      </c>
    </row>
    <row r="1714" spans="1:18" s="1951" customFormat="1" ht="13.5" customHeight="1">
      <c r="A1714" s="2158"/>
      <c r="B1714" s="2156" t="s">
        <v>1937</v>
      </c>
      <c r="C1714" s="2159">
        <v>0.3</v>
      </c>
      <c r="D1714" s="1956" t="s">
        <v>3480</v>
      </c>
      <c r="E1714" s="1945"/>
      <c r="F1714" s="1944"/>
      <c r="H1714" s="2160">
        <f>'Part IX Scoring Criteria'!H59</f>
        <v>26</v>
      </c>
      <c r="I1714" s="2160"/>
      <c r="J1714" s="2161">
        <f>'Part IX Scoring Criteria'!J59</f>
        <v>40</v>
      </c>
      <c r="K1714" s="1985">
        <f>'Part IX Scoring Criteria'!K59</f>
        <v>0.65</v>
      </c>
      <c r="L1714" s="1985">
        <f>'Part IX Scoring Criteria'!L59</f>
        <v>0</v>
      </c>
      <c r="M1714" s="1732"/>
      <c r="N1714" s="1949" t="s">
        <v>1937</v>
      </c>
      <c r="O1714" s="1958" t="str">
        <f>'Part IX Scoring Criteria'!O59</f>
        <v>No</v>
      </c>
      <c r="P1714" s="1958" t="str">
        <f>'Part IX Scoring Criteria'!P59</f>
        <v>No</v>
      </c>
    </row>
    <row r="1715" spans="1:18" s="1951" customFormat="1" ht="13.5" customHeight="1">
      <c r="A1715" s="1229"/>
      <c r="B1715" s="2156" t="s">
        <v>1939</v>
      </c>
      <c r="C1715" s="1912" t="s">
        <v>3704</v>
      </c>
      <c r="E1715" s="2162"/>
      <c r="F1715" s="1944"/>
      <c r="I1715" s="1953"/>
      <c r="J1715" s="1953"/>
      <c r="K1715" s="1953"/>
      <c r="L1715" s="1953"/>
      <c r="M1715" s="1953"/>
      <c r="N1715" s="1949" t="s">
        <v>1939</v>
      </c>
      <c r="O1715" s="1229">
        <f>'Part IX Scoring Criteria'!O60</f>
        <v>0</v>
      </c>
      <c r="P1715" s="1229"/>
    </row>
    <row r="1716" spans="1:18" s="1951" customFormat="1" ht="10.5" customHeight="1">
      <c r="A1716" s="1815"/>
      <c r="B1716" s="449" t="s">
        <v>1818</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723</v>
      </c>
      <c r="B1719" s="1815" t="s">
        <v>3778</v>
      </c>
      <c r="D1719" s="2163"/>
      <c r="I1719" s="1822" t="s">
        <v>3577</v>
      </c>
      <c r="J1719" s="1822"/>
      <c r="K1719" s="1822"/>
      <c r="L1719" s="1822"/>
      <c r="M1719" s="1896">
        <v>10</v>
      </c>
      <c r="N1719" s="1940"/>
      <c r="O1719" s="1923">
        <f>'Part IX Scoring Criteria'!O64</f>
        <v>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3634</v>
      </c>
      <c r="D1721" s="1815"/>
      <c r="N1721" s="1940"/>
      <c r="O1721" s="1229">
        <f>'Part IX Scoring Criteria'!O66</f>
        <v>0</v>
      </c>
      <c r="P1721" s="1229"/>
    </row>
    <row r="1722" spans="1:18" s="1947" customFormat="1" ht="12" customHeight="1">
      <c r="A1722" s="1904" t="s">
        <v>1934</v>
      </c>
      <c r="B1722" s="1897" t="s">
        <v>1825</v>
      </c>
      <c r="C1722" s="1815"/>
      <c r="D1722" s="1815"/>
      <c r="F1722" s="1819"/>
      <c r="H1722" s="1863" t="s">
        <v>2636</v>
      </c>
      <c r="I1722" s="1956" t="s">
        <v>6937</v>
      </c>
      <c r="J1722" s="1956"/>
      <c r="K1722" s="1956"/>
      <c r="L1722" s="1956"/>
      <c r="M1722" s="1896">
        <v>10</v>
      </c>
      <c r="N1722" s="1960" t="s">
        <v>1934</v>
      </c>
      <c r="O1722" s="1923">
        <f>'Part IX Scoring Criteria'!O67</f>
        <v>0</v>
      </c>
      <c r="P1722" s="1923"/>
      <c r="Q1722" s="1843" t="str">
        <f>IF(OR($O1722=$M1722,$O1722=0,$O1722=""),"","*CHECK!*")</f>
        <v/>
      </c>
      <c r="R1722" s="1823" t="s">
        <v>4765</v>
      </c>
    </row>
    <row r="1723" spans="1:18" s="1947" customFormat="1" ht="12.6" customHeight="1">
      <c r="A1723" s="1904" t="s">
        <v>1936</v>
      </c>
      <c r="B1723" s="1897" t="s">
        <v>3626</v>
      </c>
      <c r="D1723" s="1962"/>
      <c r="F1723" s="1963"/>
      <c r="H1723" s="1863" t="s">
        <v>3726</v>
      </c>
      <c r="I1723" s="1956"/>
      <c r="J1723" s="1956"/>
      <c r="K1723" s="1956"/>
      <c r="L1723" s="1956"/>
      <c r="M1723" s="1229" t="s">
        <v>1211</v>
      </c>
      <c r="N1723" s="1940" t="s">
        <v>1936</v>
      </c>
      <c r="O1723" s="1923">
        <f>'Part IX Scoring Criteria'!O68</f>
        <v>0</v>
      </c>
      <c r="P1723" s="1923"/>
      <c r="R1723" s="1823" t="s">
        <v>4765</v>
      </c>
    </row>
    <row r="1724" spans="1:18" s="1951" customFormat="1" ht="11.25" customHeight="1">
      <c r="A1724" s="1815"/>
      <c r="B1724" s="449" t="s">
        <v>3564</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This criteria is not being elected by applicant.</v>
      </c>
      <c r="B1725" s="1936"/>
      <c r="C1725" s="1936"/>
      <c r="D1725" s="1936"/>
      <c r="E1725" s="1936"/>
      <c r="F1725" s="1936"/>
      <c r="G1725" s="1936"/>
      <c r="H1725" s="1936"/>
      <c r="I1725" s="1936"/>
      <c r="J1725" s="1936"/>
      <c r="K1725" s="1936"/>
      <c r="L1725" s="1936"/>
      <c r="M1725" s="1936"/>
      <c r="N1725" s="1936"/>
      <c r="O1725" s="1936"/>
      <c r="P1725" s="1936"/>
      <c r="Q1725" s="1973" t="s">
        <v>1227</v>
      </c>
      <c r="R1725" s="1973"/>
    </row>
    <row r="1726" spans="1:18" s="1951" customFormat="1" ht="11.4" customHeight="1">
      <c r="A1726" s="1815"/>
      <c r="B1726" s="449" t="s">
        <v>1818</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1747</v>
      </c>
      <c r="B1729" s="1815" t="s">
        <v>2559</v>
      </c>
      <c r="D1729" s="2163"/>
      <c r="K1729" s="1229" t="s">
        <v>1830</v>
      </c>
      <c r="M1729" s="1896">
        <v>6</v>
      </c>
      <c r="N1729" s="1940"/>
      <c r="O1729" s="1923">
        <f>'Part IX Scoring Criteria'!O74</f>
        <v>0</v>
      </c>
      <c r="P1729" s="1923">
        <f>'Part IX Scoring Criteria'!P74</f>
        <v>0</v>
      </c>
      <c r="Q1729" s="1896" t="s">
        <v>433</v>
      </c>
      <c r="R1729" s="1952" t="s">
        <v>6974</v>
      </c>
      <c r="S1729" s="1952"/>
      <c r="T1729" s="1952"/>
      <c r="U1729" s="1952"/>
    </row>
    <row r="1730" spans="1:21" s="1951" customFormat="1" ht="17.25" customHeight="1">
      <c r="A1730" s="2150"/>
      <c r="B1730" s="1897" t="s">
        <v>3705</v>
      </c>
      <c r="D1730" s="2163"/>
      <c r="H1730" s="1897" t="s">
        <v>2701</v>
      </c>
      <c r="I1730" s="1918"/>
      <c r="J1730" s="1897" t="str">
        <f>'Part I-Project Information'!$H$105</f>
        <v>Rural</v>
      </c>
      <c r="K1730" s="1897"/>
      <c r="M1730" s="1896"/>
      <c r="N1730" s="1940"/>
      <c r="O1730" s="2164" t="s">
        <v>3447</v>
      </c>
      <c r="P1730" s="2164" t="s">
        <v>3448</v>
      </c>
      <c r="Q1730" s="1896"/>
      <c r="R1730" s="1952"/>
      <c r="S1730" s="1952"/>
      <c r="T1730" s="1952"/>
      <c r="U1730" s="1952"/>
    </row>
    <row r="1731" spans="1:21" s="1951" customFormat="1" ht="11.25" customHeight="1">
      <c r="A1731" s="2150"/>
      <c r="B1731" s="1969" t="s">
        <v>1937</v>
      </c>
      <c r="C1731" s="449" t="s">
        <v>4301</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1939</v>
      </c>
      <c r="C1732" s="449" t="s">
        <v>4302</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2466</v>
      </c>
      <c r="C1733" s="449" t="s">
        <v>6909</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1197</v>
      </c>
      <c r="C1734" s="449" t="s">
        <v>4297</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3533</v>
      </c>
      <c r="G1736" s="1897"/>
      <c r="H1736" s="1897"/>
      <c r="I1736" s="1897"/>
      <c r="J1736" s="1897" t="s">
        <v>3534</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3710</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2692</v>
      </c>
      <c r="B1742" s="1815"/>
      <c r="D1742" s="2163"/>
      <c r="F1742" s="1908" t="s">
        <v>3363</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1934</v>
      </c>
      <c r="B1744" s="1897" t="s">
        <v>3557</v>
      </c>
      <c r="D1744" s="2163"/>
      <c r="F1744" s="449" t="s">
        <v>6910</v>
      </c>
      <c r="M1744" s="1896">
        <v>6</v>
      </c>
      <c r="N1744" s="1949" t="s">
        <v>1934</v>
      </c>
      <c r="O1744" s="1923">
        <f>'Part IX Scoring Criteria'!O89</f>
        <v>0</v>
      </c>
      <c r="P1744" s="1923">
        <f>'Part IX Scoring Criteria'!P89</f>
        <v>0</v>
      </c>
      <c r="Q1744" s="1896"/>
    </row>
    <row r="1745" spans="1:21" s="1950" customFormat="1" ht="23.25" customHeight="1">
      <c r="B1745" s="1968" t="s">
        <v>1937</v>
      </c>
      <c r="C1745" s="1936" t="s">
        <v>6938</v>
      </c>
      <c r="D1745" s="1936"/>
      <c r="E1745" s="1936"/>
      <c r="F1745" s="1936"/>
      <c r="G1745" s="1936"/>
      <c r="H1745" s="1936"/>
      <c r="I1745" s="1963" t="s">
        <v>6939</v>
      </c>
      <c r="J1745" s="1963"/>
      <c r="K1745" s="1963"/>
      <c r="L1745" s="1963"/>
      <c r="M1745" s="1967">
        <v>5</v>
      </c>
      <c r="N1745" s="1968" t="s">
        <v>1937</v>
      </c>
      <c r="O1745" s="2166">
        <f>'Part IX Scoring Criteria'!O90</f>
        <v>0</v>
      </c>
      <c r="P1745" s="2166"/>
      <c r="Q1745" s="1843" t="str">
        <f>IF(OR($O1745=$M1745,$O1745=0,$O1745=""),"","*CHECK!*")</f>
        <v/>
      </c>
      <c r="R1745" s="1823" t="s">
        <v>4765</v>
      </c>
    </row>
    <row r="1746" spans="1:21" s="1950" customFormat="1" ht="12" customHeight="1">
      <c r="A1746" s="1229" t="s">
        <v>1325</v>
      </c>
      <c r="B1746" s="1968" t="s">
        <v>1939</v>
      </c>
      <c r="C1746" s="1936" t="s">
        <v>6940</v>
      </c>
      <c r="D1746" s="1936"/>
      <c r="E1746" s="1936"/>
      <c r="F1746" s="1936"/>
      <c r="G1746" s="1936"/>
      <c r="H1746" s="1229" t="str">
        <f>IF(AND(O1746&gt;0,O1745&gt;0),"Pick A1 or A2!","")</f>
        <v/>
      </c>
      <c r="I1746" s="1963"/>
      <c r="J1746" s="1963"/>
      <c r="K1746" s="1963"/>
      <c r="L1746" s="1963"/>
      <c r="M1746" s="1896">
        <v>4</v>
      </c>
      <c r="N1746" s="1969" t="s">
        <v>1939</v>
      </c>
      <c r="O1746" s="1923">
        <f>'Part IX Scoring Criteria'!O91</f>
        <v>0</v>
      </c>
      <c r="P1746" s="1923"/>
      <c r="Q1746" s="1843" t="str">
        <f>IF(OR($O1746=$M1746,$O1746=0,$O1746=""),"","*CHECK!*")</f>
        <v/>
      </c>
      <c r="R1746" s="1823" t="s">
        <v>4765</v>
      </c>
    </row>
    <row r="1747" spans="1:21" s="1950" customFormat="1" ht="12" customHeight="1">
      <c r="B1747" s="1968" t="s">
        <v>2466</v>
      </c>
      <c r="C1747" s="1936" t="s">
        <v>3558</v>
      </c>
      <c r="D1747" s="1936"/>
      <c r="E1747" s="1936"/>
      <c r="F1747" s="1936"/>
      <c r="I1747" s="1963"/>
      <c r="J1747" s="1963"/>
      <c r="K1747" s="1963"/>
      <c r="L1747" s="1963"/>
      <c r="M1747" s="1896">
        <v>1</v>
      </c>
      <c r="N1747" s="1969" t="s">
        <v>2466</v>
      </c>
      <c r="O1747" s="1923">
        <f>'Part IX Scoring Criteria'!O92</f>
        <v>0</v>
      </c>
      <c r="P1747" s="1923"/>
      <c r="Q1747" s="1843" t="str">
        <f>IF(OR($O1747=$M1747,$O1747=0,$O1747=""),"","*CHECK!*")</f>
        <v/>
      </c>
      <c r="R1747" s="1823" t="s">
        <v>4765</v>
      </c>
    </row>
    <row r="1748" spans="1:21" s="1950" customFormat="1" ht="12" customHeight="1">
      <c r="B1748" s="1968"/>
      <c r="C1748" s="1863" t="s">
        <v>3774</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1936</v>
      </c>
      <c r="B1750" s="1772" t="s">
        <v>3559</v>
      </c>
      <c r="C1750" s="1772"/>
      <c r="D1750" s="1772"/>
      <c r="E1750" s="1772"/>
      <c r="F1750" s="1936" t="s">
        <v>6911</v>
      </c>
      <c r="I1750" s="1956" t="str">
        <f>'Part IX Scoring Criteria'!I95</f>
        <v>Wayne County Transit</v>
      </c>
      <c r="J1750" s="1956"/>
      <c r="K1750" s="1956"/>
      <c r="L1750" s="2230" t="str">
        <f>'Part IX Scoring Criteria'!L95</f>
        <v>(912) 427-5914</v>
      </c>
      <c r="M1750" s="1896">
        <v>3</v>
      </c>
      <c r="N1750" s="1940" t="s">
        <v>1936</v>
      </c>
      <c r="O1750" s="1923">
        <f>'Part IX Scoring Criteria'!O95</f>
        <v>0</v>
      </c>
      <c r="P1750" s="1923">
        <f>'Part IX Scoring Criteria'!P95</f>
        <v>0</v>
      </c>
      <c r="Q1750" s="1768"/>
      <c r="R1750" s="1955"/>
    </row>
    <row r="1751" spans="1:21" s="1951" customFormat="1" ht="11.25" customHeight="1">
      <c r="A1751" s="2150"/>
      <c r="B1751" s="1940" t="s">
        <v>3587</v>
      </c>
      <c r="C1751" s="1822" t="s">
        <v>4300</v>
      </c>
      <c r="D1751" s="1962"/>
      <c r="E1751" s="1947"/>
      <c r="F1751" s="1947"/>
      <c r="G1751" s="1947"/>
      <c r="H1751" s="449"/>
      <c r="I1751" s="1956"/>
      <c r="J1751" s="1956"/>
      <c r="K1751" s="1956"/>
      <c r="L1751" s="2230"/>
      <c r="M1751" s="1947"/>
      <c r="N1751" s="1940" t="s">
        <v>3587</v>
      </c>
      <c r="O1751" s="1229">
        <f>'Part IX Scoring Criteria'!O96</f>
        <v>0</v>
      </c>
      <c r="P1751" s="1229"/>
      <c r="Q1751" s="1896"/>
      <c r="R1751" s="1955"/>
      <c r="S1751" s="1950"/>
      <c r="T1751" s="1950"/>
      <c r="U1751" s="1950"/>
    </row>
    <row r="1752" spans="1:21" s="1951" customFormat="1" ht="11.25" customHeight="1">
      <c r="A1752" s="2150"/>
      <c r="B1752" s="1940" t="s">
        <v>3588</v>
      </c>
      <c r="C1752" s="1822" t="s">
        <v>4299</v>
      </c>
      <c r="D1752" s="1962"/>
      <c r="E1752" s="1947"/>
      <c r="F1752" s="1947"/>
      <c r="G1752" s="1947"/>
      <c r="H1752" s="449"/>
      <c r="I1752" s="1956" t="str">
        <f>'Part IX Scoring Criteria'!I97</f>
        <v>wayneinfo@wayncountyga.us</v>
      </c>
      <c r="J1752" s="1956"/>
      <c r="K1752" s="1956"/>
      <c r="L1752" s="1956"/>
      <c r="M1752" s="1947"/>
      <c r="N1752" s="1940" t="s">
        <v>3588</v>
      </c>
      <c r="O1752" s="1229">
        <f>'Part IX Scoring Criteria'!O97</f>
        <v>0</v>
      </c>
      <c r="P1752" s="1229"/>
      <c r="Q1752" s="1896"/>
      <c r="R1752" s="1955"/>
      <c r="S1752" s="1950"/>
      <c r="T1752" s="1950"/>
      <c r="U1752" s="1950"/>
    </row>
    <row r="1753" spans="1:21" s="1950" customFormat="1" ht="12" customHeight="1">
      <c r="A1753" s="1904"/>
      <c r="B1753" s="2167" t="s">
        <v>1937</v>
      </c>
      <c r="C1753" s="449" t="s">
        <v>6941</v>
      </c>
      <c r="D1753" s="449"/>
      <c r="E1753" s="449"/>
      <c r="F1753" s="449"/>
      <c r="G1753" s="449"/>
      <c r="H1753" s="449"/>
      <c r="I1753" s="1956"/>
      <c r="J1753" s="1956"/>
      <c r="K1753" s="1956"/>
      <c r="L1753" s="1956"/>
      <c r="M1753" s="1896">
        <v>3</v>
      </c>
      <c r="N1753" s="1969" t="s">
        <v>1937</v>
      </c>
      <c r="O1753" s="1923">
        <f>'Part IX Scoring Criteria'!O98</f>
        <v>0</v>
      </c>
      <c r="P1753" s="1923"/>
      <c r="Q1753" s="1993" t="str">
        <f>IF(OR($O1753=$M1753,$O1753=0,$O1753=""),"","*CHECK!*")</f>
        <v/>
      </c>
      <c r="R1753" s="1823" t="s">
        <v>4765</v>
      </c>
    </row>
    <row r="1754" spans="1:21" s="1951" customFormat="1" ht="12" customHeight="1">
      <c r="A1754" s="1229" t="s">
        <v>1325</v>
      </c>
      <c r="B1754" s="2167" t="s">
        <v>1939</v>
      </c>
      <c r="C1754" s="449" t="s">
        <v>6942</v>
      </c>
      <c r="D1754" s="449"/>
      <c r="E1754" s="449"/>
      <c r="F1754" s="449"/>
      <c r="G1754" s="449"/>
      <c r="H1754" s="449"/>
      <c r="I1754" s="1956" t="str">
        <f>'Part IX Scoring Criteria'!I99</f>
        <v>https://www.waynecountyga.us/department/index.php?structureid=32</v>
      </c>
      <c r="J1754" s="1956"/>
      <c r="K1754" s="1956"/>
      <c r="L1754" s="1956"/>
      <c r="M1754" s="1896">
        <v>2</v>
      </c>
      <c r="N1754" s="1969" t="s">
        <v>1939</v>
      </c>
      <c r="O1754" s="1923">
        <f>'Part IX Scoring Criteria'!O99</f>
        <v>0</v>
      </c>
      <c r="P1754" s="1923"/>
      <c r="Q1754" s="1993" t="str">
        <f>IF(OR($O1754=$M1754,$O1754=0,$O1754=""),"","*CHECK!*")</f>
        <v/>
      </c>
      <c r="R1754" s="1823" t="s">
        <v>4765</v>
      </c>
    </row>
    <row r="1755" spans="1:21" s="1951" customFormat="1" ht="14.25" customHeight="1">
      <c r="A1755" s="1229" t="s">
        <v>1325</v>
      </c>
      <c r="B1755" s="2167" t="s">
        <v>2466</v>
      </c>
      <c r="C1755" s="449" t="s">
        <v>6943</v>
      </c>
      <c r="D1755" s="449"/>
      <c r="E1755" s="449"/>
      <c r="F1755" s="449"/>
      <c r="G1755" s="449"/>
      <c r="H1755" s="449"/>
      <c r="I1755" s="1956"/>
      <c r="J1755" s="1956"/>
      <c r="K1755" s="1956"/>
      <c r="L1755" s="1956"/>
      <c r="M1755" s="1896">
        <v>1</v>
      </c>
      <c r="N1755" s="1969" t="s">
        <v>2466</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https://www.waynecountyga.us/department/index.php?structureid=32</v>
      </c>
      <c r="J1756" s="1956"/>
      <c r="K1756" s="1956"/>
      <c r="L1756" s="1956"/>
      <c r="M1756" s="1947"/>
      <c r="N1756" s="1947"/>
      <c r="O1756" s="1947"/>
      <c r="P1756" s="1947"/>
      <c r="Q1756" s="1993"/>
      <c r="R1756" s="1955"/>
    </row>
    <row r="1757" spans="1:21" s="1951" customFormat="1" ht="12.6" customHeight="1">
      <c r="A1757" s="1815" t="s">
        <v>2694</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1197</v>
      </c>
      <c r="C1758" s="1897" t="s">
        <v>6828</v>
      </c>
      <c r="D1758" s="1897"/>
      <c r="E1758" s="1897"/>
      <c r="F1758" s="1897"/>
      <c r="G1758" s="1897"/>
      <c r="H1758" s="1897"/>
      <c r="I1758" s="1897"/>
      <c r="J1758" s="1897"/>
      <c r="K1758" s="1897"/>
      <c r="L1758" s="1897"/>
      <c r="M1758" s="1896">
        <v>1</v>
      </c>
      <c r="N1758" s="1969" t="s">
        <v>1197</v>
      </c>
      <c r="O1758" s="1923">
        <f>'Part IX Scoring Criteria'!O103</f>
        <v>0</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3564</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This criteria is not being elected by applicant.</v>
      </c>
      <c r="B1762" s="1936"/>
      <c r="C1762" s="1936"/>
      <c r="D1762" s="1936"/>
      <c r="E1762" s="1936"/>
      <c r="F1762" s="1936"/>
      <c r="G1762" s="1936"/>
      <c r="H1762" s="1936"/>
      <c r="I1762" s="1936"/>
      <c r="J1762" s="1936"/>
      <c r="K1762" s="1936"/>
      <c r="L1762" s="1936"/>
      <c r="M1762" s="1936"/>
      <c r="N1762" s="1936"/>
      <c r="O1762" s="1936"/>
      <c r="P1762" s="1936"/>
      <c r="Q1762" s="1973" t="s">
        <v>1227</v>
      </c>
      <c r="R1762" s="1973"/>
    </row>
    <row r="1763" spans="1:20" s="1947" customFormat="1" ht="11.4" customHeight="1">
      <c r="A1763" s="1815"/>
      <c r="B1763" s="449" t="s">
        <v>1818</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1749</v>
      </c>
      <c r="B1767" s="1815" t="s">
        <v>3724</v>
      </c>
      <c r="D1767" s="449"/>
      <c r="E1767" s="449"/>
      <c r="F1767" s="1896"/>
      <c r="G1767" s="1896"/>
      <c r="H1767" s="1896"/>
      <c r="I1767" s="1908" t="s">
        <v>3363</v>
      </c>
      <c r="J1767" s="1908"/>
      <c r="K1767" s="1908"/>
      <c r="L1767" s="1908"/>
      <c r="M1767" s="1896">
        <v>4</v>
      </c>
      <c r="N1767" s="1896"/>
      <c r="O1767" s="1923">
        <f>'Part IX Scoring Criteria'!O112</f>
        <v>0</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1934</v>
      </c>
      <c r="B1769" s="1897" t="s">
        <v>3725</v>
      </c>
      <c r="D1769" s="1962"/>
      <c r="E1769" s="449" t="s">
        <v>3780</v>
      </c>
      <c r="G1769" s="1908"/>
      <c r="I1769" s="1940" t="s">
        <v>3774</v>
      </c>
      <c r="J1769" s="1908" t="str">
        <f>'Part I-Project Information'!$H$82</f>
        <v>Family</v>
      </c>
      <c r="K1769" s="1962"/>
      <c r="L1769" s="1732" t="str">
        <f>IF(OR($O1769=$M1769,$O1769=0,$O1769=""),"","* * Check Score! * *")</f>
        <v/>
      </c>
      <c r="M1769" s="1896">
        <v>3</v>
      </c>
      <c r="N1769" s="1940" t="s">
        <v>1934</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4304</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1936</v>
      </c>
      <c r="B1774" s="1897" t="s">
        <v>3727</v>
      </c>
      <c r="L1774" s="1732" t="str">
        <f>IF(OR($O1774=$M1774,$O1774=0,$O1774=""),"","* * Check Score! * *")</f>
        <v/>
      </c>
      <c r="M1774" s="1732">
        <v>3</v>
      </c>
      <c r="N1774" s="1940" t="s">
        <v>1936</v>
      </c>
      <c r="O1774" s="1923">
        <f>'Part IX Scoring Criteria'!O119</f>
        <v>0</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f>'Part IX Scoring Criteria'!O120</f>
        <v>0</v>
      </c>
      <c r="P1775" s="1229"/>
      <c r="Q1775" s="2125"/>
      <c r="R1775" s="2125"/>
      <c r="S1775" s="2125"/>
      <c r="T1775" s="2125"/>
    </row>
    <row r="1776" spans="1:20" s="1950" customFormat="1" ht="21" customHeight="1">
      <c r="A1776" s="1982"/>
      <c r="B1776" s="2168" t="s">
        <v>1937</v>
      </c>
      <c r="C1776" s="1936" t="s">
        <v>4610</v>
      </c>
      <c r="D1776" s="1956" t="s">
        <v>4304</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f>'Part IX Scoring Criteria'!O122</f>
        <v>0</v>
      </c>
      <c r="P1777" s="1229"/>
      <c r="Q1777" s="2125"/>
      <c r="R1777" s="2125"/>
      <c r="S1777" s="2125"/>
      <c r="T1777" s="2125"/>
    </row>
    <row r="1778" spans="1:21" s="449" customFormat="1" ht="10.5" customHeight="1">
      <c r="A1778" s="1940"/>
      <c r="B1778" s="1969"/>
      <c r="C1778" s="449" t="s">
        <v>4615</v>
      </c>
      <c r="M1778" s="1229"/>
      <c r="N1778" s="1940" t="s">
        <v>2371</v>
      </c>
      <c r="O1778" s="1229">
        <f>'Part IX Scoring Criteria'!O123</f>
        <v>0</v>
      </c>
      <c r="P1778" s="1229"/>
      <c r="Q1778" s="2125"/>
      <c r="R1778" s="2125"/>
      <c r="S1778" s="2125"/>
      <c r="T1778" s="2125"/>
    </row>
    <row r="1779" spans="1:21" s="1945" customFormat="1" ht="10.5" customHeight="1">
      <c r="A1779" s="1940"/>
      <c r="C1779" s="1945" t="s">
        <v>3802</v>
      </c>
      <c r="E1779" s="449"/>
      <c r="F1779" s="449"/>
      <c r="G1779" s="449"/>
      <c r="L1779" s="1945" t="s">
        <v>3614</v>
      </c>
      <c r="O1779" s="1945" t="s">
        <v>3613</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1939</v>
      </c>
      <c r="C1784" s="449" t="s">
        <v>4611</v>
      </c>
      <c r="D1784" s="449" t="s">
        <v>4616</v>
      </c>
      <c r="E1784" s="449"/>
      <c r="F1784" s="449"/>
      <c r="G1784" s="449"/>
      <c r="N1784" s="1942" t="s">
        <v>4807</v>
      </c>
      <c r="O1784" s="1229">
        <f>'Part IX Scoring Criteria'!O129</f>
        <v>0</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2371</v>
      </c>
      <c r="O1785" s="1229">
        <f>'Part IX Scoring Criteria'!O130</f>
        <v>0</v>
      </c>
      <c r="P1785" s="1229"/>
      <c r="Q1785" s="1822"/>
      <c r="R1785" s="1945"/>
      <c r="S1785" s="1945"/>
      <c r="T1785" s="1945"/>
      <c r="U1785" s="1945"/>
    </row>
    <row r="1786" spans="1:21" s="1947" customFormat="1" ht="12.75" customHeight="1">
      <c r="A1786" s="1904" t="s">
        <v>730</v>
      </c>
      <c r="B1786" s="1897" t="s">
        <v>3615</v>
      </c>
      <c r="D1786" s="449"/>
      <c r="F1786" s="449"/>
      <c r="G1786" s="449"/>
      <c r="H1786" s="449"/>
      <c r="I1786" s="449"/>
      <c r="J1786" s="449"/>
      <c r="K1786" s="449"/>
      <c r="L1786" s="1732" t="str">
        <f>IF(OR($O1786=$M1786,$O1786=0,$O1786=""),"","* * Check Score! * *")</f>
        <v/>
      </c>
      <c r="M1786" s="1732">
        <v>1</v>
      </c>
      <c r="N1786" s="1960" t="s">
        <v>730</v>
      </c>
      <c r="O1786" s="1923">
        <f>'Part IX Scoring Criteria'!O131</f>
        <v>0</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f>'Part IX Scoring Criteria'!O132</f>
        <v>0</v>
      </c>
      <c r="P1787" s="1229"/>
      <c r="R1787" s="2125"/>
      <c r="S1787" s="2125"/>
      <c r="T1787" s="2125"/>
      <c r="U1787" s="2125"/>
    </row>
    <row r="1788" spans="1:21" s="449" customFormat="1" ht="10.5" customHeight="1">
      <c r="A1788" s="1940"/>
      <c r="B1788" s="2167" t="s">
        <v>1937</v>
      </c>
      <c r="C1788" s="1936" t="s">
        <v>6944</v>
      </c>
      <c r="D1788" s="1936"/>
      <c r="E1788" s="1936"/>
      <c r="F1788" s="2141"/>
      <c r="G1788" s="1908" t="s">
        <v>4811</v>
      </c>
      <c r="I1788" s="2141"/>
      <c r="J1788" s="2141"/>
      <c r="K1788" s="2141"/>
      <c r="L1788" s="2141"/>
      <c r="M1788" s="1940"/>
      <c r="N1788" s="1942" t="s">
        <v>4806</v>
      </c>
      <c r="O1788" s="1229">
        <f>'Part IX Scoring Criteria'!O133</f>
        <v>0</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2371</v>
      </c>
      <c r="O1789" s="1229">
        <f>'Part IX Scoring Criteria'!O134</f>
        <v>0</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2372</v>
      </c>
      <c r="O1790" s="1229">
        <f>'Part IX Scoring Criteria'!O135</f>
        <v>0</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2373</v>
      </c>
      <c r="O1791" s="1229">
        <f>'Part IX Scoring Criteria'!O136</f>
        <v>0</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2374</v>
      </c>
      <c r="O1792" s="1229">
        <f>'Part IX Scoring Criteria'!O137</f>
        <v>0</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f>'Part IX Scoring Criteria'!O138</f>
        <v>0</v>
      </c>
      <c r="P1793" s="1229"/>
      <c r="R1793" s="2125"/>
      <c r="S1793" s="2125"/>
      <c r="T1793" s="2125"/>
      <c r="U1793" s="2125"/>
    </row>
    <row r="1794" spans="1:23" s="449" customFormat="1" ht="10.5" customHeight="1">
      <c r="A1794" s="1940"/>
      <c r="B1794" s="2167" t="s">
        <v>1939</v>
      </c>
      <c r="C1794" s="1908" t="s">
        <v>6945</v>
      </c>
      <c r="D1794" s="2141"/>
      <c r="E1794" s="2141"/>
      <c r="F1794" s="2141"/>
      <c r="G1794" s="2141"/>
      <c r="H1794" s="2141"/>
      <c r="I1794" s="2141"/>
      <c r="J1794" s="2141"/>
      <c r="K1794" s="2141"/>
      <c r="L1794" s="2141"/>
      <c r="M1794" s="1940"/>
      <c r="N1794" s="1960" t="s">
        <v>1939</v>
      </c>
      <c r="O1794" s="1229">
        <f>'Part IX Scoring Criteria'!O139</f>
        <v>0</v>
      </c>
      <c r="P1794" s="1229"/>
    </row>
    <row r="1795" spans="1:23" s="1945" customFormat="1" ht="10.5" customHeight="1">
      <c r="A1795" s="1940"/>
      <c r="B1795" s="1968"/>
      <c r="C1795" s="1945" t="s">
        <v>3622</v>
      </c>
      <c r="E1795" s="449"/>
      <c r="F1795" s="449"/>
      <c r="G1795" s="1945" t="s">
        <v>3804</v>
      </c>
      <c r="Q1795" s="449"/>
    </row>
    <row r="1796" spans="1:23" s="1945" customFormat="1" ht="21" customHeight="1">
      <c r="B1796" s="1940"/>
      <c r="C1796" s="1956">
        <f>'Part IX Scoring Criteria'!C141</f>
        <v>0</v>
      </c>
      <c r="D1796" s="1956"/>
      <c r="E1796" s="1956"/>
      <c r="F1796" s="1956"/>
      <c r="G1796" s="1956">
        <f>'Part IX Scoring Criteria'!G141</f>
        <v>0</v>
      </c>
      <c r="H1796" s="1956"/>
      <c r="I1796" s="1956"/>
      <c r="J1796" s="1956"/>
      <c r="K1796" s="1956"/>
      <c r="L1796" s="1956"/>
      <c r="M1796" s="1956"/>
      <c r="N1796" s="1956"/>
      <c r="O1796" s="1956"/>
      <c r="P1796" s="1956"/>
      <c r="Q1796" s="449"/>
    </row>
    <row r="1797" spans="1:23" s="1945" customFormat="1" ht="21" customHeight="1">
      <c r="A1797" s="1940"/>
      <c r="B1797" s="1942"/>
      <c r="C1797" s="1956">
        <f>'Part IX Scoring Criteria'!C142</f>
        <v>0</v>
      </c>
      <c r="D1797" s="1956"/>
      <c r="E1797" s="1956"/>
      <c r="F1797" s="1956"/>
      <c r="G1797" s="1956">
        <f>'Part IX Scoring Criteria'!G142</f>
        <v>0</v>
      </c>
      <c r="H1797" s="1956"/>
      <c r="I1797" s="1956"/>
      <c r="J1797" s="1956"/>
      <c r="K1797" s="1956"/>
      <c r="L1797" s="1956"/>
      <c r="M1797" s="1956"/>
      <c r="N1797" s="1956"/>
      <c r="O1797" s="1956"/>
      <c r="P1797" s="1956"/>
      <c r="Q1797" s="449"/>
    </row>
    <row r="1798" spans="1:23" s="1945" customFormat="1" ht="21" customHeight="1">
      <c r="B1798" s="1822"/>
      <c r="C1798" s="1956">
        <f>'Part IX Scoring Criteria'!C143</f>
        <v>0</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3564</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This criteria is not being elected by applicant.</v>
      </c>
      <c r="B1801" s="1936"/>
      <c r="C1801" s="1936"/>
      <c r="D1801" s="1936"/>
      <c r="E1801" s="1936"/>
      <c r="F1801" s="1936"/>
      <c r="G1801" s="1936"/>
      <c r="H1801" s="1936"/>
      <c r="I1801" s="1936"/>
      <c r="J1801" s="1936"/>
      <c r="K1801" s="1936"/>
      <c r="L1801" s="1936"/>
      <c r="M1801" s="1936"/>
      <c r="N1801" s="1936"/>
      <c r="O1801" s="1936"/>
      <c r="P1801" s="1936"/>
      <c r="Q1801" s="1973" t="s">
        <v>1227</v>
      </c>
      <c r="R1801" s="1973"/>
    </row>
    <row r="1802" spans="1:23" s="1951" customFormat="1" ht="10.199999999999999"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515</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1934</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4765</v>
      </c>
    </row>
    <row r="1808" spans="1:23" s="1951" customFormat="1" ht="12" customHeight="1">
      <c r="B1808" s="1908" t="s">
        <v>3618</v>
      </c>
      <c r="C1808" s="1944"/>
      <c r="D1808" s="1944"/>
      <c r="E1808" s="1944"/>
      <c r="F1808" s="1944"/>
      <c r="G1808" s="1944"/>
      <c r="H1808" s="1944"/>
      <c r="I1808" s="1944"/>
      <c r="J1808" s="1944"/>
      <c r="K1808" s="1944"/>
      <c r="L1808" s="1944"/>
      <c r="M1808" s="1944"/>
      <c r="N1808" s="1944"/>
      <c r="O1808" s="1229">
        <f>'Part IX Scoring Criteria'!O153</f>
        <v>0</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3617</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4306</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4307</v>
      </c>
      <c r="F1812" s="1229" t="str">
        <f>'Part I-Project Information'!$H$82</f>
        <v>Family</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2370</v>
      </c>
      <c r="B1814" s="1897" t="s">
        <v>4503</v>
      </c>
      <c r="C1814" s="1939"/>
      <c r="D1814" s="1939"/>
      <c r="E1814" s="449"/>
      <c r="F1814" s="1908"/>
      <c r="G1814" s="1908"/>
      <c r="I1814" s="1939"/>
      <c r="J1814" s="1939"/>
      <c r="K1814" s="1939"/>
      <c r="L1814" s="1939"/>
      <c r="M1814" s="1955" t="s">
        <v>4305</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3644</v>
      </c>
      <c r="I1816" s="449"/>
      <c r="J1816" s="449"/>
      <c r="K1816" s="1955" t="s">
        <v>3616</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6829</v>
      </c>
      <c r="C1817" s="1908"/>
      <c r="E1817" s="2164" t="s">
        <v>4785</v>
      </c>
      <c r="F1817" s="1817" t="s">
        <v>4759</v>
      </c>
      <c r="G1817" s="1817" t="s">
        <v>3281</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1936</v>
      </c>
      <c r="B1830" s="1815" t="s">
        <v>3729</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3484</v>
      </c>
      <c r="G1831" s="1918" t="s">
        <v>3282</v>
      </c>
      <c r="H1831" s="1918"/>
      <c r="I1831" s="1918"/>
      <c r="J1831" s="1918"/>
      <c r="K1831" s="1918"/>
      <c r="L1831" s="1918"/>
      <c r="M1831" s="1918"/>
      <c r="N1831" s="1918"/>
      <c r="P1831" s="1936"/>
      <c r="R1831" s="449" t="s">
        <v>2732</v>
      </c>
      <c r="S1831" s="449"/>
      <c r="T1831" s="449" t="str">
        <f>'Part I-Project Information'!$F$38</f>
        <v>Ludowici</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3485</v>
      </c>
      <c r="R1832" s="449" t="s">
        <v>2733</v>
      </c>
      <c r="S1832" s="449"/>
      <c r="T1832" s="449" t="str">
        <f>'Part I-Project Information'!$J$39</f>
        <v>Long</v>
      </c>
      <c r="U1832" s="449"/>
      <c r="V1832" s="449"/>
      <c r="W1832" s="449"/>
      <c r="X1832" s="449"/>
    </row>
    <row r="1833" spans="1:24" s="1945" customFormat="1" ht="13.5" customHeight="1">
      <c r="A1833" s="1940"/>
      <c r="B1833" s="449" t="s">
        <v>3619</v>
      </c>
      <c r="C1833" s="449"/>
      <c r="D1833" s="449"/>
      <c r="E1833" s="1926">
        <v>3000</v>
      </c>
      <c r="F1833" s="1926">
        <v>6000</v>
      </c>
      <c r="G1833" s="2127">
        <v>15000</v>
      </c>
      <c r="H1833" s="2127"/>
      <c r="I1833" s="2127"/>
      <c r="J1833" s="2127"/>
      <c r="K1833" s="2127"/>
      <c r="L1833" s="2127"/>
      <c r="M1833" s="2127"/>
      <c r="N1833" s="2127"/>
      <c r="O1833" s="2127">
        <v>20000</v>
      </c>
      <c r="P1833" s="2127"/>
      <c r="R1833" s="1908" t="s">
        <v>2734</v>
      </c>
      <c r="S1833" s="449"/>
      <c r="T1833" s="449" t="str">
        <f>'Part I-Project Information'!$O$40</f>
        <v>Long Co.</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3640</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3458</v>
      </c>
      <c r="S1836" s="449"/>
      <c r="T1836" s="449" t="str">
        <f>'Part I-Project Information'!$K$40</f>
        <v>Rural</v>
      </c>
      <c r="U1836" s="449"/>
      <c r="V1836" s="449"/>
      <c r="W1836" s="449"/>
      <c r="X1836" s="449"/>
    </row>
    <row r="1837" spans="1:24" s="1945" customFormat="1" ht="12" customHeight="1">
      <c r="A1837" s="1955"/>
      <c r="B1837" s="1944" t="s">
        <v>3457</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1937</v>
      </c>
      <c r="C1839" s="449" t="s">
        <v>3818</v>
      </c>
      <c r="H1839" s="1975" t="s">
        <v>1937</v>
      </c>
      <c r="I1839" s="1985" t="str">
        <f>IF(OR(I1836="",I1837=""),"",IF(I1837&gt;=I1836,"Yes","No"))</f>
        <v>Yes</v>
      </c>
      <c r="J1839" s="1985" t="str">
        <f>IF(OR(J1836="",J1837=""),"",IF(J1837&gt;=J1836,"Yes","No"))</f>
        <v/>
      </c>
    </row>
    <row r="1840" spans="1:24" s="1945" customFormat="1" ht="11.25" customHeight="1">
      <c r="A1840" s="1945" t="s">
        <v>1325</v>
      </c>
      <c r="B1840" s="1960" t="s">
        <v>1939</v>
      </c>
      <c r="C1840" s="449" t="s">
        <v>3733</v>
      </c>
      <c r="D1840" s="1944"/>
      <c r="E1840" s="1944"/>
      <c r="F1840" s="1944"/>
      <c r="H1840" s="1975" t="s">
        <v>1939</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3564</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This criteria is not being elected by applicant.</v>
      </c>
      <c r="B1844" s="1936"/>
      <c r="C1844" s="1936"/>
      <c r="D1844" s="1936"/>
      <c r="E1844" s="1936"/>
      <c r="F1844" s="1936"/>
      <c r="G1844" s="1936"/>
      <c r="H1844" s="1936"/>
      <c r="I1844" s="1936"/>
      <c r="J1844" s="1936"/>
      <c r="K1844" s="1936"/>
      <c r="L1844" s="1936"/>
      <c r="M1844" s="1936"/>
      <c r="N1844" s="1936"/>
      <c r="O1844" s="1936"/>
      <c r="P1844" s="1936"/>
      <c r="Q1844" s="1973" t="s">
        <v>1227</v>
      </c>
    </row>
    <row r="1845" spans="1:21" s="1951" customFormat="1" ht="10.5" customHeight="1">
      <c r="A1845" s="1815"/>
      <c r="B1845" s="1936" t="s">
        <v>1818</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753</v>
      </c>
      <c r="B1848" s="1815" t="s">
        <v>3734</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1934</v>
      </c>
      <c r="B1851" s="1897" t="s">
        <v>4598</v>
      </c>
      <c r="C1851" s="1897"/>
      <c r="D1851" s="1897"/>
      <c r="E1851" s="1897"/>
      <c r="F1851" s="1897"/>
      <c r="G1851" s="1897" t="s">
        <v>6881</v>
      </c>
      <c r="H1851" s="1897"/>
      <c r="I1851" s="1897"/>
      <c r="J1851" s="1897"/>
      <c r="K1851" s="1817" t="s">
        <v>4753</v>
      </c>
      <c r="L1851" s="1817" t="s">
        <v>4753</v>
      </c>
      <c r="M1851" s="1896">
        <v>5</v>
      </c>
      <c r="N1851" s="1940" t="s">
        <v>1934</v>
      </c>
      <c r="O1851" s="1958">
        <f>'Part IX Scoring Criteria'!O196</f>
        <v>0</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2442</v>
      </c>
      <c r="L1853" s="1817" t="s">
        <v>2442</v>
      </c>
      <c r="N1853" s="1945"/>
      <c r="P1853" s="1945"/>
      <c r="R1853" s="1973"/>
      <c r="S1853" s="1973"/>
      <c r="T1853" s="1973"/>
      <c r="U1853" s="1973"/>
    </row>
    <row r="1854" spans="1:21" s="1910" customFormat="1" ht="11.25" customHeight="1">
      <c r="B1854" s="1942" t="s">
        <v>2370</v>
      </c>
      <c r="C1854" s="1936" t="s">
        <v>4380</v>
      </c>
      <c r="D1854" s="1936"/>
      <c r="E1854" s="1936"/>
      <c r="F1854" s="1936"/>
      <c r="G1854" s="1936"/>
      <c r="H1854" s="1936"/>
      <c r="I1854" s="1936"/>
      <c r="J1854" s="1942" t="s">
        <v>2370</v>
      </c>
      <c r="K1854" s="1229">
        <f>'Part IX Scoring Criteria'!K199</f>
        <v>0</v>
      </c>
      <c r="L1854" s="1229"/>
      <c r="M1854" s="2232">
        <f>'Part IX Scoring Criteria'!M199</f>
        <v>0</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2371</v>
      </c>
      <c r="C1856" s="449" t="s">
        <v>4599</v>
      </c>
      <c r="D1856" s="449"/>
      <c r="E1856" s="449"/>
      <c r="F1856" s="449"/>
      <c r="G1856" s="449"/>
      <c r="H1856" s="449"/>
      <c r="J1856" s="1940" t="s">
        <v>2371</v>
      </c>
      <c r="K1856" s="1229">
        <f>'Part IX Scoring Criteria'!K201</f>
        <v>0</v>
      </c>
      <c r="L1856" s="1229"/>
      <c r="M1856" s="2232">
        <f>'Part IX Scoring Criteria'!M201</f>
        <v>0</v>
      </c>
      <c r="N1856" s="2232"/>
      <c r="O1856" s="2232"/>
      <c r="P1856" s="2232"/>
      <c r="R1856" s="1973"/>
      <c r="S1856" s="1973"/>
      <c r="T1856" s="1973"/>
      <c r="U1856" s="1973"/>
    </row>
    <row r="1857" spans="1:25" s="1815" customFormat="1" ht="11.25" customHeight="1">
      <c r="B1857" s="1940" t="s">
        <v>2372</v>
      </c>
      <c r="C1857" s="449" t="s">
        <v>4596</v>
      </c>
      <c r="D1857" s="449"/>
      <c r="E1857" s="449"/>
      <c r="F1857" s="449"/>
      <c r="G1857" s="449"/>
      <c r="H1857" s="449"/>
      <c r="I1857" s="449"/>
      <c r="J1857" s="1940" t="s">
        <v>2372</v>
      </c>
      <c r="K1857" s="1229">
        <f>'Part IX Scoring Criteria'!K202</f>
        <v>0</v>
      </c>
      <c r="L1857" s="1229"/>
      <c r="R1857" s="1973"/>
      <c r="S1857" s="1973"/>
      <c r="T1857" s="1973"/>
      <c r="U1857" s="1973"/>
    </row>
    <row r="1858" spans="1:25" s="1951" customFormat="1" ht="11.25" customHeight="1">
      <c r="A1858" s="1874"/>
      <c r="C1858" s="1940" t="s">
        <v>2373</v>
      </c>
      <c r="D1858" s="1908" t="s">
        <v>4379</v>
      </c>
      <c r="E1858" s="449"/>
      <c r="F1858" s="449"/>
      <c r="G1858" s="449"/>
      <c r="H1858" s="449"/>
      <c r="I1858" s="449"/>
      <c r="J1858" s="1940" t="s">
        <v>2373</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2442</v>
      </c>
      <c r="L1859" s="1817" t="s">
        <v>2442</v>
      </c>
      <c r="N1859" s="1945"/>
      <c r="P1859" s="1945"/>
      <c r="R1859" s="1973"/>
      <c r="S1859" s="1973"/>
      <c r="T1859" s="1973"/>
      <c r="U1859" s="1973"/>
    </row>
    <row r="1860" spans="1:25" s="1947" customFormat="1" ht="11.25" customHeight="1">
      <c r="A1860" s="1896"/>
      <c r="B1860" s="1940" t="s">
        <v>2374</v>
      </c>
      <c r="C1860" s="449" t="s">
        <v>6913</v>
      </c>
      <c r="D1860" s="449"/>
      <c r="E1860" s="449"/>
      <c r="F1860" s="449"/>
      <c r="G1860" s="449"/>
      <c r="J1860" s="1940" t="s">
        <v>2374</v>
      </c>
      <c r="K1860" s="1229">
        <f>'Part IX Scoring Criteria'!K205</f>
        <v>0</v>
      </c>
      <c r="L1860" s="1229"/>
      <c r="M1860" s="2232">
        <f>'Part IX Scoring Criteria'!M205</f>
        <v>0</v>
      </c>
      <c r="N1860" s="2232"/>
      <c r="O1860" s="2232"/>
      <c r="P1860" s="2232"/>
      <c r="Q1860" s="1816">
        <f>IF(K1860="Yes",1,0)</f>
        <v>0</v>
      </c>
      <c r="R1860" s="1973"/>
      <c r="S1860" s="1973"/>
      <c r="T1860" s="1973"/>
      <c r="U1860" s="1973"/>
      <c r="V1860" s="1816">
        <f>IF(L1860="Yes",1,0)</f>
        <v>0</v>
      </c>
    </row>
    <row r="1861" spans="1:25" s="1815" customFormat="1" ht="11.25" customHeight="1">
      <c r="B1861" s="1940" t="s">
        <v>2390</v>
      </c>
      <c r="C1861" s="449" t="s">
        <v>4308</v>
      </c>
      <c r="D1861" s="449"/>
      <c r="E1861" s="449"/>
      <c r="F1861" s="449"/>
      <c r="G1861" s="449"/>
      <c r="H1861" s="449"/>
      <c r="J1861" s="1940" t="s">
        <v>2390</v>
      </c>
      <c r="K1861" s="1229">
        <f>'Part IX Scoring Criteria'!K206</f>
        <v>0</v>
      </c>
      <c r="L1861" s="1229"/>
      <c r="M1861" s="2232">
        <f>'Part IX Scoring Criteria'!M206</f>
        <v>0</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2391</v>
      </c>
      <c r="C1862" s="449" t="s">
        <v>4592</v>
      </c>
      <c r="D1862" s="449"/>
      <c r="E1862" s="449"/>
      <c r="F1862" s="449"/>
      <c r="G1862" s="449"/>
      <c r="J1862" s="1940" t="s">
        <v>2391</v>
      </c>
      <c r="K1862" s="1229">
        <f>'Part IX Scoring Criteria'!K207</f>
        <v>0</v>
      </c>
      <c r="L1862" s="1229"/>
      <c r="M1862" s="2232">
        <f>'Part IX Scoring Criteria'!M207</f>
        <v>0</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4309</v>
      </c>
      <c r="Q1864" s="1843"/>
      <c r="X1864" s="1874"/>
      <c r="Y1864" s="1940"/>
    </row>
    <row r="1865" spans="1:25" ht="22.5" customHeight="1">
      <c r="A1865" s="1940"/>
      <c r="B1865" s="2172" t="s">
        <v>1937</v>
      </c>
      <c r="C1865" s="1936" t="s">
        <v>6882</v>
      </c>
      <c r="D1865" s="1936"/>
      <c r="E1865" s="1936"/>
      <c r="F1865" s="1936"/>
      <c r="G1865" s="1936"/>
      <c r="H1865" s="1936"/>
      <c r="I1865" s="1936"/>
      <c r="J1865" s="1936"/>
      <c r="K1865" s="1936"/>
      <c r="L1865" s="1936"/>
      <c r="M1865" s="1938">
        <v>3</v>
      </c>
      <c r="N1865" s="1968" t="s">
        <v>1937</v>
      </c>
      <c r="O1865" s="2173">
        <f>'Part IX Scoring Criteria'!O210</f>
        <v>0</v>
      </c>
      <c r="P1865" s="2173">
        <f>'Part IX Scoring Criteria'!P210</f>
        <v>0</v>
      </c>
      <c r="Q1865" s="1843"/>
      <c r="R1865" s="1823"/>
    </row>
    <row r="1866" spans="1:25" ht="12" customHeight="1">
      <c r="A1866" s="1940"/>
      <c r="B1866" s="2172" t="s">
        <v>1939</v>
      </c>
      <c r="C1866" s="1936" t="s">
        <v>6950</v>
      </c>
      <c r="D1866" s="1936"/>
      <c r="E1866" s="1936"/>
      <c r="F1866" s="1936"/>
      <c r="G1866" s="1936"/>
      <c r="H1866" s="1936"/>
      <c r="I1866" s="1936"/>
      <c r="J1866" s="1908" t="s">
        <v>3586</v>
      </c>
      <c r="K1866" s="1815"/>
      <c r="L1866" s="1908" t="str">
        <f>'Part I-Project Information'!$N$39</f>
        <v>No</v>
      </c>
      <c r="M1866" s="1229">
        <v>2</v>
      </c>
      <c r="N1866" s="1969" t="s">
        <v>1939</v>
      </c>
      <c r="O1866" s="1958">
        <f>'Part IX Scoring Criteria'!O211</f>
        <v>0</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3436</v>
      </c>
      <c r="K1867" s="449"/>
      <c r="L1867" s="1977" t="str">
        <f>'Part I-Project Information'!$O$38</f>
        <v>9702.00</v>
      </c>
      <c r="M1867" s="1977"/>
      <c r="N1867" s="1938"/>
      <c r="O1867" s="1938"/>
      <c r="P1867" s="1938"/>
      <c r="Q1867" s="1993"/>
      <c r="R1867" s="1823"/>
    </row>
    <row r="1868" spans="1:25" ht="12" customHeight="1">
      <c r="A1868" s="1940"/>
      <c r="B1868" s="1944"/>
      <c r="C1868" s="449"/>
      <c r="D1868" s="449"/>
      <c r="E1868" s="449"/>
      <c r="F1868" s="449"/>
      <c r="G1868" s="449"/>
      <c r="H1868" s="449"/>
      <c r="J1868" s="1908" t="s">
        <v>3262</v>
      </c>
      <c r="K1868" s="1815"/>
      <c r="L1868" s="449" t="str">
        <f>'Part IV-A-Uses of Funds'!$H$152</f>
        <v>&lt;&lt;Select&gt;&gt;</v>
      </c>
      <c r="M1868" s="449"/>
    </row>
    <row r="1869" spans="1:25" ht="12" customHeight="1">
      <c r="A1869" s="1904" t="s">
        <v>1936</v>
      </c>
      <c r="B1869" s="1897" t="s">
        <v>4310</v>
      </c>
      <c r="D1869" s="1815"/>
      <c r="K1869" s="1948"/>
      <c r="L1869" s="1732" t="str">
        <f>IF(OR($O1869=$M1869,$O1869=0,$O1869=""),"","* * Check Score! * *")</f>
        <v/>
      </c>
      <c r="M1869" s="1896">
        <v>2</v>
      </c>
      <c r="N1869" s="1940" t="s">
        <v>1936</v>
      </c>
      <c r="O1869" s="1923">
        <f>'Part IX Scoring Criteria'!O214</f>
        <v>0</v>
      </c>
      <c r="P1869" s="1923"/>
      <c r="Q1869" s="1993" t="str">
        <f>IF(OR($O1869=$M1869,$O1869=0,$O1869=""),"","*CHECK!*")</f>
        <v/>
      </c>
      <c r="R1869" s="1823" t="s">
        <v>4765</v>
      </c>
    </row>
    <row r="1870" spans="1:25" s="1951" customFormat="1" ht="9.75" customHeight="1">
      <c r="A1870" s="1904"/>
      <c r="B1870" s="1947"/>
      <c r="C1870" s="449" t="s">
        <v>2701</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3587</v>
      </c>
      <c r="C1871" s="449" t="s">
        <v>3637</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3588</v>
      </c>
      <c r="C1872" s="1908" t="s">
        <v>3638</v>
      </c>
      <c r="D1872" s="1947"/>
      <c r="E1872" s="1947"/>
      <c r="F1872" s="1947"/>
      <c r="G1872" s="1947"/>
      <c r="H1872" s="1947"/>
      <c r="I1872" s="1940" t="str">
        <f>IF($J$217="Government", "Additional documentation required - see QAP.","")</f>
        <v/>
      </c>
      <c r="J1872" s="449">
        <f>'Part IX Scoring Criteria'!J217</f>
        <v>0</v>
      </c>
      <c r="K1872" s="449"/>
      <c r="L1872" s="449"/>
      <c r="M1872" s="1947"/>
      <c r="N1872" s="1947"/>
      <c r="O1872" s="1947"/>
      <c r="P1872" s="1947"/>
      <c r="V1872" s="2125"/>
      <c r="W1872" s="2125"/>
    </row>
    <row r="1873" spans="1:23" ht="11.25" customHeight="1">
      <c r="A1873" s="1930"/>
      <c r="B1873" s="1940" t="s">
        <v>3589</v>
      </c>
      <c r="C1873" s="1908" t="s">
        <v>4568</v>
      </c>
      <c r="D1873" s="1815"/>
      <c r="E1873" s="1815"/>
      <c r="F1873" s="1815"/>
      <c r="G1873" s="1815"/>
      <c r="H1873" s="1815"/>
      <c r="I1873" s="1815"/>
      <c r="J1873" s="1229">
        <f>'Part IX Scoring Criteria'!J218</f>
        <v>0</v>
      </c>
      <c r="K1873" s="449" t="s">
        <v>4312</v>
      </c>
      <c r="L1873" s="449"/>
      <c r="M1873" s="449"/>
      <c r="N1873" s="449"/>
      <c r="O1873" s="1947"/>
      <c r="P1873" s="1947"/>
      <c r="V1873" s="2125"/>
      <c r="W1873" s="2125"/>
    </row>
    <row r="1874" spans="1:23" ht="11.25" customHeight="1">
      <c r="A1874" s="1930"/>
      <c r="B1874" s="1940" t="s">
        <v>3591</v>
      </c>
      <c r="C1874" s="1908" t="s">
        <v>4311</v>
      </c>
      <c r="D1874" s="1815"/>
      <c r="E1874" s="1815"/>
      <c r="F1874" s="1815"/>
      <c r="G1874" s="1815"/>
      <c r="H1874" s="1815"/>
      <c r="I1874" s="1815"/>
      <c r="J1874" s="1229">
        <f>'Part IX Scoring Criteria'!J219</f>
        <v>0</v>
      </c>
      <c r="K1874" s="449"/>
      <c r="L1874" s="449"/>
      <c r="M1874" s="449"/>
      <c r="N1874" s="449"/>
      <c r="O1874" s="2233">
        <f>'Part IX Scoring Criteria'!O219</f>
        <v>0</v>
      </c>
      <c r="P1874" s="1978" t="s">
        <v>3594</v>
      </c>
      <c r="V1874" s="2125"/>
      <c r="W1874" s="2125"/>
    </row>
    <row r="1875" spans="1:23" ht="11.25" customHeight="1">
      <c r="A1875" s="1930"/>
      <c r="B1875" s="1940" t="s">
        <v>3592</v>
      </c>
      <c r="C1875" s="1908" t="s">
        <v>4314</v>
      </c>
      <c r="D1875" s="1815"/>
      <c r="E1875" s="1815"/>
      <c r="F1875" s="1815"/>
      <c r="G1875" s="1815"/>
      <c r="H1875" s="1815"/>
      <c r="I1875" s="1815"/>
      <c r="J1875" s="1229">
        <f>'Part IX Scoring Criteria'!J220</f>
        <v>0</v>
      </c>
      <c r="L1875" s="1940" t="s">
        <v>4313</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3336</v>
      </c>
      <c r="G1880" s="449" t="s">
        <v>2558</v>
      </c>
      <c r="H1880" s="449"/>
      <c r="J1880" s="1979">
        <f>'Part IX Scoring Criteria'!J225</f>
        <v>0</v>
      </c>
      <c r="K1880" s="1979"/>
      <c r="L1880" s="1979"/>
      <c r="M1880" s="1979"/>
      <c r="N1880" s="1874"/>
      <c r="O1880" s="1874"/>
      <c r="P1880" s="1874"/>
      <c r="V1880" s="2125"/>
      <c r="W1880" s="2125"/>
    </row>
    <row r="1881" spans="1:23" s="1951" customFormat="1" ht="11.25" customHeight="1">
      <c r="C1881" s="449" t="s">
        <v>6811</v>
      </c>
      <c r="D1881" s="1939"/>
      <c r="G1881" s="1979">
        <f>'Part IV-A-Uses of Funds'!$G$132</f>
        <v>5691701.1975492882</v>
      </c>
      <c r="H1881" s="1979"/>
      <c r="J1881" s="1980">
        <f>IF($J1880=0,0,$J1880/$G$226)</f>
        <v>0</v>
      </c>
      <c r="K1881" s="1980"/>
      <c r="L1881" s="1980">
        <f>IF($L1880=0,0,$L1880/$G$226)</f>
        <v>0</v>
      </c>
      <c r="M1881" s="1980"/>
      <c r="V1881" s="2125"/>
      <c r="W1881" s="2125"/>
    </row>
    <row r="1882" spans="1:23" s="1947" customFormat="1" ht="10.5" customHeight="1">
      <c r="A1882" s="1815"/>
      <c r="B1882" s="449" t="s">
        <v>3564</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This criteria is not being elected by applicant.</v>
      </c>
      <c r="B1883" s="1936"/>
      <c r="C1883" s="1936"/>
      <c r="D1883" s="1936"/>
      <c r="E1883" s="1936"/>
      <c r="F1883" s="1936"/>
      <c r="G1883" s="1936"/>
      <c r="H1883" s="1936"/>
      <c r="I1883" s="1936"/>
      <c r="J1883" s="1936"/>
      <c r="K1883" s="1936"/>
      <c r="L1883" s="1936"/>
      <c r="M1883" s="1936"/>
      <c r="N1883" s="1936"/>
      <c r="O1883" s="1936"/>
      <c r="P1883" s="1936"/>
      <c r="Q1883" s="1973" t="s">
        <v>1227</v>
      </c>
    </row>
    <row r="1884" spans="1:23" s="1947" customFormat="1" ht="11.4" customHeight="1">
      <c r="A1884" s="1815"/>
      <c r="B1884" s="449" t="s">
        <v>1818</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2624</v>
      </c>
    </row>
    <row r="1888" spans="1:23" s="1951" customFormat="1" ht="13.5" customHeight="1">
      <c r="A1888" s="2150"/>
      <c r="B1888" s="1897" t="s">
        <v>4115</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6951</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3138</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2370</v>
      </c>
      <c r="O1890" s="1229">
        <f>'Part IX Scoring Criteria'!O235</f>
        <v>0</v>
      </c>
      <c r="P1890" s="1229"/>
      <c r="R1890" s="1952"/>
      <c r="S1890" s="1952"/>
      <c r="T1890" s="1952"/>
      <c r="U1890" s="1952"/>
    </row>
    <row r="1891" spans="1:23" s="1951" customFormat="1" ht="11.25" customHeight="1">
      <c r="A1891" s="1904"/>
      <c r="C1891" s="1945" t="s">
        <v>4754</v>
      </c>
      <c r="K1891" s="1958" t="str">
        <f>$O$112</f>
        <v>Required:</v>
      </c>
      <c r="L1891" s="1958">
        <f>$P$112</f>
        <v>0.05</v>
      </c>
      <c r="N1891" s="1940" t="s">
        <v>2371</v>
      </c>
      <c r="O1891" s="1229">
        <f>'Part IX Scoring Criteria'!O236</f>
        <v>0</v>
      </c>
      <c r="P1891" s="1229"/>
      <c r="R1891" s="1952"/>
      <c r="S1891" s="1952"/>
      <c r="T1891" s="1952"/>
      <c r="U1891" s="1952"/>
    </row>
    <row r="1892" spans="1:23" s="1951" customFormat="1" ht="11.25" customHeight="1">
      <c r="C1892" s="1945" t="s">
        <v>4570</v>
      </c>
      <c r="N1892" s="1940" t="s">
        <v>2372</v>
      </c>
      <c r="O1892" s="1229">
        <f>'Part IX Scoring Criteria'!O237</f>
        <v>0</v>
      </c>
      <c r="P1892" s="1229"/>
      <c r="R1892" s="1952"/>
      <c r="S1892" s="1952"/>
      <c r="T1892" s="1952"/>
      <c r="U1892" s="1952"/>
    </row>
    <row r="1893" spans="1:23" s="1951" customFormat="1" ht="11.25" customHeight="1">
      <c r="A1893" s="1904"/>
      <c r="C1893" s="1945" t="s">
        <v>4755</v>
      </c>
      <c r="K1893" s="1961">
        <f>'Part I-Project Information'!F1691</f>
        <v>0</v>
      </c>
      <c r="L1893" s="1972"/>
      <c r="N1893" s="1940" t="s">
        <v>2373</v>
      </c>
      <c r="O1893" s="1940"/>
      <c r="P1893" s="1229"/>
      <c r="R1893" s="1952"/>
      <c r="S1893" s="1952"/>
      <c r="T1893" s="1952"/>
      <c r="U1893" s="1952"/>
    </row>
    <row r="1894" spans="1:23" s="1951" customFormat="1" ht="11.25" customHeight="1">
      <c r="A1894" s="1904"/>
      <c r="C1894" s="1945" t="s">
        <v>4756</v>
      </c>
      <c r="K1894" s="1958">
        <f>$O$150</f>
        <v>0</v>
      </c>
      <c r="L1894" s="1958" t="str">
        <f>$P$150</f>
        <v>Indirect</v>
      </c>
      <c r="N1894" s="1940" t="s">
        <v>2374</v>
      </c>
      <c r="O1894" s="1229">
        <f>'Part IX Scoring Criteria'!O239</f>
        <v>0</v>
      </c>
      <c r="P1894" s="1229"/>
      <c r="R1894" s="1952"/>
      <c r="S1894" s="1952"/>
      <c r="T1894" s="1952"/>
      <c r="U1894" s="1952"/>
    </row>
    <row r="1895" spans="1:23" s="1951" customFormat="1" ht="11.25" customHeight="1">
      <c r="A1895" s="1904"/>
      <c r="C1895" s="1945" t="s">
        <v>4757</v>
      </c>
      <c r="K1895" s="1958">
        <f>$O$265</f>
        <v>0</v>
      </c>
      <c r="L1895" s="1958">
        <f>$P$265</f>
        <v>0</v>
      </c>
      <c r="N1895" s="1940" t="s">
        <v>2373</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1934</v>
      </c>
      <c r="B1897" s="1897" t="s">
        <v>6883</v>
      </c>
      <c r="D1897" s="1815"/>
      <c r="G1897" s="1944" t="s">
        <v>3590</v>
      </c>
      <c r="Q1897" s="1843"/>
      <c r="R1897" s="1952"/>
      <c r="S1897" s="1952"/>
      <c r="T1897" s="1952"/>
      <c r="U1897" s="1952"/>
    </row>
    <row r="1898" spans="1:23" s="1815" customFormat="1" ht="11.25" customHeight="1">
      <c r="A1898" s="1940"/>
      <c r="C1898" s="449" t="s">
        <v>3641</v>
      </c>
      <c r="E1898" s="449">
        <f>'Part IX Scoring Criteria'!E243</f>
        <v>0</v>
      </c>
      <c r="F1898" s="449"/>
      <c r="G1898" s="449"/>
      <c r="H1898" s="449"/>
      <c r="I1898" s="449"/>
      <c r="J1898" s="1908" t="s">
        <v>2623</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2142</v>
      </c>
      <c r="E1899" s="449">
        <f>'Part IX Scoring Criteria'!E244</f>
        <v>0</v>
      </c>
      <c r="F1899" s="449"/>
      <c r="G1899" s="449"/>
      <c r="H1899" s="449" t="s">
        <v>1678</v>
      </c>
      <c r="I1899" s="2235">
        <f>'Part IX Scoring Criteria'!I244</f>
        <v>0</v>
      </c>
      <c r="J1899" s="1908" t="s">
        <v>1754</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1937</v>
      </c>
      <c r="C1901" s="1936" t="s">
        <v>3737</v>
      </c>
      <c r="D1901" s="1936"/>
      <c r="E1901" s="1936"/>
      <c r="F1901" s="1936"/>
      <c r="G1901" s="1936"/>
      <c r="H1901" s="1936"/>
      <c r="I1901" s="1936"/>
      <c r="J1901" s="1936"/>
      <c r="K1901" s="1936"/>
      <c r="L1901" s="1936"/>
      <c r="M1901" s="1936"/>
      <c r="N1901" s="1936"/>
      <c r="O1901" s="1229" t="s">
        <v>2442</v>
      </c>
      <c r="P1901" s="1229" t="s">
        <v>2442</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1937</v>
      </c>
      <c r="O1902" s="1938">
        <f>'Part IX Scoring Criteria'!O247</f>
        <v>0</v>
      </c>
      <c r="P1902" s="1938"/>
      <c r="Q1902" s="1936"/>
      <c r="V1902" s="2125"/>
      <c r="W1902" s="2125"/>
    </row>
    <row r="1903" spans="1:23" ht="11.25" customHeight="1">
      <c r="A1903" s="1940"/>
      <c r="B1903" s="2172" t="s">
        <v>1939</v>
      </c>
      <c r="C1903" s="1936" t="s">
        <v>3739</v>
      </c>
      <c r="D1903" s="1936"/>
      <c r="E1903" s="1936"/>
      <c r="F1903" s="1936"/>
      <c r="G1903" s="1944" t="s">
        <v>3590</v>
      </c>
      <c r="H1903" s="1936"/>
      <c r="I1903" s="1936"/>
      <c r="J1903" s="1936"/>
      <c r="K1903" s="1936"/>
      <c r="L1903" s="1936"/>
      <c r="M1903" s="1936"/>
      <c r="N1903" s="1936"/>
      <c r="O1903" s="1229" t="s">
        <v>2442</v>
      </c>
      <c r="P1903" s="1229" t="s">
        <v>2442</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1939</v>
      </c>
      <c r="O1904" s="1938">
        <f>'Part IX Scoring Criteria'!O249</f>
        <v>0</v>
      </c>
      <c r="P1904" s="1938"/>
      <c r="Q1904" s="1922"/>
      <c r="V1904" s="2125"/>
      <c r="W1904" s="2125"/>
    </row>
    <row r="1905" spans="1:24" ht="11.25" customHeight="1">
      <c r="A1905" s="1904"/>
      <c r="B1905" s="1992" t="s">
        <v>2466</v>
      </c>
      <c r="C1905" s="449" t="s">
        <v>3593</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2466</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2370</v>
      </c>
      <c r="C1908" s="1936" t="s">
        <v>3742</v>
      </c>
      <c r="D1908" s="1936"/>
      <c r="E1908" s="1936"/>
      <c r="F1908" s="1936"/>
      <c r="G1908" s="1936"/>
      <c r="H1908" s="1936"/>
      <c r="I1908" s="1936"/>
      <c r="J1908" s="1936"/>
      <c r="K1908" s="1936"/>
      <c r="L1908" s="1936"/>
      <c r="M1908" s="1936"/>
      <c r="N1908" s="1942" t="s">
        <v>2370</v>
      </c>
      <c r="O1908" s="1938">
        <f>'Part IX Scoring Criteria'!O253</f>
        <v>0</v>
      </c>
      <c r="P1908" s="1938"/>
      <c r="Q1908" s="1981"/>
      <c r="V1908" s="2169"/>
      <c r="W1908" s="2169"/>
    </row>
    <row r="1909" spans="1:24" s="1815" customFormat="1" ht="11.25" customHeight="1">
      <c r="A1909" s="1940"/>
      <c r="B1909" s="1940" t="s">
        <v>2371</v>
      </c>
      <c r="C1909" s="449" t="s">
        <v>4315</v>
      </c>
      <c r="D1909" s="449"/>
      <c r="E1909" s="449"/>
      <c r="F1909" s="449"/>
      <c r="G1909" s="449"/>
      <c r="H1909" s="449"/>
      <c r="I1909" s="449"/>
      <c r="J1909" s="449"/>
      <c r="K1909" s="449"/>
      <c r="L1909" s="449"/>
      <c r="M1909" s="449"/>
      <c r="N1909" s="1940" t="s">
        <v>2371</v>
      </c>
      <c r="O1909" s="1229">
        <f>'Part IX Scoring Criteria'!O254</f>
        <v>0</v>
      </c>
      <c r="P1909" s="1229"/>
      <c r="Q1909" s="1922"/>
      <c r="V1909" s="2125"/>
      <c r="W1909" s="2125"/>
    </row>
    <row r="1910" spans="1:24" ht="11.25" customHeight="1">
      <c r="A1910" s="1904"/>
      <c r="B1910" s="1992" t="s">
        <v>1197</v>
      </c>
      <c r="C1910" s="449" t="s">
        <v>4316</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1197</v>
      </c>
      <c r="O1911" s="1229">
        <f>'Part IX Scoring Criteria'!O256</f>
        <v>0</v>
      </c>
      <c r="P1911" s="1229"/>
      <c r="Q1911" s="1922"/>
      <c r="V1911" s="2125"/>
      <c r="W1911" s="2125"/>
    </row>
    <row r="1912" spans="1:24" ht="11.4" customHeight="1">
      <c r="A1912" s="1904" t="s">
        <v>1936</v>
      </c>
      <c r="B1912" s="1897" t="s">
        <v>6884</v>
      </c>
      <c r="D1912" s="1815"/>
      <c r="G1912" s="1944" t="s">
        <v>3590</v>
      </c>
      <c r="O1912" s="1229" t="s">
        <v>2442</v>
      </c>
      <c r="P1912" s="1229" t="s">
        <v>2442</v>
      </c>
      <c r="Q1912" s="1843"/>
    </row>
    <row r="1913" spans="1:24" ht="22.5" customHeight="1">
      <c r="B1913" s="2172" t="s">
        <v>1937</v>
      </c>
      <c r="C1913" s="449" t="s">
        <v>4572</v>
      </c>
      <c r="D1913" s="449"/>
      <c r="E1913" s="449"/>
      <c r="F1913" s="449"/>
      <c r="G1913" s="449"/>
      <c r="H1913" s="449"/>
      <c r="I1913" s="449"/>
      <c r="J1913" s="449"/>
      <c r="K1913" s="449"/>
      <c r="L1913" s="449"/>
      <c r="M1913" s="1982" t="s">
        <v>1936</v>
      </c>
      <c r="N1913" s="1949" t="s">
        <v>1937</v>
      </c>
      <c r="O1913" s="1938">
        <f>'Part IX Scoring Criteria'!O258</f>
        <v>0</v>
      </c>
      <c r="P1913" s="1938"/>
      <c r="Q1913" s="1843"/>
      <c r="V1913" s="2125"/>
      <c r="W1913" s="2125"/>
    </row>
    <row r="1914" spans="1:24" s="1815" customFormat="1" ht="11.25" customHeight="1">
      <c r="A1914" s="1940"/>
      <c r="B1914" s="2172" t="s">
        <v>1939</v>
      </c>
      <c r="C1914" s="1908" t="s">
        <v>4573</v>
      </c>
      <c r="D1914" s="449"/>
      <c r="E1914" s="449"/>
      <c r="F1914" s="449"/>
      <c r="G1914" s="449"/>
      <c r="H1914" s="449"/>
      <c r="I1914" s="449"/>
      <c r="J1914" s="449"/>
      <c r="K1914" s="449"/>
      <c r="L1914" s="449"/>
      <c r="M1914" s="449"/>
      <c r="N1914" s="1949" t="s">
        <v>1939</v>
      </c>
      <c r="O1914" s="1229">
        <f>'Part IX Scoring Criteria'!O259</f>
        <v>0</v>
      </c>
      <c r="P1914" s="1229"/>
      <c r="Q1914" s="1922"/>
      <c r="V1914" s="2175"/>
      <c r="W1914" s="2175"/>
    </row>
    <row r="1915" spans="1:24" s="1951" customFormat="1" ht="12" customHeight="1">
      <c r="A1915" s="1815"/>
      <c r="B1915" s="449" t="s">
        <v>3564</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This criteria is not being elected by applicant.</v>
      </c>
      <c r="B1916" s="1936"/>
      <c r="C1916" s="1936"/>
      <c r="D1916" s="1936"/>
      <c r="E1916" s="1936"/>
      <c r="F1916" s="1936"/>
      <c r="G1916" s="1936"/>
      <c r="H1916" s="1936"/>
      <c r="I1916" s="1936"/>
      <c r="J1916" s="1936"/>
      <c r="K1916" s="1936"/>
      <c r="L1916" s="1936"/>
      <c r="M1916" s="1936"/>
      <c r="N1916" s="1936"/>
      <c r="O1916" s="1936"/>
      <c r="P1916" s="1936"/>
      <c r="Q1916" s="1973" t="s">
        <v>1227</v>
      </c>
    </row>
    <row r="1917" spans="1:24" s="1951" customFormat="1" ht="10.5" customHeight="1">
      <c r="A1917" s="1815"/>
      <c r="B1917" s="1936" t="s">
        <v>1818</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2693</v>
      </c>
      <c r="D1920" s="449"/>
      <c r="E1920" s="449"/>
      <c r="G1920" s="1822" t="s">
        <v>4747</v>
      </c>
      <c r="M1920" s="1896">
        <v>5</v>
      </c>
      <c r="N1920" s="1896"/>
      <c r="O1920" s="1916">
        <f>'Part IX Scoring Criteria'!O265</f>
        <v>0</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1934</v>
      </c>
      <c r="B1922" s="1897" t="s">
        <v>4317</v>
      </c>
      <c r="D1922" s="449"/>
      <c r="E1922" s="449"/>
      <c r="G1922" s="1944" t="s">
        <v>4728</v>
      </c>
      <c r="I1922" s="1983" t="str">
        <f>'Part I-Project Information'!$O$38</f>
        <v>9702.00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2701</v>
      </c>
      <c r="C1923" s="1918"/>
      <c r="D1923" s="1918"/>
      <c r="G1923" s="1897" t="str">
        <f>'Part I-Project Information'!$H$105</f>
        <v>Rural</v>
      </c>
      <c r="N1923" s="1943" t="s">
        <v>1934</v>
      </c>
      <c r="O1923" s="1817" t="s">
        <v>2442</v>
      </c>
      <c r="P1923" s="1817" t="s">
        <v>2442</v>
      </c>
      <c r="S1923" s="1963"/>
      <c r="T1923" s="1963"/>
      <c r="U1923" s="1963"/>
      <c r="V1923" s="1951"/>
      <c r="W1923" s="1951"/>
      <c r="X1923" s="1951"/>
    </row>
    <row r="1924" spans="1:24" ht="11.4" customHeight="1">
      <c r="A1924" s="2176"/>
      <c r="B1924" s="1992" t="s">
        <v>1937</v>
      </c>
      <c r="C1924" s="1945" t="s">
        <v>2607</v>
      </c>
      <c r="M1924" s="1874"/>
      <c r="N1924" s="1960" t="s">
        <v>1937</v>
      </c>
      <c r="O1924" s="1229">
        <f>'Part IX Scoring Criteria'!O269</f>
        <v>0</v>
      </c>
      <c r="P1924" s="1229"/>
      <c r="Q1924" s="1973" t="str">
        <f>IF(AND(O1924="Yes",O1927="Yes"),"Only 1 or 4 can be 'Yes'!","")</f>
        <v/>
      </c>
      <c r="R1924" s="1973"/>
      <c r="S1924" s="1963"/>
      <c r="T1924" s="1963"/>
      <c r="U1924" s="1963"/>
    </row>
    <row r="1925" spans="1:24" ht="11.4" customHeight="1">
      <c r="B1925" s="1992" t="s">
        <v>1939</v>
      </c>
      <c r="C1925" s="1945" t="s">
        <v>2652</v>
      </c>
      <c r="G1925" s="1945" t="s">
        <v>2325</v>
      </c>
      <c r="I1925" s="2147" t="str">
        <f>'Part IX Scoring Criteria'!I270</f>
        <v>&lt; Select &gt;</v>
      </c>
      <c r="J1925" s="1945" t="s">
        <v>2653</v>
      </c>
      <c r="L1925" s="449" t="s">
        <v>2651</v>
      </c>
      <c r="M1925" s="449" t="str">
        <f>IF(O1925&gt;I1925,"CHECK ACTUAL PERCENT!!!","")</f>
        <v/>
      </c>
      <c r="N1925" s="1960" t="s">
        <v>1939</v>
      </c>
      <c r="O1925" s="2236">
        <f>'Part IX Scoring Criteria'!O270</f>
        <v>0</v>
      </c>
      <c r="P1925" s="1985"/>
      <c r="Q1925" s="1973"/>
      <c r="R1925" s="1973"/>
      <c r="S1925" s="1963"/>
      <c r="T1925" s="1963"/>
      <c r="U1925" s="1963"/>
    </row>
    <row r="1926" spans="1:24" ht="11.4" customHeight="1">
      <c r="B1926" s="1992" t="s">
        <v>2466</v>
      </c>
      <c r="C1926" s="1945" t="s">
        <v>2326</v>
      </c>
      <c r="G1926" s="1945" t="s">
        <v>2327</v>
      </c>
      <c r="J1926" s="2177" t="s">
        <v>4468</v>
      </c>
      <c r="L1926" s="1908" t="s">
        <v>2646</v>
      </c>
      <c r="M1926" s="1815"/>
      <c r="N1926" s="1960" t="s">
        <v>2466</v>
      </c>
      <c r="O1926" s="1229" t="str">
        <f>'Part IX Scoring Criteria'!O271</f>
        <v>&lt;Select&gt;</v>
      </c>
      <c r="P1926" s="1229" t="s">
        <v>197</v>
      </c>
      <c r="Q1926" s="1973"/>
      <c r="R1926" s="1973"/>
      <c r="S1926" s="1963"/>
      <c r="T1926" s="1963"/>
      <c r="U1926" s="1963"/>
    </row>
    <row r="1927" spans="1:24" s="1910" customFormat="1" ht="11.4" customHeight="1">
      <c r="B1927" s="2172" t="s">
        <v>1197</v>
      </c>
      <c r="C1927" s="1936" t="s">
        <v>6977</v>
      </c>
      <c r="D1927" s="1936"/>
      <c r="E1927" s="1936"/>
      <c r="F1927" s="1936"/>
      <c r="G1927" s="1936"/>
      <c r="H1927" s="1936"/>
      <c r="I1927" s="1936"/>
      <c r="J1927" s="2177"/>
      <c r="K1927" s="2177" t="s">
        <v>3743</v>
      </c>
      <c r="M1927" s="1732">
        <v>2</v>
      </c>
      <c r="N1927" s="1960" t="s">
        <v>1197</v>
      </c>
      <c r="O1927" s="1938" t="str">
        <f>'Part IX Scoring Criteria'!O272</f>
        <v>Yes</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1936</v>
      </c>
      <c r="B1931" s="1992" t="s">
        <v>4318</v>
      </c>
      <c r="C1931" s="1945"/>
      <c r="G1931" s="1944" t="s">
        <v>6798</v>
      </c>
      <c r="I1931" s="2160">
        <f>'Part IX Scoring Criteria'!I276</f>
        <v>0</v>
      </c>
      <c r="K1931" s="1943" t="s">
        <v>4609</v>
      </c>
      <c r="L1931" s="2142">
        <f>'Part IX Scoring Criteria'!L276</f>
        <v>0</v>
      </c>
      <c r="M1931" s="1896">
        <v>2</v>
      </c>
      <c r="N1931" s="1904" t="s">
        <v>1936</v>
      </c>
      <c r="O1931" s="1923">
        <f>'Part IX Scoring Criteria'!O276</f>
        <v>0</v>
      </c>
      <c r="P1931" s="1923"/>
      <c r="Q1931" s="1993" t="str">
        <f>IF(O1931&lt;=M1931,"","*CHECK!*")</f>
        <v/>
      </c>
      <c r="R1931" s="1823" t="s">
        <v>4765</v>
      </c>
      <c r="S1931" s="1963"/>
      <c r="T1931" s="1963"/>
      <c r="U1931" s="1963"/>
    </row>
    <row r="1932" spans="1:24" ht="11.4" customHeight="1">
      <c r="A1932" s="1918"/>
      <c r="B1932" s="1992" t="s">
        <v>1937</v>
      </c>
      <c r="C1932" s="449" t="s">
        <v>4464</v>
      </c>
      <c r="D1932" s="449"/>
      <c r="E1932" s="1987"/>
      <c r="F1932" s="1988"/>
      <c r="G1932" s="449" t="s">
        <v>4319</v>
      </c>
      <c r="H1932" s="449"/>
      <c r="I1932" s="449"/>
      <c r="J1932" s="1815"/>
      <c r="K1932" s="1815"/>
      <c r="L1932" s="1822" t="s">
        <v>6799</v>
      </c>
      <c r="M1932" s="1896"/>
      <c r="N1932" s="1960" t="s">
        <v>1937</v>
      </c>
      <c r="O1932" s="1938">
        <f>'Part IX Scoring Criteria'!O277</f>
        <v>0</v>
      </c>
      <c r="P1932" s="1938"/>
      <c r="Q1932" s="1993"/>
      <c r="R1932" s="1823"/>
      <c r="S1932" s="1963"/>
      <c r="T1932" s="1963"/>
      <c r="U1932" s="1963"/>
    </row>
    <row r="1933" spans="1:24" ht="11.4" customHeight="1">
      <c r="A1933" s="1918"/>
      <c r="B1933" s="1992" t="s">
        <v>1939</v>
      </c>
      <c r="C1933" s="449" t="s">
        <v>4465</v>
      </c>
      <c r="D1933" s="449"/>
      <c r="E1933" s="1987"/>
      <c r="F1933" s="1229"/>
      <c r="G1933" s="449" t="s">
        <v>4320</v>
      </c>
      <c r="H1933" s="449"/>
      <c r="I1933" s="449"/>
      <c r="J1933" s="1815"/>
      <c r="K1933" s="1815"/>
      <c r="L1933" s="1822" t="s">
        <v>6799</v>
      </c>
      <c r="M1933" s="1874"/>
      <c r="N1933" s="1960" t="s">
        <v>1939</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3564</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This criteria is not being elected by applicant.</v>
      </c>
      <c r="B1936" s="1936"/>
      <c r="C1936" s="1936"/>
      <c r="D1936" s="1936"/>
      <c r="E1936" s="1936"/>
      <c r="F1936" s="1936"/>
      <c r="G1936" s="1936"/>
      <c r="H1936" s="1936"/>
      <c r="I1936" s="1936"/>
      <c r="J1936" s="1936"/>
      <c r="K1936" s="1936"/>
      <c r="L1936" s="1936"/>
      <c r="M1936" s="1936"/>
      <c r="N1936" s="1936"/>
      <c r="O1936" s="1936"/>
      <c r="P1936" s="1936"/>
      <c r="Q1936" s="1973" t="s">
        <v>1227</v>
      </c>
    </row>
    <row r="1937" spans="1:22" ht="2.25" customHeight="1">
      <c r="A1937" s="1918"/>
      <c r="B1937" s="1992"/>
      <c r="C1937" s="1945"/>
      <c r="M1937" s="1896"/>
      <c r="N1937" s="2240"/>
      <c r="O1937" s="1896"/>
      <c r="P1937" s="1896"/>
    </row>
    <row r="1938" spans="1:22" s="1951" customFormat="1" ht="10.5" customHeight="1">
      <c r="A1938" s="1815"/>
      <c r="B1938" s="1936" t="s">
        <v>1818</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3603</v>
      </c>
      <c r="H1941" s="1229" t="s">
        <v>3450</v>
      </c>
      <c r="I1941" s="1985">
        <f>IF('Part VI-Revenues &amp; Expenses'!$P$67=0,0,'Part VI-Revenues &amp; Expenses'!$P$64/'Part VI-Revenues &amp; Expenses'!$P$67)</f>
        <v>0</v>
      </c>
      <c r="J1941" s="1943" t="s">
        <v>4603</v>
      </c>
      <c r="K1941" s="2136" t="str">
        <f>'Part I-Project Information'!$K$94</f>
        <v>40% of Units at 60% of AMI</v>
      </c>
      <c r="L1941" s="2136"/>
      <c r="M1941" s="1896">
        <v>1</v>
      </c>
      <c r="N1941" s="2240"/>
      <c r="O1941" s="1923">
        <f>'Part IX Scoring Criteria'!O286</f>
        <v>0</v>
      </c>
      <c r="P1941" s="1923">
        <f>'Part IX Scoring Criteria'!P286</f>
        <v>0</v>
      </c>
      <c r="Q1941" s="1896" t="s">
        <v>433</v>
      </c>
    </row>
    <row r="1942" spans="1:22" ht="13.8">
      <c r="A1942" s="1732" t="s">
        <v>1934</v>
      </c>
      <c r="B1942" s="1945" t="s">
        <v>4601</v>
      </c>
      <c r="C1942" s="1945"/>
      <c r="D1942" s="1945" t="s">
        <v>4602</v>
      </c>
      <c r="M1942" s="1896">
        <v>1</v>
      </c>
      <c r="N1942" s="1940" t="s">
        <v>1934</v>
      </c>
      <c r="O1942" s="1923">
        <f>'Part IX Scoring Criteria'!O287</f>
        <v>0</v>
      </c>
      <c r="P1942" s="1923"/>
      <c r="Q1942" s="1993" t="str">
        <f>IF(OR($O1942=$M1942,$O1942=0,$O1942=""),"","*CHECK!*")</f>
        <v/>
      </c>
      <c r="R1942" s="1823" t="s">
        <v>4765</v>
      </c>
    </row>
    <row r="1943" spans="1:22" ht="13.8">
      <c r="A1943" s="1732" t="s">
        <v>1936</v>
      </c>
      <c r="B1943" s="1945" t="s">
        <v>4291</v>
      </c>
      <c r="C1943" s="1945"/>
      <c r="D1943" s="1945" t="s">
        <v>4721</v>
      </c>
      <c r="M1943" s="1874">
        <v>1</v>
      </c>
      <c r="N1943" s="1940" t="s">
        <v>1936</v>
      </c>
      <c r="O1943" s="1923">
        <f>'Part IX Scoring Criteria'!O288</f>
        <v>0</v>
      </c>
      <c r="P1943" s="1923"/>
      <c r="Q1943" s="1993" t="str">
        <f>IF(OR($O1943=$M1943,$O1943=0,$O1943=""),"","*CHECK!*")</f>
        <v/>
      </c>
      <c r="R1943" s="1823" t="s">
        <v>4765</v>
      </c>
    </row>
    <row r="1944" spans="1:22" ht="2.25" customHeight="1">
      <c r="A1944" s="1918"/>
      <c r="B1944" s="1992"/>
      <c r="C1944" s="1945"/>
      <c r="M1944" s="1896"/>
      <c r="N1944" s="2240"/>
      <c r="O1944" s="1896"/>
      <c r="P1944" s="1896"/>
    </row>
    <row r="1945" spans="1:22" s="1951" customFormat="1" ht="14.4">
      <c r="A1945" s="1815"/>
      <c r="B1945" s="1936" t="s">
        <v>1818</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3603</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1934</v>
      </c>
      <c r="B1949" s="1939" t="s">
        <v>3596</v>
      </c>
      <c r="D1949" s="1939"/>
      <c r="E1949" s="1939"/>
      <c r="F1949" s="1939"/>
      <c r="G1949" s="1939"/>
      <c r="H1949" s="1939"/>
      <c r="I1949" s="1939"/>
      <c r="J1949" s="1939"/>
      <c r="K1949" s="1939"/>
      <c r="L1949" s="1939"/>
      <c r="M1949" s="2105" t="str">
        <f>IF(OR(SUM(T1949:T1950)&gt;1,SUM(Q1949:Q1950)&gt;1),"Only one category can be met by other means!","")</f>
        <v/>
      </c>
      <c r="N1949" s="1940" t="s">
        <v>1934</v>
      </c>
      <c r="O1949" s="1229">
        <f>'Part IX Scoring Criteria'!O294</f>
        <v>0</v>
      </c>
      <c r="P1949" s="1229"/>
      <c r="Q1949" s="1817">
        <f>IF(L1949="Yes",1,0)</f>
        <v>0</v>
      </c>
      <c r="R1949" s="1963"/>
      <c r="S1949" s="1963"/>
      <c r="T1949" s="1963"/>
      <c r="U1949" s="1963"/>
      <c r="V1949" s="1963"/>
    </row>
    <row r="1950" spans="1:22" ht="11.25" customHeight="1">
      <c r="A1950" s="1732" t="s">
        <v>1936</v>
      </c>
      <c r="B1950" s="1939" t="s">
        <v>3597</v>
      </c>
      <c r="D1950" s="1939"/>
      <c r="L1950" s="1939"/>
      <c r="M1950" s="2105"/>
      <c r="N1950" s="1940" t="s">
        <v>1936</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3564</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This criteria is not being elected by applicant.</v>
      </c>
      <c r="B1952" s="1936"/>
      <c r="C1952" s="1936"/>
      <c r="D1952" s="1936"/>
      <c r="E1952" s="1936"/>
      <c r="F1952" s="1936"/>
      <c r="G1952" s="1936"/>
      <c r="H1952" s="1936"/>
      <c r="I1952" s="1936"/>
      <c r="J1952" s="1936"/>
      <c r="K1952" s="1936"/>
      <c r="L1952" s="1936"/>
      <c r="M1952" s="1936"/>
      <c r="N1952" s="1936"/>
      <c r="O1952" s="1936"/>
      <c r="P1952" s="1936"/>
      <c r="Q1952" s="1973" t="s">
        <v>1227</v>
      </c>
    </row>
    <row r="1953" spans="1:27" s="1951" customFormat="1" ht="10.5" customHeight="1">
      <c r="A1953" s="1815"/>
      <c r="B1953" s="1936" t="s">
        <v>1818</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2701</v>
      </c>
      <c r="K1956" s="1897"/>
      <c r="L1956" s="449" t="str">
        <f>'Part I-Project Information'!$H$105</f>
        <v>Rural</v>
      </c>
      <c r="M1956" s="1896">
        <v>3</v>
      </c>
      <c r="N1956" s="1896"/>
      <c r="O1956" s="1896">
        <f>'Part IX Scoring Criteria'!O301</f>
        <v>0</v>
      </c>
      <c r="P1956" s="1896">
        <f>'Part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3505</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1934</v>
      </c>
      <c r="B1958" s="1936" t="s">
        <v>6885</v>
      </c>
      <c r="C1958" s="1936"/>
      <c r="D1958" s="1936"/>
      <c r="E1958" s="1936"/>
      <c r="F1958" s="1936"/>
      <c r="G1958" s="1936"/>
      <c r="H1958" s="1936"/>
      <c r="I1958" s="1936"/>
      <c r="J1958" s="1936"/>
      <c r="K1958" s="1936"/>
      <c r="L1958" s="1936"/>
      <c r="M1958" s="1936"/>
      <c r="N1958" s="1942" t="s">
        <v>1934</v>
      </c>
      <c r="O1958" s="1938">
        <f>'Part IX Scoring Criteria'!O303</f>
        <v>0</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3609</v>
      </c>
      <c r="I1959" s="1940" t="s">
        <v>4324</v>
      </c>
      <c r="J1959" s="1908">
        <f>'Part IX Scoring Criteria'!J304</f>
        <v>0</v>
      </c>
      <c r="K1959" s="1940" t="s">
        <v>598</v>
      </c>
      <c r="L1959" s="449">
        <f>'Part IX Scoring Criteria'!L304</f>
        <v>0</v>
      </c>
      <c r="Q1959" s="1936"/>
      <c r="R1959" s="1936"/>
      <c r="S1959" s="1936"/>
      <c r="T1959" s="1936"/>
    </row>
    <row r="1960" spans="1:27" s="449" customFormat="1" ht="11.25" customHeight="1">
      <c r="A1960" s="1969"/>
      <c r="B1960" s="449" t="s">
        <v>3639</v>
      </c>
      <c r="I1960" s="1940" t="s">
        <v>4324</v>
      </c>
      <c r="J1960" s="1908">
        <f>'Part IX Scoring Criteria'!J305</f>
        <v>0</v>
      </c>
      <c r="K1960" s="1940" t="s">
        <v>598</v>
      </c>
      <c r="L1960" s="449">
        <f>'Part IX Scoring Criteria'!L305</f>
        <v>0</v>
      </c>
      <c r="Q1960" s="1936"/>
      <c r="R1960" s="1936"/>
      <c r="S1960" s="1936"/>
      <c r="T1960" s="1936"/>
    </row>
    <row r="1961" spans="1:27" s="449" customFormat="1" ht="11.25" customHeight="1">
      <c r="A1961" s="1969" t="s">
        <v>1936</v>
      </c>
      <c r="B1961" s="449" t="s">
        <v>940</v>
      </c>
      <c r="M1961" s="1896"/>
      <c r="N1961" s="1940" t="s">
        <v>1936</v>
      </c>
      <c r="O1961" s="1229">
        <f>'Part IX Scoring Criteria'!O306</f>
        <v>0</v>
      </c>
      <c r="P1961" s="1229"/>
      <c r="Q1961" s="1936"/>
      <c r="R1961" s="1936"/>
      <c r="S1961" s="1936"/>
      <c r="T1961" s="1936"/>
    </row>
    <row r="1962" spans="1:27" s="449" customFormat="1" ht="11.25" customHeight="1">
      <c r="A1962" s="1969" t="s">
        <v>730</v>
      </c>
      <c r="B1962" s="449" t="s">
        <v>941</v>
      </c>
      <c r="M1962" s="1896"/>
      <c r="N1962" s="1940" t="s">
        <v>730</v>
      </c>
      <c r="O1962" s="1229">
        <f>'Part IX Scoring Criteria'!O307</f>
        <v>0</v>
      </c>
      <c r="P1962" s="1229"/>
      <c r="Q1962" s="1936"/>
      <c r="R1962" s="1936"/>
      <c r="S1962" s="1936"/>
      <c r="T1962" s="1936"/>
    </row>
    <row r="1963" spans="1:27" s="449" customFormat="1" ht="22.5" customHeight="1">
      <c r="A1963" s="1968" t="s">
        <v>2063</v>
      </c>
      <c r="B1963" s="1936" t="s">
        <v>4621</v>
      </c>
      <c r="C1963" s="1936"/>
      <c r="D1963" s="1936"/>
      <c r="E1963" s="1936"/>
      <c r="F1963" s="1936"/>
      <c r="G1963" s="1936"/>
      <c r="H1963" s="1936"/>
      <c r="I1963" s="1936"/>
      <c r="J1963" s="1936"/>
      <c r="K1963" s="1936"/>
      <c r="L1963" s="1936"/>
      <c r="M1963" s="1936"/>
      <c r="N1963" s="1942" t="s">
        <v>2063</v>
      </c>
      <c r="O1963" s="1938">
        <f>'Part IX Scoring Criteria'!O308</f>
        <v>0</v>
      </c>
      <c r="P1963" s="1938"/>
      <c r="Q1963" s="1936"/>
      <c r="R1963" s="1936"/>
      <c r="S1963" s="1936"/>
      <c r="T1963" s="1936"/>
    </row>
    <row r="1964" spans="1:27" s="449" customFormat="1" ht="11.25" customHeight="1">
      <c r="A1964" s="1969" t="s">
        <v>1691</v>
      </c>
      <c r="B1964" s="449" t="s">
        <v>4325</v>
      </c>
      <c r="M1964" s="1896"/>
      <c r="N1964" s="1940" t="s">
        <v>1691</v>
      </c>
      <c r="O1964" s="1229">
        <f>'Part IX Scoring Criteria'!O309</f>
        <v>0</v>
      </c>
      <c r="P1964" s="1229"/>
      <c r="Q1964" s="1936"/>
      <c r="R1964" s="1936"/>
      <c r="S1964" s="1936"/>
      <c r="T1964" s="1936"/>
    </row>
    <row r="1965" spans="1:27" s="449" customFormat="1" ht="11.25" customHeight="1">
      <c r="A1965" s="1969" t="s">
        <v>1692</v>
      </c>
      <c r="B1965" s="449" t="s">
        <v>942</v>
      </c>
      <c r="M1965" s="1896"/>
      <c r="N1965" s="1940" t="s">
        <v>1692</v>
      </c>
      <c r="O1965" s="1229">
        <f>'Part IX Scoring Criteria'!O310</f>
        <v>0</v>
      </c>
      <c r="P1965" s="1229"/>
      <c r="Q1965" s="1936"/>
      <c r="R1965" s="1936"/>
      <c r="S1965" s="1936"/>
      <c r="T1965" s="1936"/>
    </row>
    <row r="1966" spans="1:27" s="1951" customFormat="1" ht="10.5" customHeight="1">
      <c r="A1966" s="1815"/>
      <c r="B1966" s="449" t="s">
        <v>3564</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This criteria is not being elected by applicant.</v>
      </c>
      <c r="B1967" s="1936"/>
      <c r="C1967" s="1936"/>
      <c r="D1967" s="1936"/>
      <c r="E1967" s="1936"/>
      <c r="F1967" s="1936"/>
      <c r="G1967" s="1936"/>
      <c r="H1967" s="1936"/>
      <c r="I1967" s="1936"/>
      <c r="J1967" s="1936"/>
      <c r="K1967" s="1936"/>
      <c r="L1967" s="1936"/>
      <c r="M1967" s="1936"/>
      <c r="N1967" s="1936"/>
      <c r="O1967" s="1936"/>
      <c r="P1967" s="1936"/>
      <c r="Q1967" s="1973" t="s">
        <v>1227</v>
      </c>
    </row>
    <row r="1968" spans="1:27" s="1951" customFormat="1" ht="10.5" customHeight="1">
      <c r="B1968" s="1936" t="s">
        <v>1818</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1682</v>
      </c>
      <c r="B1971" s="1815" t="s">
        <v>4604</v>
      </c>
      <c r="D1971" s="2163"/>
      <c r="E1971" s="2163"/>
      <c r="F1971" s="1908" t="s">
        <v>3278</v>
      </c>
      <c r="H1971" s="1908" t="s">
        <v>4622</v>
      </c>
      <c r="I1971" s="1815"/>
      <c r="J1971" s="449">
        <f>'Part I-Project Information'!F1692</f>
        <v>0</v>
      </c>
      <c r="M1971" s="1896">
        <v>5</v>
      </c>
      <c r="N1971" s="1896"/>
      <c r="O1971" s="1923">
        <f>'Part IX Scoring Criteria'!O316</f>
        <v>0</v>
      </c>
      <c r="P1971" s="1923">
        <f>'Part IX Scoring Criteria'!P316</f>
        <v>0</v>
      </c>
      <c r="Q1971" s="1896" t="s">
        <v>433</v>
      </c>
      <c r="R1971" s="2179" t="s">
        <v>4575</v>
      </c>
      <c r="S1971" s="2179"/>
      <c r="T1971" s="2179"/>
      <c r="U1971" s="2179"/>
      <c r="V1971" s="2179"/>
      <c r="W1971" s="1955"/>
      <c r="X1971" s="1955"/>
    </row>
    <row r="1972" spans="1:24" s="1815" customFormat="1" ht="11.25" customHeight="1">
      <c r="A1972" s="1732" t="s">
        <v>1934</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1934</v>
      </c>
      <c r="O1973" s="2166">
        <f>'Part IX Scoring Criteria'!O318</f>
        <v>0</v>
      </c>
      <c r="P1973" s="2166">
        <f>'Part IX Scoring Criteria'!P318</f>
        <v>0</v>
      </c>
      <c r="R1973" s="2179"/>
      <c r="S1973" s="2179"/>
      <c r="T1973" s="2179"/>
      <c r="U1973" s="2179"/>
      <c r="V1973" s="2179"/>
    </row>
    <row r="1974" spans="1:24" s="1815" customFormat="1" ht="11.25" customHeight="1">
      <c r="B1974" s="1992" t="s">
        <v>1937</v>
      </c>
      <c r="C1974" s="449" t="s">
        <v>6887</v>
      </c>
      <c r="L1974" s="1732" t="str">
        <f>IF(OR($O1974=$M1974,$O1974=0,$O1974=""),"","* * Check Score! * *")</f>
        <v/>
      </c>
      <c r="M1974" s="1896">
        <v>5</v>
      </c>
      <c r="N1974" s="1969" t="s">
        <v>1937</v>
      </c>
      <c r="O1974" s="1923">
        <f>'Part IX Scoring Criteria'!O319</f>
        <v>0</v>
      </c>
      <c r="P1974" s="1923"/>
      <c r="Q1974" s="1993" t="str">
        <f>IF(OR($O1974=$M1974,$O1974=0,$O1974=""),"","*CHECK!*")</f>
        <v/>
      </c>
      <c r="R1974" s="1823" t="s">
        <v>4765</v>
      </c>
    </row>
    <row r="1975" spans="1:24" ht="11.25" customHeight="1">
      <c r="A1975" s="1229"/>
      <c r="B1975" s="2172" t="s">
        <v>1939</v>
      </c>
      <c r="C1975" s="1945" t="s">
        <v>6888</v>
      </c>
      <c r="D1975" s="1815"/>
      <c r="E1975" s="1815"/>
      <c r="F1975" s="1815"/>
      <c r="G1975" s="1908"/>
      <c r="H1975" s="1908"/>
      <c r="I1975" s="1908"/>
      <c r="L1975" s="1732" t="str">
        <f>IF(OR($O1975=$M1975,$O1975=0,$O1975=""),"","* * Check Score! * *")</f>
        <v/>
      </c>
      <c r="M1975" s="1874">
        <v>4</v>
      </c>
      <c r="N1975" s="1969" t="s">
        <v>1939</v>
      </c>
      <c r="O1975" s="1923">
        <f>'Part IX Scoring Criteria'!O320</f>
        <v>0</v>
      </c>
      <c r="P1975" s="1923"/>
      <c r="Q1975" s="1993" t="str">
        <f>IF(OR($O1975=$M1975,$O1975=0,$O1975=""),"","*CHECK!*")</f>
        <v/>
      </c>
      <c r="R1975" s="1823" t="s">
        <v>4765</v>
      </c>
    </row>
    <row r="1976" spans="1:24" s="1815" customFormat="1" ht="11.25" customHeight="1">
      <c r="A1976" s="1732" t="s">
        <v>1936</v>
      </c>
      <c r="B1976" s="1897" t="s">
        <v>6889</v>
      </c>
      <c r="F1976" s="1843" t="s">
        <v>4623</v>
      </c>
      <c r="H1976" s="449" t="s">
        <v>2701</v>
      </c>
      <c r="I1976" s="1951"/>
      <c r="J1976" s="449" t="str">
        <f>'Part I-Project Information'!$H$105</f>
        <v>Rural</v>
      </c>
    </row>
    <row r="1977" spans="1:24" s="1815" customFormat="1" ht="11.25" customHeight="1">
      <c r="A1977" s="1732"/>
      <c r="B1977" s="1897" t="s">
        <v>6954</v>
      </c>
      <c r="H1977" s="1908"/>
      <c r="M1977" s="1896">
        <v>3</v>
      </c>
      <c r="N1977" s="1940" t="s">
        <v>1936</v>
      </c>
      <c r="O1977" s="1923">
        <f>'Part IX Scoring Criteria'!O322</f>
        <v>0</v>
      </c>
      <c r="P1977" s="1923">
        <f>'Part IX Scoring Criteria'!P322</f>
        <v>0</v>
      </c>
    </row>
    <row r="1978" spans="1:24" s="1815" customFormat="1" ht="11.25" customHeight="1">
      <c r="B1978" s="1992" t="s">
        <v>1937</v>
      </c>
      <c r="C1978" s="449" t="s">
        <v>6890</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1937</v>
      </c>
      <c r="O1978" s="1923">
        <f>'Part IX Scoring Criteria'!O323</f>
        <v>0</v>
      </c>
      <c r="P1978" s="1923"/>
      <c r="Q1978" s="1993" t="str">
        <f>IF(OR($O1978=$M1978,$O1978=0,$O1978=""),"","*CHECK!*")</f>
        <v/>
      </c>
      <c r="R1978" s="1823" t="s">
        <v>4765</v>
      </c>
    </row>
    <row r="1979" spans="1:24" ht="11.25" customHeight="1">
      <c r="A1979" s="1229"/>
      <c r="B1979" s="2172" t="s">
        <v>1939</v>
      </c>
      <c r="C1979" s="1945" t="s">
        <v>6891</v>
      </c>
      <c r="D1979" s="1815"/>
      <c r="E1979" s="1815"/>
      <c r="F1979" s="1815"/>
      <c r="G1979" s="1908"/>
      <c r="H1979" s="1908"/>
      <c r="I1979" s="1908"/>
      <c r="J1979" s="1955" t="s">
        <v>4628</v>
      </c>
      <c r="K1979" s="1815"/>
      <c r="L1979" s="1815"/>
      <c r="M1979" s="1874">
        <v>2</v>
      </c>
      <c r="N1979" s="1969" t="s">
        <v>1939</v>
      </c>
      <c r="O1979" s="1923">
        <f>'Part IX Scoring Criteria'!O324</f>
        <v>0</v>
      </c>
      <c r="P1979" s="1923"/>
      <c r="Q1979" s="1993" t="str">
        <f>IF(OR($O1979=$M1979,$O1979=0,$O1979=""),"","*CHECK!*")</f>
        <v/>
      </c>
      <c r="R1979" s="1823" t="s">
        <v>4765</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2466</v>
      </c>
      <c r="C1981" s="449" t="s">
        <v>6892</v>
      </c>
      <c r="D1981" s="1815"/>
      <c r="E1981" s="1815"/>
      <c r="F1981" s="1815"/>
      <c r="G1981" s="1908"/>
      <c r="H1981" s="1908"/>
      <c r="I1981" s="1908"/>
      <c r="K1981" s="1815"/>
      <c r="L1981" s="1815"/>
      <c r="M1981" s="1874">
        <v>3</v>
      </c>
      <c r="N1981" s="1969" t="s">
        <v>2466</v>
      </c>
      <c r="O1981" s="1923">
        <f>'Part IX Scoring Criteria'!O326</f>
        <v>0</v>
      </c>
      <c r="P1981" s="1923"/>
      <c r="Q1981" s="1993" t="str">
        <f>IF(OR($O1981=$M1981,$O1981=0,$O1981=""),"","*CHECK!*")</f>
        <v/>
      </c>
      <c r="R1981" s="1823" t="s">
        <v>4765</v>
      </c>
    </row>
    <row r="1982" spans="1:24" ht="11.25" customHeight="1">
      <c r="A1982" s="1229"/>
      <c r="B1982" s="2172" t="s">
        <v>1197</v>
      </c>
      <c r="C1982" s="1945" t="s">
        <v>6893</v>
      </c>
      <c r="D1982" s="1815"/>
      <c r="E1982" s="1815"/>
      <c r="F1982" s="1815"/>
      <c r="G1982" s="1908"/>
      <c r="H1982" s="1908"/>
      <c r="I1982" s="1908"/>
      <c r="K1982" s="1815"/>
      <c r="L1982" s="1815"/>
      <c r="M1982" s="1874">
        <v>2</v>
      </c>
      <c r="N1982" s="1969" t="s">
        <v>1197</v>
      </c>
      <c r="O1982" s="1923">
        <f>'Part IX Scoring Criteria'!O327</f>
        <v>0</v>
      </c>
      <c r="P1982" s="1923"/>
      <c r="Q1982" s="1993" t="str">
        <f>IF(OR($O1982=$M1982,$O1982=0,$O1982=""),"","*CHECK!*")</f>
        <v/>
      </c>
      <c r="R1982" s="1823" t="s">
        <v>4765</v>
      </c>
    </row>
    <row r="1983" spans="1:24" s="1951" customFormat="1" ht="10.5" customHeight="1">
      <c r="A1983" s="1815"/>
      <c r="B1983" s="449" t="s">
        <v>3564</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This criteria is not being elected by applicant.</v>
      </c>
      <c r="B1984" s="1936"/>
      <c r="C1984" s="1936"/>
      <c r="D1984" s="1936"/>
      <c r="E1984" s="1936"/>
      <c r="F1984" s="1936"/>
      <c r="G1984" s="1936"/>
      <c r="H1984" s="1936"/>
      <c r="I1984" s="1936"/>
      <c r="J1984" s="1936"/>
      <c r="K1984" s="1936"/>
      <c r="L1984" s="1936"/>
      <c r="M1984" s="1936"/>
      <c r="N1984" s="1936"/>
      <c r="O1984" s="1936"/>
      <c r="P1984" s="1936"/>
      <c r="Q1984" s="1973" t="s">
        <v>1227</v>
      </c>
    </row>
    <row r="1985" spans="1:21" s="1951" customFormat="1" ht="10.5" customHeight="1">
      <c r="B1985" s="1936" t="s">
        <v>1818</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2689</v>
      </c>
      <c r="B1988" s="1815" t="s">
        <v>2727</v>
      </c>
      <c r="D1988" s="2163"/>
      <c r="E1988" s="2163"/>
      <c r="F1988" s="2163"/>
      <c r="H1988" s="1908"/>
      <c r="J1988" s="1229"/>
      <c r="K1988" s="1897"/>
      <c r="L1988" s="1940" t="s">
        <v>4766</v>
      </c>
      <c r="M1988" s="1896">
        <v>4</v>
      </c>
      <c r="N1988" s="1896"/>
      <c r="O1988" s="1923">
        <f>'Part IX Scoring Criteria'!O333</f>
        <v>0</v>
      </c>
      <c r="P1988" s="1923">
        <f>'Part IX Scoring Criteria'!P333</f>
        <v>0</v>
      </c>
      <c r="Q1988" s="1896" t="s">
        <v>433</v>
      </c>
      <c r="T1988" s="2125"/>
      <c r="U1988" s="2125"/>
    </row>
    <row r="1989" spans="1:21" s="1947" customFormat="1" ht="11.25" customHeight="1">
      <c r="A1989" s="1904" t="s">
        <v>1934</v>
      </c>
      <c r="B1989" s="1897" t="s">
        <v>2175</v>
      </c>
      <c r="D1989" s="1908"/>
      <c r="E1989" s="1908"/>
      <c r="F1989" s="1952"/>
      <c r="G1989" s="1995"/>
      <c r="L1989" s="1732"/>
      <c r="M1989" s="1896">
        <v>3</v>
      </c>
      <c r="N1989" s="1940" t="s">
        <v>1934</v>
      </c>
      <c r="O1989" s="1923">
        <f>'Part IX Scoring Criteria'!O334</f>
        <v>0</v>
      </c>
      <c r="P1989" s="1923">
        <f>'Part IX Scoring Criteria'!P334</f>
        <v>0</v>
      </c>
      <c r="Q1989" s="1993"/>
      <c r="R1989" s="1843"/>
      <c r="T1989" s="2125"/>
      <c r="U1989" s="2125"/>
    </row>
    <row r="1990" spans="1:21" s="1947" customFormat="1" ht="11.25" customHeight="1">
      <c r="A1990" s="1904"/>
      <c r="B1990" s="1992" t="s">
        <v>1937</v>
      </c>
      <c r="C1990" s="1908" t="s">
        <v>4326</v>
      </c>
      <c r="D1990" s="1908"/>
      <c r="E1990" s="1908"/>
      <c r="F1990" s="1952"/>
      <c r="G1990" s="1995"/>
      <c r="L1990" s="1732"/>
      <c r="M1990" s="1896">
        <v>3</v>
      </c>
      <c r="N1990" s="1969" t="s">
        <v>1937</v>
      </c>
      <c r="O1990" s="1229">
        <f>'Part IX Scoring Criteria'!O335</f>
        <v>0</v>
      </c>
      <c r="P1990" s="1229"/>
      <c r="Q1990" s="1993"/>
      <c r="R1990" s="1843"/>
      <c r="T1990" s="2125"/>
      <c r="U1990" s="2125"/>
    </row>
    <row r="1991" spans="1:21" s="1947" customFormat="1" ht="11.25" customHeight="1">
      <c r="A1991" s="1904"/>
      <c r="B1991" s="2172" t="s">
        <v>1939</v>
      </c>
      <c r="C1991" s="1908" t="s">
        <v>4327</v>
      </c>
      <c r="D1991" s="1908"/>
      <c r="E1991" s="1908"/>
      <c r="F1991" s="1952"/>
      <c r="G1991" s="1995"/>
      <c r="L1991" s="1732"/>
      <c r="M1991" s="1896">
        <v>2</v>
      </c>
      <c r="N1991" s="1969" t="s">
        <v>1939</v>
      </c>
      <c r="O1991" s="1229">
        <f>'Part IX Scoring Criteria'!O336</f>
        <v>0</v>
      </c>
      <c r="P1991" s="1229"/>
      <c r="Q1991" s="1993"/>
      <c r="R1991" s="1843"/>
      <c r="T1991" s="2125"/>
      <c r="U1991" s="2125"/>
    </row>
    <row r="1992" spans="1:21" s="1947" customFormat="1" ht="10.5" customHeight="1">
      <c r="A1992" s="1904"/>
      <c r="B1992" s="2172" t="s">
        <v>2466</v>
      </c>
      <c r="C1992" s="1908" t="s">
        <v>4328</v>
      </c>
      <c r="D1992" s="1908"/>
      <c r="E1992" s="1908"/>
      <c r="F1992" s="1952"/>
      <c r="G1992" s="1995"/>
      <c r="K1992" s="1940"/>
      <c r="M1992" s="1896">
        <v>1</v>
      </c>
      <c r="N1992" s="1969" t="s">
        <v>2466</v>
      </c>
      <c r="O1992" s="1229">
        <f>'Part IX Scoring Criteria'!O337</f>
        <v>0</v>
      </c>
      <c r="P1992" s="1229"/>
      <c r="R1992" s="1955"/>
      <c r="T1992" s="2125"/>
      <c r="U1992" s="2125"/>
    </row>
    <row r="1993" spans="1:21" s="1951" customFormat="1" ht="11.25" customHeight="1">
      <c r="A1993" s="1904" t="s">
        <v>1936</v>
      </c>
      <c r="B1993" s="1897" t="s">
        <v>4576</v>
      </c>
      <c r="D1993" s="449"/>
      <c r="K1993" s="449"/>
      <c r="L1993" s="1732" t="str">
        <f>IF(OR($O1993=$M1993,$O1993=0,$O1993=""),"","* * Check Score! * *")</f>
        <v/>
      </c>
      <c r="M1993" s="1896">
        <v>1</v>
      </c>
      <c r="N1993" s="1940" t="s">
        <v>1936</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730</v>
      </c>
      <c r="B1995" s="1897" t="s">
        <v>4329</v>
      </c>
      <c r="D1995" s="449"/>
      <c r="H1995" s="1822"/>
      <c r="K1995" s="449"/>
      <c r="L1995" s="1732"/>
      <c r="M1995" s="1896">
        <v>1</v>
      </c>
      <c r="N1995" s="1940" t="s">
        <v>730</v>
      </c>
      <c r="O1995" s="1923">
        <f>'Part IX Scoring Criteria'!O340</f>
        <v>0</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f>'Part IX Scoring Criteria'!O341</f>
        <v>0</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1818</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2192</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1934</v>
      </c>
      <c r="B2002" s="1897" t="s">
        <v>3746</v>
      </c>
      <c r="C2002" s="1945"/>
      <c r="D2002" s="1945"/>
      <c r="E2002" s="449"/>
      <c r="G2002" s="1912">
        <f>'Part VIII-Threshold Criteria'!I2005</f>
        <v>0</v>
      </c>
      <c r="L2002" s="1940" t="s">
        <v>4814</v>
      </c>
      <c r="M2002" s="1229">
        <f>'Part I-Project Information'!H1753</f>
        <v>0</v>
      </c>
      <c r="N2002" s="1940" t="s">
        <v>1934</v>
      </c>
      <c r="O2002" s="1732" t="str">
        <f>'Part I-Project Information'!$H$100</f>
        <v>No</v>
      </c>
      <c r="P2002" s="1896"/>
      <c r="Q2002" s="1896"/>
      <c r="R2002" s="1843" t="s">
        <v>2624</v>
      </c>
    </row>
    <row r="2003" spans="1:18" s="1947" customFormat="1" ht="10.5" customHeight="1">
      <c r="A2003" s="1904"/>
      <c r="B2003" s="1969" t="s">
        <v>1937</v>
      </c>
      <c r="C2003" s="449" t="s">
        <v>4382</v>
      </c>
      <c r="D2003" s="1815"/>
      <c r="N2003" s="1969" t="s">
        <v>4383</v>
      </c>
      <c r="O2003" s="1229">
        <f>'Part IX Scoring Criteria'!O348</f>
        <v>0</v>
      </c>
      <c r="P2003" s="1229"/>
      <c r="R2003" s="1732"/>
    </row>
    <row r="2004" spans="1:18" s="1947" customFormat="1" ht="10.5" customHeight="1">
      <c r="A2004" s="1904"/>
      <c r="B2004" s="1969"/>
      <c r="C2004" s="449" t="s">
        <v>4739</v>
      </c>
      <c r="D2004" s="1815"/>
      <c r="N2004" s="1969" t="s">
        <v>4384</v>
      </c>
      <c r="O2004" s="1229">
        <f>'Part IX Scoring Criteria'!O349</f>
        <v>0</v>
      </c>
      <c r="P2004" s="1229"/>
      <c r="R2004" s="1732"/>
    </row>
    <row r="2005" spans="1:18" s="1947" customFormat="1" ht="10.5" customHeight="1">
      <c r="A2005" s="1904"/>
      <c r="B2005" s="1969" t="s">
        <v>1939</v>
      </c>
      <c r="C2005" s="449" t="s">
        <v>3754</v>
      </c>
      <c r="D2005" s="1815"/>
      <c r="N2005" s="1969" t="s">
        <v>1939</v>
      </c>
      <c r="O2005" s="1229">
        <f>'Part IX Scoring Criteria'!O350</f>
        <v>0</v>
      </c>
      <c r="P2005" s="1229"/>
      <c r="R2005" s="1732"/>
    </row>
    <row r="2006" spans="1:18" s="1947" customFormat="1" ht="10.5" customHeight="1">
      <c r="A2006" s="1904"/>
      <c r="B2006" s="1969" t="s">
        <v>2466</v>
      </c>
      <c r="C2006" s="449" t="s">
        <v>4385</v>
      </c>
      <c r="D2006" s="1815"/>
      <c r="N2006" s="1969" t="s">
        <v>2466</v>
      </c>
      <c r="O2006" s="1229">
        <f>'Part IX Scoring Criteria'!O351</f>
        <v>0</v>
      </c>
      <c r="P2006" s="1229"/>
      <c r="R2006" s="1732"/>
    </row>
    <row r="2007" spans="1:18" s="1947" customFormat="1" ht="10.5" customHeight="1">
      <c r="B2007" s="1969" t="s">
        <v>1197</v>
      </c>
      <c r="C2007" s="449" t="s">
        <v>4330</v>
      </c>
      <c r="D2007" s="1815"/>
      <c r="N2007" s="1969" t="s">
        <v>1197</v>
      </c>
      <c r="O2007" s="1229">
        <f>'Part IX Scoring Criteria'!O352</f>
        <v>0</v>
      </c>
      <c r="P2007" s="1229"/>
      <c r="R2007" s="1732"/>
    </row>
    <row r="2008" spans="1:18" s="1947" customFormat="1" ht="10.5" customHeight="1">
      <c r="A2008" s="1904"/>
      <c r="B2008" s="1969" t="s">
        <v>1198</v>
      </c>
      <c r="C2008" s="449" t="s">
        <v>4331</v>
      </c>
      <c r="D2008" s="1815"/>
      <c r="N2008" s="1969" t="s">
        <v>1198</v>
      </c>
      <c r="O2008" s="1229">
        <f>'Part IX Scoring Criteria'!O353</f>
        <v>0</v>
      </c>
      <c r="P2008" s="1229"/>
      <c r="R2008" s="1732"/>
    </row>
    <row r="2009" spans="1:18" s="1947" customFormat="1" ht="10.5" customHeight="1">
      <c r="A2009" s="1904"/>
      <c r="B2009" s="1969" t="s">
        <v>1832</v>
      </c>
      <c r="C2009" s="449" t="s">
        <v>3755</v>
      </c>
      <c r="D2009" s="1815"/>
      <c r="N2009" s="1969" t="s">
        <v>1832</v>
      </c>
      <c r="O2009" s="1229">
        <f>'Part IX Scoring Criteria'!O354</f>
        <v>0</v>
      </c>
      <c r="P2009" s="1229"/>
      <c r="R2009" s="1732"/>
    </row>
    <row r="2010" spans="1:18" s="1951" customFormat="1" ht="12" customHeight="1">
      <c r="A2010" s="1904" t="s">
        <v>1936</v>
      </c>
      <c r="B2010" s="1897" t="s">
        <v>3747</v>
      </c>
      <c r="C2010" s="1945"/>
      <c r="D2010" s="1945"/>
      <c r="E2010" s="449"/>
      <c r="G2010" s="1912">
        <f>'Part I-Project Information'!D1817</f>
        <v>0</v>
      </c>
      <c r="I2010" s="1912"/>
      <c r="L2010" s="1817"/>
      <c r="M2010" s="1817"/>
      <c r="N2010" s="1940" t="s">
        <v>1936</v>
      </c>
      <c r="P2010" s="1896"/>
      <c r="Q2010" s="1896"/>
      <c r="R2010" s="1843" t="s">
        <v>2624</v>
      </c>
    </row>
    <row r="2011" spans="1:18" s="1947" customFormat="1" ht="10.5" customHeight="1">
      <c r="A2011" s="1931"/>
      <c r="B2011" s="1969" t="s">
        <v>1937</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4767</v>
      </c>
      <c r="D2012" s="1815"/>
      <c r="N2012" s="1969" t="s">
        <v>4384</v>
      </c>
      <c r="O2012" s="1229">
        <f>'Part IX Scoring Criteria'!O357</f>
        <v>0</v>
      </c>
      <c r="P2012" s="1229"/>
      <c r="R2012" s="1732"/>
    </row>
    <row r="2013" spans="1:18" s="1947" customFormat="1" ht="10.5" customHeight="1">
      <c r="A2013" s="1904"/>
      <c r="B2013" s="1969" t="s">
        <v>1939</v>
      </c>
      <c r="C2013" s="449" t="s">
        <v>3766</v>
      </c>
      <c r="D2013" s="1815"/>
      <c r="N2013" s="1969" t="s">
        <v>1939</v>
      </c>
      <c r="O2013" s="1229">
        <f>'Part IX Scoring Criteria'!O358</f>
        <v>0</v>
      </c>
      <c r="P2013" s="1229"/>
      <c r="R2013" s="1732"/>
    </row>
    <row r="2014" spans="1:18" s="1947" customFormat="1" ht="10.5" customHeight="1">
      <c r="B2014" s="1969" t="s">
        <v>2466</v>
      </c>
      <c r="C2014" s="449" t="s">
        <v>3755</v>
      </c>
      <c r="D2014" s="1815"/>
      <c r="N2014" s="1969" t="s">
        <v>2466</v>
      </c>
      <c r="O2014" s="1229">
        <f>'Part IX Scoring Criteria'!O359</f>
        <v>0</v>
      </c>
      <c r="P2014" s="1229"/>
      <c r="R2014" s="1732"/>
    </row>
    <row r="2015" spans="1:18" s="1951" customFormat="1" ht="10.5" customHeight="1">
      <c r="B2015" s="1936" t="s">
        <v>1818</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1630</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3451</v>
      </c>
      <c r="D2020" s="1945"/>
      <c r="E2020" s="1945"/>
      <c r="G2020" s="449"/>
      <c r="I2020" s="449" t="str">
        <f>'Part IX Scoring Criteria'!I365</f>
        <v>Enter GICH Community Name</v>
      </c>
      <c r="J2020" s="449"/>
      <c r="K2020" s="449"/>
      <c r="L2020" s="449"/>
      <c r="M2020" s="1896"/>
      <c r="N2020" s="1896"/>
      <c r="O2020" s="1817" t="s">
        <v>2442</v>
      </c>
      <c r="P2020" s="1817" t="s">
        <v>2442</v>
      </c>
      <c r="Q2020" s="1993"/>
      <c r="R2020" s="1844"/>
      <c r="S2020" s="1844"/>
    </row>
    <row r="2021" spans="1:19" s="1951" customFormat="1" ht="11.25" customHeight="1">
      <c r="A2021" s="1904"/>
      <c r="B2021" s="1969" t="s">
        <v>1937</v>
      </c>
      <c r="C2021" s="1945" t="s">
        <v>6801</v>
      </c>
      <c r="D2021" s="1945"/>
      <c r="E2021" s="1945" t="s">
        <v>4345</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1325</v>
      </c>
      <c r="E2022" s="449" t="s">
        <v>6957</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1939</v>
      </c>
      <c r="C2023" s="1908" t="s">
        <v>6958</v>
      </c>
      <c r="D2023" s="1947"/>
      <c r="E2023" s="1945"/>
      <c r="F2023" s="449"/>
      <c r="G2023" s="449"/>
      <c r="N2023" s="1940"/>
      <c r="O2023" s="1817" t="s">
        <v>2442</v>
      </c>
      <c r="P2023" s="1817" t="s">
        <v>2442</v>
      </c>
    </row>
    <row r="2024" spans="1:19" s="449" customFormat="1" ht="10.5" customHeight="1">
      <c r="B2024" s="1940" t="s">
        <v>2370</v>
      </c>
      <c r="C2024" s="1908" t="s">
        <v>3748</v>
      </c>
      <c r="N2024" s="1940" t="s">
        <v>2370</v>
      </c>
      <c r="O2024" s="1229">
        <f>'Part IX Scoring Criteria'!O369</f>
        <v>0</v>
      </c>
      <c r="P2024" s="1229"/>
    </row>
    <row r="2025" spans="1:19" s="449" customFormat="1" ht="10.5" customHeight="1">
      <c r="B2025" s="1942" t="s">
        <v>2371</v>
      </c>
      <c r="C2025" s="1908" t="s">
        <v>3749</v>
      </c>
      <c r="N2025" s="1942" t="s">
        <v>2371</v>
      </c>
      <c r="O2025" s="1229">
        <f>'Part IX Scoring Criteria'!O370</f>
        <v>0</v>
      </c>
      <c r="P2025" s="1229"/>
    </row>
    <row r="2026" spans="1:19" s="449" customFormat="1" ht="10.5" customHeight="1">
      <c r="B2026" s="1940" t="s">
        <v>2372</v>
      </c>
      <c r="C2026" s="1908" t="s">
        <v>4578</v>
      </c>
      <c r="N2026" s="1940" t="s">
        <v>2372</v>
      </c>
      <c r="O2026" s="1229">
        <f>'Part IX Scoring Criteria'!O371</f>
        <v>0</v>
      </c>
      <c r="P2026" s="1229"/>
    </row>
    <row r="2027" spans="1:19" s="1945" customFormat="1" ht="11.25" customHeight="1">
      <c r="B2027" s="1911" t="s">
        <v>3452</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3564</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This criteria is not being elected by applicant.</v>
      </c>
      <c r="B2030" s="1936"/>
      <c r="C2030" s="1936"/>
      <c r="D2030" s="1936"/>
      <c r="E2030" s="1936"/>
      <c r="F2030" s="1936"/>
      <c r="G2030" s="1936"/>
      <c r="H2030" s="1936"/>
      <c r="I2030" s="1936"/>
      <c r="J2030" s="1936"/>
      <c r="K2030" s="1936"/>
      <c r="L2030" s="1936"/>
      <c r="M2030" s="1936"/>
      <c r="N2030" s="1936"/>
      <c r="O2030" s="1936"/>
      <c r="P2030" s="1936"/>
      <c r="Q2030" s="1973" t="s">
        <v>1227</v>
      </c>
    </row>
    <row r="2031" spans="1:19" s="1947" customFormat="1" ht="10.5" customHeight="1">
      <c r="A2031" s="1815"/>
      <c r="B2031" s="449" t="s">
        <v>1818</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2442</v>
      </c>
      <c r="P2035" s="1229" t="s">
        <v>2442</v>
      </c>
    </row>
    <row r="2036" spans="1:20" s="1945" customFormat="1" ht="12.75" customHeight="1">
      <c r="B2036" s="1940" t="s">
        <v>2370</v>
      </c>
      <c r="C2036" s="449" t="s">
        <v>2728</v>
      </c>
      <c r="F2036" s="449"/>
      <c r="G2036" s="449"/>
      <c r="H2036" s="449"/>
      <c r="I2036" s="449"/>
      <c r="J2036" s="1951"/>
      <c r="K2036" s="1229"/>
      <c r="L2036" s="1936" t="str">
        <f>IF(OR(O2036="No",O2036="",O2037="No",O2037="",O2038="No",O2038="",O2039="No",O2039=""),"Unmet criterion results in no points!","")</f>
        <v/>
      </c>
      <c r="M2036" s="1936"/>
      <c r="N2036" s="1940" t="s">
        <v>2370</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2371</v>
      </c>
      <c r="C2037" s="449" t="s">
        <v>3612</v>
      </c>
      <c r="L2037" s="1936"/>
      <c r="M2037" s="1936"/>
      <c r="N2037" s="1940" t="s">
        <v>2371</v>
      </c>
      <c r="O2037" s="1229">
        <f>'Part IX Scoring Criteria'!O382</f>
        <v>0</v>
      </c>
      <c r="P2037" s="1229"/>
      <c r="R2037" s="1936"/>
      <c r="S2037" s="1936"/>
    </row>
    <row r="2038" spans="1:20" s="1945" customFormat="1" ht="12.75" customHeight="1">
      <c r="B2038" s="1940" t="s">
        <v>2372</v>
      </c>
      <c r="C2038" s="449" t="s">
        <v>3611</v>
      </c>
      <c r="L2038" s="1936"/>
      <c r="M2038" s="1936"/>
      <c r="N2038" s="1940" t="s">
        <v>2372</v>
      </c>
      <c r="O2038" s="1229">
        <f>'Part IX Scoring Criteria'!O383</f>
        <v>0</v>
      </c>
      <c r="P2038" s="1229"/>
      <c r="R2038" s="1936"/>
      <c r="S2038" s="1936"/>
    </row>
    <row r="2039" spans="1:20" s="1945" customFormat="1" ht="33.75" customHeight="1">
      <c r="B2039" s="1942" t="s">
        <v>2373</v>
      </c>
      <c r="C2039" s="1936" t="s">
        <v>4332</v>
      </c>
      <c r="D2039" s="1936"/>
      <c r="E2039" s="1936"/>
      <c r="F2039" s="1936"/>
      <c r="G2039" s="1936"/>
      <c r="H2039" s="1936"/>
      <c r="I2039" s="1936"/>
      <c r="J2039" s="1936"/>
      <c r="K2039" s="1936"/>
      <c r="L2039" s="1936"/>
      <c r="M2039" s="1936"/>
      <c r="N2039" s="1942" t="s">
        <v>2373</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1934</v>
      </c>
      <c r="B2041" s="1897" t="s">
        <v>3752</v>
      </c>
      <c r="L2041" s="1732" t="str">
        <f>IF(O2041&lt;=M2041,"","* * Check Score! * *")</f>
        <v/>
      </c>
      <c r="M2041" s="1732">
        <v>3</v>
      </c>
      <c r="N2041" s="1940" t="s">
        <v>1934</v>
      </c>
      <c r="O2041" s="1923">
        <f>'Part IX Scoring Criteria'!O386</f>
        <v>0</v>
      </c>
      <c r="P2041" s="1923"/>
      <c r="Q2041" s="1993" t="str">
        <f>IF(O2041&lt;=M2041,"","*CHECK!*")</f>
        <v/>
      </c>
      <c r="R2041" s="1819" t="s">
        <v>4765</v>
      </c>
      <c r="S2041" s="1819"/>
      <c r="T2041" s="1844"/>
    </row>
    <row r="2042" spans="1:20" ht="12.75" customHeight="1">
      <c r="A2042" s="2180"/>
      <c r="B2042" s="2172" t="s">
        <v>1937</v>
      </c>
      <c r="C2042" s="1936" t="s">
        <v>4335</v>
      </c>
      <c r="D2042" s="1936"/>
      <c r="E2042" s="1936"/>
      <c r="F2042" s="1936"/>
      <c r="G2042" s="1936"/>
      <c r="H2042" s="1936"/>
      <c r="I2042" s="1936"/>
      <c r="R2042" s="1819"/>
      <c r="S2042" s="1819"/>
      <c r="T2042" s="1844"/>
    </row>
    <row r="2043" spans="1:20" ht="12.75" customHeight="1">
      <c r="A2043" s="2180"/>
      <c r="B2043" s="1968"/>
      <c r="C2043" s="1936" t="s">
        <v>4334</v>
      </c>
      <c r="D2043" s="1936"/>
      <c r="E2043" s="1936"/>
      <c r="F2043" s="1936"/>
      <c r="G2043" s="1936"/>
      <c r="H2043" s="1936"/>
      <c r="I2043" s="1936"/>
      <c r="J2043" s="1945" t="s">
        <v>1941</v>
      </c>
      <c r="K2043" s="1945"/>
      <c r="M2043" s="1945" t="s">
        <v>1941</v>
      </c>
      <c r="N2043" s="1945"/>
      <c r="O2043" s="1945"/>
      <c r="P2043" s="1945"/>
      <c r="R2043" s="1819"/>
      <c r="S2043" s="1819"/>
      <c r="T2043" s="1844"/>
    </row>
    <row r="2044" spans="1:20" s="1951" customFormat="1" ht="12.75" customHeight="1">
      <c r="A2044" s="1948"/>
      <c r="B2044" s="1940" t="s">
        <v>2370</v>
      </c>
      <c r="C2044" s="449" t="s">
        <v>1450</v>
      </c>
      <c r="I2044" s="1940" t="s">
        <v>2370</v>
      </c>
      <c r="J2044" s="1917">
        <f>'Part IX Scoring Criteria'!J389</f>
        <v>0</v>
      </c>
      <c r="K2044" s="1917">
        <f>'Part IX Scoring Criteria'!K389</f>
        <v>0</v>
      </c>
      <c r="L2044" s="1940" t="s">
        <v>2370</v>
      </c>
      <c r="M2044" s="1917"/>
      <c r="N2044" s="1917"/>
      <c r="O2044" s="1917"/>
      <c r="P2044" s="1917"/>
      <c r="R2044" s="1732"/>
    </row>
    <row r="2045" spans="1:20" ht="12.75" customHeight="1">
      <c r="A2045" s="1930"/>
      <c r="B2045" s="1942" t="s">
        <v>2371</v>
      </c>
      <c r="C2045" s="449" t="s">
        <v>3454</v>
      </c>
      <c r="I2045" s="1942" t="s">
        <v>2371</v>
      </c>
      <c r="J2045" s="1917">
        <f>'Part IX Scoring Criteria'!J390</f>
        <v>0</v>
      </c>
      <c r="K2045" s="1917">
        <f>'Part IX Scoring Criteria'!K390</f>
        <v>0</v>
      </c>
      <c r="L2045" s="1942" t="s">
        <v>2371</v>
      </c>
      <c r="M2045" s="1917"/>
      <c r="N2045" s="1917"/>
      <c r="O2045" s="1917"/>
      <c r="P2045" s="1917"/>
      <c r="R2045" s="1732"/>
    </row>
    <row r="2046" spans="1:20" ht="12.75" customHeight="1">
      <c r="B2046" s="1940" t="s">
        <v>2372</v>
      </c>
      <c r="C2046" s="449" t="s">
        <v>4579</v>
      </c>
      <c r="I2046" s="1940" t="s">
        <v>2372</v>
      </c>
      <c r="J2046" s="1917">
        <f>'Part IX Scoring Criteria'!J391</f>
        <v>0</v>
      </c>
      <c r="K2046" s="1917">
        <f>'Part IX Scoring Criteria'!K391</f>
        <v>0</v>
      </c>
      <c r="L2046" s="1940" t="s">
        <v>2372</v>
      </c>
      <c r="M2046" s="1917"/>
      <c r="N2046" s="1917"/>
      <c r="O2046" s="1917"/>
      <c r="P2046" s="1917"/>
      <c r="R2046" s="1732"/>
    </row>
    <row r="2047" spans="1:20" ht="12.75" customHeight="1">
      <c r="A2047" s="1930"/>
      <c r="B2047" s="1940" t="s">
        <v>2373</v>
      </c>
      <c r="C2047" s="449" t="s">
        <v>3342</v>
      </c>
      <c r="I2047" s="1940" t="s">
        <v>2373</v>
      </c>
      <c r="J2047" s="1917">
        <f>'Part IX Scoring Criteria'!J392</f>
        <v>0</v>
      </c>
      <c r="K2047" s="1917">
        <f>'Part IX Scoring Criteria'!K392</f>
        <v>0</v>
      </c>
      <c r="L2047" s="1940" t="s">
        <v>2373</v>
      </c>
      <c r="M2047" s="1917"/>
      <c r="N2047" s="1917"/>
      <c r="O2047" s="1917"/>
      <c r="P2047" s="1917"/>
      <c r="R2047" s="1732"/>
    </row>
    <row r="2048" spans="1:20" s="1951" customFormat="1" ht="12.75" customHeight="1">
      <c r="A2048" s="1948"/>
      <c r="B2048" s="1942" t="s">
        <v>2374</v>
      </c>
      <c r="C2048" s="449" t="s">
        <v>2645</v>
      </c>
      <c r="I2048" s="1942" t="s">
        <v>2374</v>
      </c>
      <c r="J2048" s="1917">
        <f>'Part IX Scoring Criteria'!J393</f>
        <v>0</v>
      </c>
      <c r="K2048" s="1917">
        <f>'Part IX Scoring Criteria'!K393</f>
        <v>0</v>
      </c>
      <c r="L2048" s="1942" t="s">
        <v>2374</v>
      </c>
      <c r="M2048" s="1917"/>
      <c r="N2048" s="1917"/>
      <c r="O2048" s="1917"/>
      <c r="P2048" s="1917"/>
      <c r="R2048" s="1732"/>
    </row>
    <row r="2049" spans="1:23" ht="12.75" customHeight="1">
      <c r="B2049" s="1940" t="s">
        <v>2390</v>
      </c>
      <c r="C2049" s="449" t="s">
        <v>1449</v>
      </c>
      <c r="I2049" s="1940" t="s">
        <v>2390</v>
      </c>
      <c r="J2049" s="1917">
        <f>'Part IX Scoring Criteria'!J394</f>
        <v>0</v>
      </c>
      <c r="K2049" s="1917">
        <f>'Part IX Scoring Criteria'!K394</f>
        <v>0</v>
      </c>
      <c r="L2049" s="1940" t="s">
        <v>2390</v>
      </c>
      <c r="M2049" s="1917"/>
      <c r="N2049" s="1917"/>
      <c r="O2049" s="1917"/>
      <c r="P2049" s="1917"/>
      <c r="R2049" s="1732"/>
    </row>
    <row r="2050" spans="1:23" ht="12.75" customHeight="1">
      <c r="A2050" s="1930"/>
      <c r="B2050" s="1940" t="s">
        <v>2391</v>
      </c>
      <c r="C2050" s="449" t="s">
        <v>3453</v>
      </c>
      <c r="I2050" s="1940" t="s">
        <v>2391</v>
      </c>
      <c r="J2050" s="1917">
        <f>'Part IX Scoring Criteria'!J395</f>
        <v>0</v>
      </c>
      <c r="K2050" s="1917">
        <f>'Part IX Scoring Criteria'!K395</f>
        <v>0</v>
      </c>
      <c r="L2050" s="1940" t="s">
        <v>2391</v>
      </c>
      <c r="M2050" s="1917"/>
      <c r="N2050" s="1917"/>
      <c r="O2050" s="1917"/>
      <c r="P2050" s="1917"/>
      <c r="R2050" s="1732"/>
    </row>
    <row r="2051" spans="1:23" ht="12.75" customHeight="1">
      <c r="B2051" s="1940" t="s">
        <v>2392</v>
      </c>
      <c r="C2051" s="449" t="s">
        <v>6812</v>
      </c>
      <c r="I2051" s="1940" t="s">
        <v>2392</v>
      </c>
      <c r="J2051" s="1917">
        <f>'Part IX Scoring Criteria'!J396</f>
        <v>0</v>
      </c>
      <c r="K2051" s="1917">
        <f>'Part IX Scoring Criteria'!K396</f>
        <v>0</v>
      </c>
      <c r="L2051" s="1940" t="s">
        <v>2392</v>
      </c>
      <c r="M2051" s="1917"/>
      <c r="N2051" s="1917"/>
      <c r="O2051" s="1917"/>
      <c r="P2051" s="1917"/>
      <c r="R2051" s="1732"/>
    </row>
    <row r="2052" spans="1:23" ht="12.75" customHeight="1">
      <c r="B2052" s="1940" t="s">
        <v>2393</v>
      </c>
      <c r="C2052" s="449" t="s">
        <v>4337</v>
      </c>
      <c r="I2052" s="1940" t="s">
        <v>2393</v>
      </c>
      <c r="J2052" s="1917">
        <f>'Part IX Scoring Criteria'!J397</f>
        <v>0</v>
      </c>
      <c r="K2052" s="1917">
        <f>'Part IX Scoring Criteria'!K397</f>
        <v>0</v>
      </c>
      <c r="L2052" s="1940" t="s">
        <v>2393</v>
      </c>
      <c r="M2052" s="1917"/>
      <c r="N2052" s="1917"/>
      <c r="O2052" s="1917"/>
      <c r="P2052" s="1917"/>
      <c r="R2052" s="1732"/>
    </row>
    <row r="2053" spans="1:23" ht="12.75" customHeight="1">
      <c r="B2053" s="1940" t="s">
        <v>3455</v>
      </c>
      <c r="C2053" s="449" t="s">
        <v>4338</v>
      </c>
      <c r="I2053" s="1940" t="s">
        <v>3455</v>
      </c>
      <c r="J2053" s="1917">
        <f>'Part IX Scoring Criteria'!J398</f>
        <v>0</v>
      </c>
      <c r="K2053" s="1917">
        <f>'Part IX Scoring Criteria'!K398</f>
        <v>0</v>
      </c>
      <c r="L2053" s="1940" t="s">
        <v>3455</v>
      </c>
      <c r="M2053" s="1917"/>
      <c r="N2053" s="1917"/>
      <c r="O2053" s="1917"/>
      <c r="P2053" s="1917"/>
      <c r="R2053" s="1732"/>
    </row>
    <row r="2054" spans="1:23" ht="12.75" customHeight="1">
      <c r="B2054" s="1990" t="s">
        <v>6894</v>
      </c>
      <c r="H2054" s="1908" t="s">
        <v>2557</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1939</v>
      </c>
      <c r="C2056" s="1918" t="s">
        <v>2556</v>
      </c>
      <c r="M2056" s="1819"/>
      <c r="N2056" s="1819"/>
      <c r="P2056" s="1819"/>
    </row>
    <row r="2057" spans="1:23" s="1951" customFormat="1" ht="12" customHeight="1">
      <c r="A2057" s="1815"/>
      <c r="C2057" s="1822" t="s">
        <v>6915</v>
      </c>
      <c r="D2057" s="1822"/>
      <c r="E2057" s="1822"/>
      <c r="F2057" s="1908" t="s">
        <v>4371</v>
      </c>
      <c r="H2057" s="1995"/>
      <c r="I2057" s="1926">
        <f>'Part IX Scoring Criteria'!I402</f>
        <v>0</v>
      </c>
      <c r="J2057" s="1917">
        <f>'Part IV-A-Uses of Funds'!$G$132</f>
        <v>5691701.1975492882</v>
      </c>
      <c r="K2057" s="1917"/>
      <c r="L2057" s="1822"/>
      <c r="M2057" s="1819"/>
      <c r="N2057" s="1819"/>
      <c r="O2057" s="2181"/>
      <c r="P2057" s="1819"/>
    </row>
    <row r="2058" spans="1:23" ht="12.75" customHeight="1">
      <c r="C2058" s="1822"/>
      <c r="D2058" s="1822"/>
      <c r="E2058" s="1822"/>
      <c r="F2058" s="1944" t="s">
        <v>4370</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1936</v>
      </c>
      <c r="B2061" s="1911" t="s">
        <v>3456</v>
      </c>
      <c r="D2061" s="449"/>
      <c r="E2061" s="449"/>
      <c r="F2061" s="1896"/>
      <c r="H2061" s="449"/>
      <c r="I2061" s="1896"/>
      <c r="J2061" s="1908"/>
      <c r="K2061" s="1908"/>
      <c r="L2061" s="1732" t="str">
        <f>IF(OR($O2061=$M2061,$O2061=0,$O2061=""),"","* * Check Score! * *")</f>
        <v/>
      </c>
      <c r="M2061" s="1732">
        <v>1</v>
      </c>
      <c r="N2061" s="1940" t="s">
        <v>1936</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2370</v>
      </c>
      <c r="C2062" s="1936" t="s">
        <v>3753</v>
      </c>
      <c r="D2062" s="1936"/>
      <c r="E2062" s="1936"/>
      <c r="F2062" s="1936"/>
      <c r="G2062" s="1936"/>
      <c r="H2062" s="1936"/>
      <c r="I2062" s="1936"/>
      <c r="J2062" s="1936"/>
      <c r="K2062" s="1936"/>
      <c r="L2062" s="1936"/>
      <c r="M2062" s="1936"/>
      <c r="N2062" s="1942" t="s">
        <v>2370</v>
      </c>
      <c r="O2062" s="1938">
        <f>'Part IX Scoring Criteria'!O407</f>
        <v>0</v>
      </c>
      <c r="P2062" s="1938"/>
      <c r="V2062" s="2125"/>
      <c r="W2062" s="2125"/>
    </row>
    <row r="2063" spans="1:23" s="1951" customFormat="1" ht="12.75" customHeight="1">
      <c r="A2063" s="1904"/>
      <c r="B2063" s="1940" t="s">
        <v>2371</v>
      </c>
      <c r="C2063" s="449" t="s">
        <v>3604</v>
      </c>
      <c r="D2063" s="449"/>
      <c r="E2063" s="449"/>
      <c r="F2063" s="449"/>
      <c r="G2063" s="449"/>
      <c r="H2063" s="449"/>
      <c r="I2063" s="449"/>
      <c r="J2063" s="449"/>
      <c r="K2063" s="449"/>
      <c r="M2063" s="449"/>
      <c r="N2063" s="1942" t="s">
        <v>2371</v>
      </c>
      <c r="O2063" s="1229">
        <f>'Part IX Scoring Criteria'!O408</f>
        <v>0</v>
      </c>
      <c r="P2063" s="1229"/>
      <c r="V2063" s="2125"/>
      <c r="W2063" s="2125"/>
    </row>
    <row r="2064" spans="1:23" ht="12.75" customHeight="1">
      <c r="B2064" s="1940" t="s">
        <v>2372</v>
      </c>
      <c r="C2064" s="1945" t="s">
        <v>4340</v>
      </c>
      <c r="N2064" s="1940" t="s">
        <v>2372</v>
      </c>
      <c r="O2064" s="1229">
        <f>'Part IX Scoring Criteria'!O409</f>
        <v>0</v>
      </c>
      <c r="P2064" s="1229"/>
    </row>
    <row r="2065" spans="1:19" ht="12" customHeight="1">
      <c r="B2065" s="449" t="s">
        <v>3564</v>
      </c>
      <c r="N2065" s="1874"/>
      <c r="O2065" s="1874"/>
      <c r="P2065" s="1874"/>
    </row>
    <row r="2066" spans="1:19" s="1951" customFormat="1" ht="21.75" customHeight="1">
      <c r="A2066" s="1936" t="str">
        <f>'Part IX Scoring Criteria'!A411</f>
        <v>This criteria is not being elected by applicant.</v>
      </c>
      <c r="B2066" s="1936"/>
      <c r="C2066" s="1936"/>
      <c r="D2066" s="1936"/>
      <c r="E2066" s="1936"/>
      <c r="F2066" s="1936"/>
      <c r="G2066" s="1936"/>
      <c r="H2066" s="1936"/>
      <c r="I2066" s="1936"/>
      <c r="J2066" s="1936"/>
      <c r="K2066" s="1936"/>
      <c r="L2066" s="1936"/>
      <c r="M2066" s="1936"/>
      <c r="N2066" s="1936"/>
      <c r="O2066" s="1936"/>
      <c r="P2066" s="1936"/>
      <c r="Q2066" s="1973" t="s">
        <v>1227</v>
      </c>
    </row>
    <row r="2067" spans="1:19" s="1947" customFormat="1" ht="11.25" customHeight="1">
      <c r="A2067" s="1815"/>
      <c r="B2067" s="1822" t="s">
        <v>1818</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2638</v>
      </c>
      <c r="D2070" s="1908"/>
      <c r="G2070" s="1908" t="s">
        <v>3278</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3343</v>
      </c>
      <c r="D2072" s="449" t="str">
        <f>'Part IX Scoring Criteria'!D417</f>
        <v>&lt;Select applicable status&gt;</v>
      </c>
      <c r="E2072" s="449"/>
      <c r="F2072" s="449"/>
      <c r="G2072" s="449"/>
      <c r="H2072" s="449"/>
      <c r="I2072" s="449"/>
      <c r="J2072" s="1936" t="s">
        <v>2731</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1934</v>
      </c>
      <c r="B2074" s="449" t="s">
        <v>4580</v>
      </c>
      <c r="C2074" s="1936"/>
      <c r="D2074" s="1936"/>
      <c r="E2074" s="1936"/>
      <c r="F2074" s="1936"/>
      <c r="G2074" s="1936"/>
      <c r="H2074" s="1936"/>
      <c r="I2074" s="1936"/>
      <c r="M2074" s="1967">
        <v>2</v>
      </c>
      <c r="N2074" s="1942" t="s">
        <v>1934</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2729</v>
      </c>
      <c r="N2077" s="1967"/>
      <c r="O2077" s="2127">
        <f>'Part VI-Revenues &amp; Expenses'!$P$67</f>
        <v>40</v>
      </c>
      <c r="P2077" s="2127"/>
      <c r="Q2077" s="1822"/>
    </row>
    <row r="2078" spans="1:19" s="1950" customFormat="1" ht="12" customHeight="1">
      <c r="B2078" s="449"/>
      <c r="C2078" s="449"/>
      <c r="D2078" s="449"/>
      <c r="E2078" s="449"/>
      <c r="F2078" s="449"/>
      <c r="G2078" s="449"/>
      <c r="H2078" s="449"/>
      <c r="I2078" s="449"/>
      <c r="J2078" s="449"/>
      <c r="K2078" s="449"/>
      <c r="L2078" s="449"/>
      <c r="M2078" s="1843" t="s">
        <v>2730</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1227</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4581</v>
      </c>
      <c r="C2081" s="1936"/>
      <c r="H2081" s="1936"/>
      <c r="M2081" s="1967">
        <v>2</v>
      </c>
      <c r="N2081" s="1942" t="s">
        <v>1936</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4342</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2729</v>
      </c>
      <c r="N2083" s="1967"/>
      <c r="O2083" s="2127">
        <f>'Part VI-Revenues &amp; Expenses'!$P$67</f>
        <v>40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2730</v>
      </c>
      <c r="N2084" s="1967"/>
      <c r="O2084" s="2183">
        <f>IF(O2083=0,0,L2070/O2083)</f>
        <v>0</v>
      </c>
      <c r="P2084" s="2183"/>
      <c r="Q2084" s="1822"/>
    </row>
    <row r="2085" spans="1:18" s="1951" customFormat="1" ht="11.25" customHeight="1">
      <c r="A2085" s="1815"/>
      <c r="B2085" s="449" t="s">
        <v>3564</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This criteria is not being elected by applicant.</v>
      </c>
      <c r="B2086" s="1936"/>
      <c r="C2086" s="1936"/>
      <c r="D2086" s="1936"/>
      <c r="E2086" s="1936"/>
      <c r="F2086" s="1936"/>
      <c r="G2086" s="1936"/>
      <c r="H2086" s="1936"/>
      <c r="I2086" s="1936"/>
      <c r="J2086" s="1936"/>
      <c r="K2086" s="1936"/>
      <c r="L2086" s="1936"/>
      <c r="M2086" s="1936"/>
      <c r="N2086" s="1936"/>
      <c r="O2086" s="1936"/>
      <c r="P2086" s="1936"/>
      <c r="Q2086" s="1973" t="s">
        <v>1227</v>
      </c>
      <c r="R2086" s="1973"/>
    </row>
    <row r="2087" spans="1:18" s="1951" customFormat="1" ht="10.5" customHeight="1">
      <c r="B2087" s="1936" t="s">
        <v>1818</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3481</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3482</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3483</v>
      </c>
      <c r="D2094" s="449"/>
      <c r="E2094" s="449"/>
      <c r="F2094" s="449"/>
      <c r="G2094" s="449"/>
      <c r="I2094" s="449"/>
      <c r="J2094" s="449"/>
      <c r="K2094" s="449"/>
      <c r="L2094" s="1732"/>
      <c r="M2094" s="1896"/>
      <c r="N2094" s="1896"/>
      <c r="O2094" s="1923">
        <f>'Part IX Scoring Criteria'!O439</f>
        <v>5</v>
      </c>
      <c r="P2094" s="1923"/>
      <c r="Q2094" s="1896"/>
    </row>
    <row r="2095" spans="1:18" s="1947" customFormat="1" ht="10.5" customHeight="1">
      <c r="A2095" s="449"/>
      <c r="B2095" s="449" t="s">
        <v>1818</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1227</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20</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3508</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None at this time.</v>
      </c>
      <c r="B2104" s="1936"/>
      <c r="C2104" s="1936"/>
      <c r="D2104" s="1936"/>
      <c r="E2104" s="1936"/>
      <c r="F2104" s="1936"/>
      <c r="G2104" s="1936"/>
      <c r="H2104" s="1936"/>
      <c r="I2104" s="1936"/>
      <c r="J2104" s="1936"/>
      <c r="K2104" s="1936"/>
      <c r="L2104" s="1936"/>
      <c r="M2104" s="1936"/>
      <c r="N2104" s="1936"/>
      <c r="O2104" s="1936"/>
      <c r="P2104" s="1936"/>
      <c r="Q2104" s="1973" t="s">
        <v>1227</v>
      </c>
      <c r="R2104" s="1973"/>
    </row>
  </sheetData>
  <sheetProtection algorithmName="SHA-512" hashValue="cZys4T5yOstcTByf68l+cXr4Qjb306b3uMfSvtfc82dtaYV+WAlZ2vglCYdiHjGBk+0f1HIK6t7oNxeyjSAiVQ==" saltValue="/KISTJSME4nWgz6xbxg9h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2" zoomScale="140" zoomScaleNormal="14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2020-050 Twin Oaks Commons, Ludowici, Long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597</v>
      </c>
      <c r="B3" s="298" t="s">
        <v>1810</v>
      </c>
      <c r="C3" s="298"/>
      <c r="E3" s="298"/>
      <c r="F3" s="298"/>
      <c r="G3" s="298"/>
      <c r="H3" s="1194" t="s">
        <v>3891</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1934</v>
      </c>
      <c r="C5" s="298" t="s">
        <v>1806</v>
      </c>
      <c r="H5" s="3637" t="s">
        <v>7061</v>
      </c>
      <c r="I5" s="3638"/>
      <c r="J5" s="3638"/>
      <c r="K5" s="3638"/>
      <c r="L5" s="3638"/>
      <c r="M5" s="3638"/>
      <c r="N5" s="3639"/>
      <c r="O5" s="2347" t="s">
        <v>1940</v>
      </c>
      <c r="P5" s="2347"/>
      <c r="Q5" s="3637" t="s">
        <v>6989</v>
      </c>
      <c r="R5" s="3638"/>
      <c r="S5" s="3639"/>
      <c r="Y5" s="1016"/>
      <c r="Z5" s="1017"/>
      <c r="AA5" s="2352"/>
    </row>
    <row r="6" spans="1:27" s="293" customFormat="1" ht="11.25" customHeight="1">
      <c r="D6" s="331"/>
      <c r="E6" s="2344" t="s">
        <v>998</v>
      </c>
      <c r="F6" s="305"/>
      <c r="H6" s="3465" t="s">
        <v>6986</v>
      </c>
      <c r="I6" s="3640"/>
      <c r="J6" s="3640"/>
      <c r="K6" s="3641"/>
      <c r="L6" s="3640"/>
      <c r="M6" s="3640"/>
      <c r="N6" s="3642"/>
      <c r="O6" s="2347" t="s">
        <v>1703</v>
      </c>
      <c r="Q6" s="3486" t="s">
        <v>6990</v>
      </c>
      <c r="R6" s="3550"/>
      <c r="S6" s="3551"/>
      <c r="V6" s="1016"/>
      <c r="W6" s="1016"/>
      <c r="X6" s="1016"/>
      <c r="Y6" s="1016"/>
      <c r="Z6" s="1017"/>
      <c r="AA6" s="2352"/>
    </row>
    <row r="7" spans="1:27" s="293" customFormat="1" ht="11.25" customHeight="1">
      <c r="D7" s="331"/>
      <c r="E7" s="2344" t="s">
        <v>599</v>
      </c>
      <c r="H7" s="3465" t="s">
        <v>6987</v>
      </c>
      <c r="I7" s="3641"/>
      <c r="J7" s="3554"/>
      <c r="K7" s="3643" t="s">
        <v>743</v>
      </c>
      <c r="L7" s="3489"/>
      <c r="M7" s="3640"/>
      <c r="N7" s="3642"/>
      <c r="O7" s="2347" t="s">
        <v>1678</v>
      </c>
      <c r="Q7" s="3606">
        <v>5139641141</v>
      </c>
      <c r="R7" s="3607"/>
      <c r="S7" s="3608"/>
    </row>
    <row r="8" spans="1:27" s="293" customFormat="1" ht="11.25" customHeight="1">
      <c r="D8" s="331"/>
      <c r="E8" s="2344" t="s">
        <v>1753</v>
      </c>
      <c r="H8" s="3552" t="s">
        <v>1323</v>
      </c>
      <c r="I8" s="1007" t="s">
        <v>2171</v>
      </c>
      <c r="J8" s="3644">
        <v>450694817</v>
      </c>
      <c r="K8" s="3645"/>
      <c r="L8" s="293" t="s">
        <v>3507</v>
      </c>
      <c r="M8" s="3646" t="s">
        <v>6997</v>
      </c>
      <c r="N8" s="3647"/>
      <c r="O8" s="2347" t="s">
        <v>1930</v>
      </c>
      <c r="Q8" s="3606">
        <v>5132563810</v>
      </c>
      <c r="R8" s="3607"/>
      <c r="S8" s="3608"/>
    </row>
    <row r="9" spans="1:27" s="293" customFormat="1" ht="11.25" customHeight="1">
      <c r="D9" s="331"/>
      <c r="E9" s="2344" t="s">
        <v>3892</v>
      </c>
      <c r="H9" s="3648">
        <v>5139641141</v>
      </c>
      <c r="I9" s="3649"/>
      <c r="J9" s="3650"/>
      <c r="K9" s="2355" t="s">
        <v>1935</v>
      </c>
      <c r="L9" s="3452" t="s">
        <v>6988</v>
      </c>
      <c r="M9" s="3565"/>
      <c r="N9" s="3565"/>
      <c r="O9" s="3453"/>
      <c r="P9" s="3453"/>
      <c r="Q9" s="3565"/>
      <c r="R9" s="3565"/>
      <c r="S9" s="3566"/>
    </row>
    <row r="10" spans="1:27" s="293" customFormat="1" ht="11.25" customHeight="1">
      <c r="D10" s="331"/>
      <c r="E10" s="1194" t="s">
        <v>3891</v>
      </c>
      <c r="H10" s="326"/>
      <c r="K10" s="268"/>
      <c r="N10" s="363" t="s">
        <v>3431</v>
      </c>
      <c r="Q10" s="2355"/>
    </row>
    <row r="11" spans="1:27" s="293" customFormat="1" ht="4.3499999999999996" customHeight="1">
      <c r="D11" s="332"/>
      <c r="E11" s="2344"/>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51" t="s">
        <v>1257</v>
      </c>
      <c r="W12" s="3651"/>
      <c r="X12" s="3651"/>
      <c r="Y12" s="3651"/>
      <c r="Z12" s="3651"/>
    </row>
    <row r="13" spans="1:27" s="293" customFormat="1" ht="11.25" customHeight="1">
      <c r="C13" s="333" t="s">
        <v>1937</v>
      </c>
      <c r="D13" s="330" t="s">
        <v>1938</v>
      </c>
      <c r="H13" s="2352"/>
      <c r="I13" s="2352"/>
      <c r="J13" s="2352"/>
      <c r="N13" s="1020"/>
      <c r="W13" s="3652"/>
      <c r="X13" s="3652"/>
      <c r="Y13" s="3652"/>
      <c r="Z13" s="3652"/>
    </row>
    <row r="14" spans="1:27" s="293" customFormat="1" ht="11.25" customHeight="1">
      <c r="D14" s="295" t="s">
        <v>2064</v>
      </c>
      <c r="E14" s="293" t="s">
        <v>1808</v>
      </c>
      <c r="H14" s="3637" t="s">
        <v>7062</v>
      </c>
      <c r="I14" s="3638"/>
      <c r="J14" s="3638"/>
      <c r="K14" s="3638"/>
      <c r="L14" s="3638"/>
      <c r="M14" s="3638"/>
      <c r="N14" s="3639"/>
      <c r="O14" s="2347" t="s">
        <v>1940</v>
      </c>
      <c r="P14" s="2347"/>
      <c r="Q14" s="3637" t="s">
        <v>6989</v>
      </c>
      <c r="R14" s="3638"/>
      <c r="S14" s="3639"/>
    </row>
    <row r="15" spans="1:27" s="293" customFormat="1" ht="11.25" customHeight="1">
      <c r="D15" s="331"/>
      <c r="E15" s="2344" t="s">
        <v>998</v>
      </c>
      <c r="F15" s="305"/>
      <c r="H15" s="3465" t="s">
        <v>6992</v>
      </c>
      <c r="I15" s="3640"/>
      <c r="J15" s="3640"/>
      <c r="K15" s="3641"/>
      <c r="L15" s="3640"/>
      <c r="M15" s="3640"/>
      <c r="N15" s="3642"/>
      <c r="O15" s="2347" t="s">
        <v>1703</v>
      </c>
      <c r="Q15" s="3486" t="s">
        <v>6990</v>
      </c>
      <c r="R15" s="3550"/>
      <c r="S15" s="3551"/>
    </row>
    <row r="16" spans="1:27" s="293" customFormat="1" ht="11.25" customHeight="1">
      <c r="D16" s="331"/>
      <c r="E16" s="2344" t="s">
        <v>599</v>
      </c>
      <c r="H16" s="3465" t="s">
        <v>6987</v>
      </c>
      <c r="I16" s="3641"/>
      <c r="J16" s="3554"/>
      <c r="K16" s="2361" t="s">
        <v>2623</v>
      </c>
      <c r="L16" s="3465" t="s">
        <v>6998</v>
      </c>
      <c r="M16" s="3640"/>
      <c r="N16" s="3554"/>
      <c r="O16" s="2347" t="s">
        <v>1678</v>
      </c>
      <c r="Q16" s="3606">
        <v>5139641141</v>
      </c>
      <c r="R16" s="3607"/>
      <c r="S16" s="3608"/>
    </row>
    <row r="17" spans="3:19" s="293" customFormat="1" ht="11.25" customHeight="1">
      <c r="D17" s="295"/>
      <c r="E17" s="2344" t="s">
        <v>1753</v>
      </c>
      <c r="H17" s="3552" t="s">
        <v>1323</v>
      </c>
      <c r="K17" s="1007" t="s">
        <v>2171</v>
      </c>
      <c r="L17" s="3472">
        <v>450694817</v>
      </c>
      <c r="M17" s="3653"/>
      <c r="O17" s="2347" t="s">
        <v>1930</v>
      </c>
      <c r="Q17" s="3606">
        <v>5132563810</v>
      </c>
      <c r="R17" s="3607"/>
      <c r="S17" s="3608"/>
    </row>
    <row r="18" spans="3:19" s="293" customFormat="1" ht="11.25" customHeight="1">
      <c r="D18" s="331"/>
      <c r="E18" s="2344" t="s">
        <v>3892</v>
      </c>
      <c r="H18" s="3648">
        <v>5139641141</v>
      </c>
      <c r="I18" s="3654"/>
      <c r="J18" s="3655"/>
      <c r="K18" s="2355" t="s">
        <v>1935</v>
      </c>
      <c r="L18" s="3609" t="s">
        <v>6988</v>
      </c>
      <c r="M18" s="3565"/>
      <c r="N18" s="3453"/>
      <c r="O18" s="3453"/>
      <c r="P18" s="3453"/>
      <c r="Q18" s="3565"/>
      <c r="R18" s="3565"/>
      <c r="S18" s="3566"/>
    </row>
    <row r="19" spans="3:19" ht="4.3499999999999996" customHeight="1">
      <c r="D19" s="319"/>
      <c r="H19" s="3656"/>
      <c r="I19" s="3656"/>
      <c r="J19" s="3656"/>
      <c r="K19" s="2355"/>
      <c r="L19" s="3656"/>
      <c r="M19" s="3656"/>
      <c r="N19" s="2349"/>
      <c r="O19" s="3657"/>
      <c r="P19" s="3657"/>
      <c r="Q19" s="2355"/>
      <c r="R19" s="3657"/>
      <c r="S19" s="3657"/>
    </row>
    <row r="20" spans="3:19" s="293" customFormat="1" ht="11.25" customHeight="1">
      <c r="D20" s="295" t="s">
        <v>2065</v>
      </c>
      <c r="E20" s="293" t="s">
        <v>1809</v>
      </c>
      <c r="F20" s="2352"/>
      <c r="H20" s="3637" t="s">
        <v>947</v>
      </c>
      <c r="I20" s="3638"/>
      <c r="J20" s="3638"/>
      <c r="K20" s="3638"/>
      <c r="L20" s="3638"/>
      <c r="M20" s="3638"/>
      <c r="N20" s="3639"/>
      <c r="O20" s="2347" t="s">
        <v>1940</v>
      </c>
      <c r="P20" s="2347"/>
      <c r="Q20" s="3637"/>
      <c r="R20" s="3638"/>
      <c r="S20" s="3639"/>
    </row>
    <row r="21" spans="3:19" s="293" customFormat="1" ht="11.25" customHeight="1">
      <c r="D21" s="331"/>
      <c r="E21" s="2344" t="s">
        <v>998</v>
      </c>
      <c r="F21" s="305"/>
      <c r="H21" s="3465"/>
      <c r="I21" s="3640"/>
      <c r="J21" s="3640"/>
      <c r="K21" s="3641"/>
      <c r="L21" s="3640"/>
      <c r="M21" s="3640"/>
      <c r="N21" s="3642"/>
      <c r="O21" s="2347" t="s">
        <v>1703</v>
      </c>
      <c r="Q21" s="3486"/>
      <c r="R21" s="3550"/>
      <c r="S21" s="3551"/>
    </row>
    <row r="22" spans="3:19" s="293" customFormat="1" ht="11.25" customHeight="1">
      <c r="D22" s="331"/>
      <c r="E22" s="2344" t="s">
        <v>599</v>
      </c>
      <c r="H22" s="3465"/>
      <c r="I22" s="3641"/>
      <c r="J22" s="3554"/>
      <c r="K22" s="2361" t="s">
        <v>2623</v>
      </c>
      <c r="L22" s="3465"/>
      <c r="M22" s="3640"/>
      <c r="N22" s="3554"/>
      <c r="O22" s="2347" t="s">
        <v>1678</v>
      </c>
      <c r="Q22" s="3606"/>
      <c r="R22" s="3607"/>
      <c r="S22" s="3608"/>
    </row>
    <row r="23" spans="3:19" s="293" customFormat="1" ht="11.25" customHeight="1">
      <c r="E23" s="2344" t="s">
        <v>1753</v>
      </c>
      <c r="H23" s="3552"/>
      <c r="K23" s="1007" t="s">
        <v>2171</v>
      </c>
      <c r="L23" s="3472"/>
      <c r="M23" s="3653"/>
      <c r="O23" s="2347" t="s">
        <v>1930</v>
      </c>
      <c r="Q23" s="3606"/>
      <c r="R23" s="3607"/>
      <c r="S23" s="3608"/>
    </row>
    <row r="24" spans="3:19" s="293" customFormat="1" ht="11.25" customHeight="1">
      <c r="D24" s="331"/>
      <c r="E24" s="2344" t="s">
        <v>3892</v>
      </c>
      <c r="H24" s="3648"/>
      <c r="I24" s="3654"/>
      <c r="J24" s="3655"/>
      <c r="K24" s="2355" t="s">
        <v>1935</v>
      </c>
      <c r="L24" s="3609"/>
      <c r="M24" s="3565"/>
      <c r="N24" s="3453"/>
      <c r="O24" s="3453"/>
      <c r="P24" s="3453"/>
      <c r="Q24" s="3565"/>
      <c r="R24" s="3565"/>
      <c r="S24" s="3566"/>
    </row>
    <row r="25" spans="3:19" s="293" customFormat="1" ht="4.3499999999999996" customHeight="1">
      <c r="D25" s="331"/>
      <c r="E25" s="2352"/>
      <c r="F25" s="2352"/>
      <c r="G25" s="2347"/>
      <c r="H25" s="3656"/>
      <c r="I25" s="3656"/>
      <c r="J25" s="3656"/>
      <c r="K25" s="2355"/>
      <c r="L25" s="3656"/>
      <c r="M25" s="3656"/>
      <c r="N25" s="2349"/>
      <c r="O25" s="3657"/>
      <c r="P25" s="3657"/>
      <c r="Q25" s="2355"/>
      <c r="R25" s="3657"/>
      <c r="S25" s="3657"/>
    </row>
    <row r="26" spans="3:19" s="293" customFormat="1" ht="11.25" customHeight="1">
      <c r="D26" s="295" t="s">
        <v>1690</v>
      </c>
      <c r="E26" s="293" t="s">
        <v>1809</v>
      </c>
      <c r="F26" s="2352"/>
      <c r="H26" s="3637" t="s">
        <v>947</v>
      </c>
      <c r="I26" s="3638"/>
      <c r="J26" s="3638"/>
      <c r="K26" s="3638"/>
      <c r="L26" s="3638"/>
      <c r="M26" s="3638"/>
      <c r="N26" s="3639"/>
      <c r="O26" s="2347" t="s">
        <v>1940</v>
      </c>
      <c r="P26" s="2347"/>
      <c r="Q26" s="3637"/>
      <c r="R26" s="3638"/>
      <c r="S26" s="3639"/>
    </row>
    <row r="27" spans="3:19" s="293" customFormat="1" ht="11.25" customHeight="1">
      <c r="D27" s="331"/>
      <c r="E27" s="2344" t="s">
        <v>998</v>
      </c>
      <c r="F27" s="305"/>
      <c r="H27" s="3465"/>
      <c r="I27" s="3640"/>
      <c r="J27" s="3640"/>
      <c r="K27" s="3641"/>
      <c r="L27" s="3640"/>
      <c r="M27" s="3640"/>
      <c r="N27" s="3642"/>
      <c r="O27" s="2347" t="s">
        <v>1703</v>
      </c>
      <c r="Q27" s="3486"/>
      <c r="R27" s="3550"/>
      <c r="S27" s="3551"/>
    </row>
    <row r="28" spans="3:19" s="293" customFormat="1" ht="11.25" customHeight="1">
      <c r="D28" s="331"/>
      <c r="E28" s="2344" t="s">
        <v>599</v>
      </c>
      <c r="H28" s="3465"/>
      <c r="I28" s="3641"/>
      <c r="J28" s="3554"/>
      <c r="K28" s="2361" t="s">
        <v>2623</v>
      </c>
      <c r="L28" s="3465"/>
      <c r="M28" s="3640"/>
      <c r="N28" s="3554"/>
      <c r="O28" s="2347" t="s">
        <v>1678</v>
      </c>
      <c r="Q28" s="3606"/>
      <c r="R28" s="3607"/>
      <c r="S28" s="3608"/>
    </row>
    <row r="29" spans="3:19" s="293" customFormat="1" ht="11.25" customHeight="1">
      <c r="E29" s="2344" t="s">
        <v>1753</v>
      </c>
      <c r="H29" s="3552"/>
      <c r="K29" s="1007" t="s">
        <v>2171</v>
      </c>
      <c r="L29" s="3472"/>
      <c r="M29" s="3653"/>
      <c r="O29" s="2347" t="s">
        <v>1930</v>
      </c>
      <c r="Q29" s="3606"/>
      <c r="R29" s="3607"/>
      <c r="S29" s="3608"/>
    </row>
    <row r="30" spans="3:19" s="293" customFormat="1" ht="11.25" customHeight="1">
      <c r="D30" s="331"/>
      <c r="E30" s="2344" t="s">
        <v>3892</v>
      </c>
      <c r="H30" s="3648"/>
      <c r="I30" s="3654"/>
      <c r="J30" s="3655"/>
      <c r="K30" s="2355" t="s">
        <v>1935</v>
      </c>
      <c r="L30" s="3609"/>
      <c r="M30" s="3565"/>
      <c r="N30" s="3453"/>
      <c r="O30" s="3453"/>
      <c r="P30" s="3453"/>
      <c r="Q30" s="3565"/>
      <c r="R30" s="3565"/>
      <c r="S30" s="3566"/>
    </row>
    <row r="31" spans="3:19" ht="4.3499999999999996" customHeight="1"/>
    <row r="32" spans="3:19" s="293" customFormat="1" ht="11.25" customHeight="1">
      <c r="C32" s="333" t="s">
        <v>1939</v>
      </c>
      <c r="D32" s="330" t="s">
        <v>1811</v>
      </c>
      <c r="H32" s="2352"/>
      <c r="I32" s="2352"/>
      <c r="J32" s="2352"/>
      <c r="K32" s="1194" t="s">
        <v>3891</v>
      </c>
      <c r="L32" s="2352"/>
      <c r="M32" s="2352"/>
    </row>
    <row r="33" spans="3:19" s="293" customFormat="1" ht="11.25" customHeight="1">
      <c r="D33" s="295" t="s">
        <v>2064</v>
      </c>
      <c r="E33" s="293" t="s">
        <v>731</v>
      </c>
      <c r="H33" s="3637" t="s">
        <v>7042</v>
      </c>
      <c r="I33" s="3638"/>
      <c r="J33" s="3638"/>
      <c r="K33" s="3638"/>
      <c r="L33" s="3638"/>
      <c r="M33" s="3638"/>
      <c r="N33" s="3639"/>
      <c r="O33" s="2347" t="s">
        <v>1940</v>
      </c>
      <c r="P33" s="2347"/>
      <c r="Q33" s="3637" t="s">
        <v>7046</v>
      </c>
      <c r="R33" s="3638"/>
      <c r="S33" s="3639"/>
    </row>
    <row r="34" spans="3:19" s="293" customFormat="1" ht="11.25" customHeight="1">
      <c r="D34" s="331"/>
      <c r="E34" s="2344" t="s">
        <v>998</v>
      </c>
      <c r="F34" s="305"/>
      <c r="H34" s="3465" t="s">
        <v>7049</v>
      </c>
      <c r="I34" s="3640"/>
      <c r="J34" s="3640"/>
      <c r="K34" s="3641"/>
      <c r="L34" s="3640"/>
      <c r="M34" s="3640"/>
      <c r="N34" s="3642"/>
      <c r="O34" s="2347" t="s">
        <v>1703</v>
      </c>
      <c r="Q34" s="3486" t="s">
        <v>6999</v>
      </c>
      <c r="R34" s="3550"/>
      <c r="S34" s="3551"/>
    </row>
    <row r="35" spans="3:19" s="293" customFormat="1" ht="11.25" customHeight="1">
      <c r="D35" s="331"/>
      <c r="E35" s="2344" t="s">
        <v>599</v>
      </c>
      <c r="H35" s="3465" t="s">
        <v>1476</v>
      </c>
      <c r="I35" s="3641"/>
      <c r="J35" s="3554"/>
      <c r="K35" s="2361" t="s">
        <v>2623</v>
      </c>
      <c r="L35" s="3465" t="s">
        <v>7048</v>
      </c>
      <c r="M35" s="3640"/>
      <c r="N35" s="3554"/>
      <c r="O35" s="2347" t="s">
        <v>1678</v>
      </c>
      <c r="Q35" s="3606">
        <v>5028761440</v>
      </c>
      <c r="R35" s="3607"/>
      <c r="S35" s="3608"/>
    </row>
    <row r="36" spans="3:19" s="293" customFormat="1" ht="11.25" customHeight="1">
      <c r="E36" s="2344" t="s">
        <v>1753</v>
      </c>
      <c r="H36" s="3552" t="s">
        <v>834</v>
      </c>
      <c r="K36" s="1007" t="s">
        <v>2171</v>
      </c>
      <c r="L36" s="3472">
        <v>402023157</v>
      </c>
      <c r="M36" s="3653"/>
      <c r="O36" s="2347" t="s">
        <v>1930</v>
      </c>
      <c r="Q36" s="3606">
        <v>5028761440</v>
      </c>
      <c r="R36" s="3607"/>
      <c r="S36" s="3608"/>
    </row>
    <row r="37" spans="3:19" s="293" customFormat="1" ht="11.25" customHeight="1">
      <c r="D37" s="331"/>
      <c r="E37" s="2344" t="s">
        <v>3892</v>
      </c>
      <c r="H37" s="3648">
        <v>5028761440</v>
      </c>
      <c r="I37" s="3654"/>
      <c r="J37" s="3655"/>
      <c r="K37" s="2355" t="s">
        <v>1935</v>
      </c>
      <c r="L37" s="3609" t="s">
        <v>7047</v>
      </c>
      <c r="M37" s="3565"/>
      <c r="N37" s="3453"/>
      <c r="O37" s="3453"/>
      <c r="P37" s="3453"/>
      <c r="Q37" s="3565"/>
      <c r="R37" s="3565"/>
      <c r="S37" s="3566"/>
    </row>
    <row r="38" spans="3:19" ht="4.3499999999999996" customHeight="1">
      <c r="H38" s="3656"/>
      <c r="I38" s="3656"/>
      <c r="J38" s="3656"/>
      <c r="K38" s="2355"/>
      <c r="L38" s="3656"/>
      <c r="M38" s="3656"/>
      <c r="N38" s="2349"/>
      <c r="O38" s="3657"/>
      <c r="P38" s="3657"/>
      <c r="Q38" s="2355"/>
      <c r="R38" s="3657"/>
      <c r="S38" s="3657"/>
    </row>
    <row r="39" spans="3:19" s="293" customFormat="1" ht="11.25" customHeight="1">
      <c r="D39" s="295" t="s">
        <v>2065</v>
      </c>
      <c r="E39" s="293" t="s">
        <v>732</v>
      </c>
      <c r="F39" s="295"/>
      <c r="H39" s="3637" t="s">
        <v>7041</v>
      </c>
      <c r="I39" s="3638"/>
      <c r="J39" s="3638"/>
      <c r="K39" s="3638"/>
      <c r="L39" s="3638"/>
      <c r="M39" s="3638"/>
      <c r="N39" s="3639"/>
      <c r="O39" s="2347" t="s">
        <v>1940</v>
      </c>
      <c r="P39" s="2347"/>
      <c r="Q39" s="3637" t="s">
        <v>7050</v>
      </c>
      <c r="R39" s="3638"/>
      <c r="S39" s="3639"/>
    </row>
    <row r="40" spans="3:19" s="293" customFormat="1" ht="11.25" customHeight="1">
      <c r="D40" s="331"/>
      <c r="E40" s="2344" t="s">
        <v>998</v>
      </c>
      <c r="F40" s="305"/>
      <c r="H40" s="3465" t="s">
        <v>7054</v>
      </c>
      <c r="I40" s="3640"/>
      <c r="J40" s="3640"/>
      <c r="K40" s="3641"/>
      <c r="L40" s="3640"/>
      <c r="M40" s="3640"/>
      <c r="N40" s="3642"/>
      <c r="O40" s="2347" t="s">
        <v>1703</v>
      </c>
      <c r="Q40" s="3486" t="s">
        <v>7051</v>
      </c>
      <c r="R40" s="3550"/>
      <c r="S40" s="3551"/>
    </row>
    <row r="41" spans="3:19" s="293" customFormat="1" ht="11.25" customHeight="1">
      <c r="D41" s="331"/>
      <c r="E41" s="2344" t="s">
        <v>599</v>
      </c>
      <c r="H41" s="3465" t="s">
        <v>1178</v>
      </c>
      <c r="I41" s="3641"/>
      <c r="J41" s="3554"/>
      <c r="K41" s="2361" t="s">
        <v>2623</v>
      </c>
      <c r="L41" s="3465" t="s">
        <v>7052</v>
      </c>
      <c r="M41" s="3640"/>
      <c r="N41" s="3554"/>
      <c r="O41" s="2347" t="s">
        <v>1678</v>
      </c>
      <c r="Q41" s="3606">
        <v>3346634523</v>
      </c>
      <c r="R41" s="3607"/>
      <c r="S41" s="3608"/>
    </row>
    <row r="42" spans="3:19" s="293" customFormat="1" ht="11.25" customHeight="1">
      <c r="D42" s="295"/>
      <c r="E42" s="2344" t="s">
        <v>1753</v>
      </c>
      <c r="H42" s="3552" t="s">
        <v>827</v>
      </c>
      <c r="K42" s="1007" t="s">
        <v>2171</v>
      </c>
      <c r="L42" s="3472">
        <v>303261826</v>
      </c>
      <c r="M42" s="3653"/>
      <c r="O42" s="2347" t="s">
        <v>1930</v>
      </c>
      <c r="Q42" s="3606">
        <v>3346634523</v>
      </c>
      <c r="R42" s="3607"/>
      <c r="S42" s="3608"/>
    </row>
    <row r="43" spans="3:19" s="293" customFormat="1" ht="11.25" customHeight="1">
      <c r="D43" s="331"/>
      <c r="E43" s="2344" t="s">
        <v>3892</v>
      </c>
      <c r="H43" s="3648">
        <v>3346634523</v>
      </c>
      <c r="I43" s="3654"/>
      <c r="J43" s="3655"/>
      <c r="K43" s="2355" t="s">
        <v>1935</v>
      </c>
      <c r="L43" s="3609" t="s">
        <v>7053</v>
      </c>
      <c r="M43" s="3565"/>
      <c r="N43" s="3453"/>
      <c r="O43" s="3453"/>
      <c r="P43" s="3453"/>
      <c r="Q43" s="3565"/>
      <c r="R43" s="3565"/>
      <c r="S43" s="3566"/>
    </row>
    <row r="44" spans="3:19" s="293" customFormat="1" ht="4.3499999999999996" customHeight="1">
      <c r="D44" s="331"/>
      <c r="E44" s="2344"/>
      <c r="F44" s="295"/>
      <c r="H44" s="326"/>
      <c r="I44" s="326"/>
      <c r="J44" s="3658"/>
      <c r="K44" s="2355"/>
      <c r="L44" s="326"/>
      <c r="M44" s="326"/>
      <c r="N44" s="2355"/>
      <c r="O44" s="326"/>
      <c r="P44" s="326"/>
      <c r="Q44" s="2355"/>
      <c r="R44" s="326"/>
      <c r="S44" s="326"/>
    </row>
    <row r="45" spans="3:19" s="293" customFormat="1" ht="11.25" customHeight="1">
      <c r="C45" s="334" t="s">
        <v>2466</v>
      </c>
      <c r="D45" s="330" t="s">
        <v>632</v>
      </c>
      <c r="H45" s="2352"/>
      <c r="I45" s="2352"/>
      <c r="J45" s="2352"/>
      <c r="K45" s="1194" t="s">
        <v>3891</v>
      </c>
      <c r="L45" s="2352"/>
      <c r="M45" s="2352"/>
    </row>
    <row r="46" spans="3:19" s="293" customFormat="1" ht="11.25" customHeight="1">
      <c r="E46" s="293" t="s">
        <v>90</v>
      </c>
      <c r="H46" s="3637" t="s">
        <v>947</v>
      </c>
      <c r="I46" s="3638"/>
      <c r="J46" s="3638"/>
      <c r="K46" s="3638"/>
      <c r="L46" s="3638"/>
      <c r="M46" s="3638"/>
      <c r="N46" s="3639"/>
      <c r="O46" s="2347" t="s">
        <v>1940</v>
      </c>
      <c r="P46" s="2347"/>
      <c r="Q46" s="3637"/>
      <c r="R46" s="3638"/>
      <c r="S46" s="3639"/>
    </row>
    <row r="47" spans="3:19" s="293" customFormat="1" ht="11.25" customHeight="1">
      <c r="D47" s="331"/>
      <c r="E47" s="2344" t="s">
        <v>998</v>
      </c>
      <c r="F47" s="305"/>
      <c r="H47" s="3465"/>
      <c r="I47" s="3640"/>
      <c r="J47" s="3640"/>
      <c r="K47" s="3641"/>
      <c r="L47" s="3640"/>
      <c r="M47" s="3640"/>
      <c r="N47" s="3642"/>
      <c r="O47" s="2347" t="s">
        <v>1703</v>
      </c>
      <c r="Q47" s="3486"/>
      <c r="R47" s="3550"/>
      <c r="S47" s="3551"/>
    </row>
    <row r="48" spans="3:19" s="293" customFormat="1" ht="11.25" customHeight="1">
      <c r="D48" s="331"/>
      <c r="E48" s="2344" t="s">
        <v>599</v>
      </c>
      <c r="H48" s="3465"/>
      <c r="I48" s="3641"/>
      <c r="J48" s="3554"/>
      <c r="K48" s="2361" t="s">
        <v>2623</v>
      </c>
      <c r="L48" s="3465"/>
      <c r="M48" s="3640"/>
      <c r="N48" s="3554"/>
      <c r="O48" s="2347" t="s">
        <v>1678</v>
      </c>
      <c r="Q48" s="3606"/>
      <c r="R48" s="3607"/>
      <c r="S48" s="3608"/>
    </row>
    <row r="49" spans="1:19" s="293" customFormat="1" ht="11.25" customHeight="1">
      <c r="E49" s="2344" t="s">
        <v>1753</v>
      </c>
      <c r="H49" s="3552"/>
      <c r="K49" s="1007" t="s">
        <v>2171</v>
      </c>
      <c r="L49" s="3472"/>
      <c r="M49" s="3653"/>
      <c r="O49" s="2347" t="s">
        <v>1930</v>
      </c>
      <c r="Q49" s="3606"/>
      <c r="R49" s="3607"/>
      <c r="S49" s="3608"/>
    </row>
    <row r="50" spans="1:19" s="293" customFormat="1" ht="11.25" customHeight="1">
      <c r="D50" s="331"/>
      <c r="E50" s="2344" t="s">
        <v>3892</v>
      </c>
      <c r="H50" s="3648"/>
      <c r="I50" s="3654"/>
      <c r="J50" s="3655"/>
      <c r="K50" s="2355" t="s">
        <v>1935</v>
      </c>
      <c r="L50" s="3609"/>
      <c r="M50" s="3565"/>
      <c r="N50" s="3453"/>
      <c r="O50" s="3453"/>
      <c r="P50" s="3453"/>
      <c r="Q50" s="3565"/>
      <c r="R50" s="3565"/>
      <c r="S50" s="3566"/>
    </row>
    <row r="51" spans="1:19" ht="6.75" customHeight="1"/>
    <row r="52" spans="1:19" s="293" customFormat="1" ht="13.35" customHeight="1">
      <c r="A52" s="295" t="s">
        <v>721</v>
      </c>
      <c r="B52" s="295" t="s">
        <v>633</v>
      </c>
      <c r="F52" s="295"/>
      <c r="G52" s="2355"/>
      <c r="H52" s="2355"/>
      <c r="I52" s="2355"/>
      <c r="J52" s="2352"/>
      <c r="K52" s="1194" t="s">
        <v>3891</v>
      </c>
      <c r="L52" s="2352"/>
      <c r="M52" s="2352"/>
      <c r="N52" s="2352"/>
      <c r="O52" s="2352"/>
      <c r="P52" s="2352"/>
      <c r="Q52" s="2352"/>
      <c r="R52" s="2352"/>
      <c r="S52" s="2352"/>
    </row>
    <row r="53" spans="1:19" s="293" customFormat="1" ht="3" customHeight="1">
      <c r="A53" s="295"/>
      <c r="B53" s="295"/>
      <c r="F53" s="295"/>
      <c r="G53" s="2355"/>
      <c r="H53" s="3659"/>
      <c r="I53" s="3659"/>
      <c r="J53" s="3659"/>
      <c r="K53" s="2349"/>
      <c r="L53" s="3659"/>
      <c r="M53" s="3659"/>
      <c r="N53" s="2349"/>
      <c r="O53" s="3657"/>
      <c r="P53" s="3657"/>
      <c r="Q53" s="2355"/>
      <c r="R53" s="3657"/>
      <c r="S53" s="3657"/>
    </row>
    <row r="54" spans="1:19" s="293" customFormat="1" ht="11.25" customHeight="1">
      <c r="B54" s="295" t="s">
        <v>1934</v>
      </c>
      <c r="C54" s="295" t="s">
        <v>277</v>
      </c>
      <c r="H54" s="3637" t="s">
        <v>6985</v>
      </c>
      <c r="I54" s="3638"/>
      <c r="J54" s="3638"/>
      <c r="K54" s="3638"/>
      <c r="L54" s="3638"/>
      <c r="M54" s="3638"/>
      <c r="N54" s="3639"/>
      <c r="O54" s="2347" t="s">
        <v>1940</v>
      </c>
      <c r="P54" s="2347"/>
      <c r="Q54" s="3637" t="s">
        <v>6989</v>
      </c>
      <c r="R54" s="3638"/>
      <c r="S54" s="3639"/>
    </row>
    <row r="55" spans="1:19" s="293" customFormat="1" ht="11.25" customHeight="1">
      <c r="D55" s="331"/>
      <c r="E55" s="2344" t="s">
        <v>998</v>
      </c>
      <c r="F55" s="305"/>
      <c r="H55" s="3465" t="s">
        <v>6992</v>
      </c>
      <c r="I55" s="3640"/>
      <c r="J55" s="3640"/>
      <c r="K55" s="3641"/>
      <c r="L55" s="3640"/>
      <c r="M55" s="3640"/>
      <c r="N55" s="3642"/>
      <c r="O55" s="2347" t="s">
        <v>1703</v>
      </c>
      <c r="Q55" s="3486" t="s">
        <v>6990</v>
      </c>
      <c r="R55" s="3550"/>
      <c r="S55" s="3551"/>
    </row>
    <row r="56" spans="1:19" s="293" customFormat="1" ht="11.25" customHeight="1">
      <c r="D56" s="331"/>
      <c r="E56" s="2344" t="s">
        <v>599</v>
      </c>
      <c r="H56" s="3465" t="s">
        <v>6987</v>
      </c>
      <c r="I56" s="3641"/>
      <c r="J56" s="3554"/>
      <c r="K56" s="2361" t="s">
        <v>2623</v>
      </c>
      <c r="L56" s="3465" t="s">
        <v>6998</v>
      </c>
      <c r="M56" s="3640"/>
      <c r="N56" s="3554"/>
      <c r="O56" s="2347" t="s">
        <v>1678</v>
      </c>
      <c r="Q56" s="3606">
        <v>5135882694</v>
      </c>
      <c r="R56" s="3607"/>
      <c r="S56" s="3608"/>
    </row>
    <row r="57" spans="1:19" s="293" customFormat="1" ht="11.25" customHeight="1">
      <c r="E57" s="2344" t="s">
        <v>1753</v>
      </c>
      <c r="H57" s="3552" t="s">
        <v>1323</v>
      </c>
      <c r="K57" s="1007" t="s">
        <v>2171</v>
      </c>
      <c r="L57" s="3472">
        <v>450694817</v>
      </c>
      <c r="M57" s="3653"/>
      <c r="O57" s="2347" t="s">
        <v>1930</v>
      </c>
      <c r="Q57" s="3606">
        <v>5132563810</v>
      </c>
      <c r="R57" s="3607"/>
      <c r="S57" s="3608"/>
    </row>
    <row r="58" spans="1:19" s="293" customFormat="1" ht="11.25" customHeight="1">
      <c r="D58" s="331"/>
      <c r="E58" s="2344" t="s">
        <v>3892</v>
      </c>
      <c r="H58" s="3648">
        <v>5139641141</v>
      </c>
      <c r="I58" s="3654"/>
      <c r="J58" s="3655"/>
      <c r="K58" s="2355" t="s">
        <v>1935</v>
      </c>
      <c r="L58" s="3609" t="s">
        <v>6988</v>
      </c>
      <c r="M58" s="3565"/>
      <c r="N58" s="3453"/>
      <c r="O58" s="3453"/>
      <c r="P58" s="3453"/>
      <c r="Q58" s="3565"/>
      <c r="R58" s="3565"/>
      <c r="S58" s="3566"/>
    </row>
    <row r="59" spans="1:19" s="293" customFormat="1" ht="6.6" customHeight="1">
      <c r="D59" s="331"/>
      <c r="E59" s="2352"/>
      <c r="F59" s="2352"/>
      <c r="G59" s="2347"/>
      <c r="H59" s="3656"/>
      <c r="I59" s="3656"/>
      <c r="J59" s="3656"/>
      <c r="K59" s="2355"/>
      <c r="L59" s="3656"/>
      <c r="M59" s="3656"/>
      <c r="N59" s="2349"/>
      <c r="O59" s="3657"/>
      <c r="P59" s="3657"/>
      <c r="Q59" s="2355"/>
      <c r="R59" s="3657"/>
      <c r="S59" s="3657"/>
    </row>
    <row r="60" spans="1:19" s="293" customFormat="1" ht="11.25" customHeight="1">
      <c r="B60" s="295" t="s">
        <v>1936</v>
      </c>
      <c r="C60" s="295" t="s">
        <v>278</v>
      </c>
      <c r="H60" s="3637" t="s">
        <v>947</v>
      </c>
      <c r="I60" s="3638"/>
      <c r="J60" s="3638"/>
      <c r="K60" s="3638"/>
      <c r="L60" s="3638"/>
      <c r="M60" s="3638"/>
      <c r="N60" s="3639"/>
      <c r="O60" s="2347" t="s">
        <v>1940</v>
      </c>
      <c r="P60" s="2347"/>
      <c r="Q60" s="3637"/>
      <c r="R60" s="3638"/>
      <c r="S60" s="3639"/>
    </row>
    <row r="61" spans="1:19" s="293" customFormat="1" ht="11.25" customHeight="1">
      <c r="D61" s="331"/>
      <c r="E61" s="2344" t="s">
        <v>998</v>
      </c>
      <c r="F61" s="305"/>
      <c r="H61" s="3465"/>
      <c r="I61" s="3640"/>
      <c r="J61" s="3640"/>
      <c r="K61" s="3641"/>
      <c r="L61" s="3640"/>
      <c r="M61" s="3640"/>
      <c r="N61" s="3642"/>
      <c r="O61" s="2347" t="s">
        <v>1703</v>
      </c>
      <c r="Q61" s="3486"/>
      <c r="R61" s="3550"/>
      <c r="S61" s="3551"/>
    </row>
    <row r="62" spans="1:19" s="293" customFormat="1" ht="11.25" customHeight="1">
      <c r="D62" s="331"/>
      <c r="E62" s="2344" t="s">
        <v>599</v>
      </c>
      <c r="H62" s="3465"/>
      <c r="I62" s="3641"/>
      <c r="J62" s="3554"/>
      <c r="K62" s="2361" t="s">
        <v>2623</v>
      </c>
      <c r="L62" s="3465"/>
      <c r="M62" s="3640"/>
      <c r="N62" s="3554"/>
      <c r="O62" s="2347" t="s">
        <v>1678</v>
      </c>
      <c r="Q62" s="3606"/>
      <c r="R62" s="3607"/>
      <c r="S62" s="3608"/>
    </row>
    <row r="63" spans="1:19" s="293" customFormat="1" ht="11.25" customHeight="1">
      <c r="E63" s="2344" t="s">
        <v>1753</v>
      </c>
      <c r="H63" s="3552"/>
      <c r="K63" s="1007" t="s">
        <v>2171</v>
      </c>
      <c r="L63" s="3472"/>
      <c r="M63" s="3653"/>
      <c r="O63" s="2347" t="s">
        <v>1930</v>
      </c>
      <c r="Q63" s="3606"/>
      <c r="R63" s="3607"/>
      <c r="S63" s="3608"/>
    </row>
    <row r="64" spans="1:19" s="293" customFormat="1" ht="11.25" customHeight="1">
      <c r="D64" s="331"/>
      <c r="E64" s="2344" t="s">
        <v>3892</v>
      </c>
      <c r="H64" s="3648"/>
      <c r="I64" s="3654"/>
      <c r="J64" s="3655"/>
      <c r="K64" s="2355" t="s">
        <v>1935</v>
      </c>
      <c r="L64" s="3609"/>
      <c r="M64" s="3565"/>
      <c r="N64" s="3453"/>
      <c r="O64" s="3453"/>
      <c r="P64" s="3453"/>
      <c r="Q64" s="3565"/>
      <c r="R64" s="3565"/>
      <c r="S64" s="3566"/>
    </row>
    <row r="65" spans="1:19" s="293" customFormat="1" ht="6.6" customHeight="1">
      <c r="D65" s="331"/>
      <c r="E65" s="2352"/>
      <c r="F65" s="2352"/>
      <c r="G65" s="2347"/>
      <c r="H65" s="3656"/>
      <c r="I65" s="3656"/>
      <c r="J65" s="3656"/>
      <c r="K65" s="2355"/>
      <c r="L65" s="3656"/>
      <c r="M65" s="3656"/>
      <c r="N65" s="2349"/>
      <c r="O65" s="3657"/>
      <c r="P65" s="3657"/>
      <c r="Q65" s="2355"/>
      <c r="R65" s="3657"/>
      <c r="S65" s="3657"/>
    </row>
    <row r="66" spans="1:19" s="293" customFormat="1" ht="11.25" customHeight="1">
      <c r="B66" s="295" t="s">
        <v>730</v>
      </c>
      <c r="C66" s="295" t="s">
        <v>1495</v>
      </c>
      <c r="H66" s="3637" t="s">
        <v>947</v>
      </c>
      <c r="I66" s="3638"/>
      <c r="J66" s="3638"/>
      <c r="K66" s="3638"/>
      <c r="L66" s="3638"/>
      <c r="M66" s="3638"/>
      <c r="N66" s="3639"/>
      <c r="O66" s="2347" t="s">
        <v>1940</v>
      </c>
      <c r="P66" s="2347"/>
      <c r="Q66" s="3637"/>
      <c r="R66" s="3638"/>
      <c r="S66" s="3639"/>
    </row>
    <row r="67" spans="1:19" s="293" customFormat="1" ht="11.25" customHeight="1">
      <c r="D67" s="331"/>
      <c r="E67" s="2344" t="s">
        <v>998</v>
      </c>
      <c r="F67" s="305"/>
      <c r="H67" s="3465"/>
      <c r="I67" s="3640"/>
      <c r="J67" s="3640"/>
      <c r="K67" s="3641"/>
      <c r="L67" s="3640"/>
      <c r="M67" s="3640"/>
      <c r="N67" s="3642"/>
      <c r="O67" s="2347" t="s">
        <v>1703</v>
      </c>
      <c r="Q67" s="3486"/>
      <c r="R67" s="3550"/>
      <c r="S67" s="3551"/>
    </row>
    <row r="68" spans="1:19" s="293" customFormat="1" ht="11.25" customHeight="1">
      <c r="D68" s="331"/>
      <c r="E68" s="2344" t="s">
        <v>599</v>
      </c>
      <c r="H68" s="3465"/>
      <c r="I68" s="3641"/>
      <c r="J68" s="3554"/>
      <c r="K68" s="2361" t="s">
        <v>2623</v>
      </c>
      <c r="L68" s="3465"/>
      <c r="M68" s="3640"/>
      <c r="N68" s="3554"/>
      <c r="O68" s="2347" t="s">
        <v>1678</v>
      </c>
      <c r="Q68" s="3606"/>
      <c r="R68" s="3607"/>
      <c r="S68" s="3608"/>
    </row>
    <row r="69" spans="1:19" s="293" customFormat="1" ht="11.25" customHeight="1">
      <c r="E69" s="2344" t="s">
        <v>1753</v>
      </c>
      <c r="H69" s="3552"/>
      <c r="K69" s="1007" t="s">
        <v>2171</v>
      </c>
      <c r="L69" s="3472"/>
      <c r="M69" s="3653"/>
      <c r="O69" s="2347" t="s">
        <v>1930</v>
      </c>
      <c r="Q69" s="3606"/>
      <c r="R69" s="3607"/>
      <c r="S69" s="3608"/>
    </row>
    <row r="70" spans="1:19" s="293" customFormat="1" ht="11.25" customHeight="1">
      <c r="D70" s="331"/>
      <c r="E70" s="2344" t="s">
        <v>3892</v>
      </c>
      <c r="H70" s="3648"/>
      <c r="I70" s="3654"/>
      <c r="J70" s="3655"/>
      <c r="K70" s="2355" t="s">
        <v>1935</v>
      </c>
      <c r="L70" s="3609"/>
      <c r="M70" s="3565"/>
      <c r="N70" s="3453"/>
      <c r="O70" s="3453"/>
      <c r="P70" s="3453"/>
      <c r="Q70" s="3565"/>
      <c r="R70" s="3565"/>
      <c r="S70" s="3566"/>
    </row>
    <row r="71" spans="1:19" ht="6.6" customHeight="1">
      <c r="H71" s="3656"/>
      <c r="I71" s="3656"/>
      <c r="J71" s="3656"/>
      <c r="K71" s="2355"/>
      <c r="L71" s="3656"/>
      <c r="M71" s="3656"/>
      <c r="N71" s="2349"/>
      <c r="O71" s="3657"/>
      <c r="P71" s="3657"/>
      <c r="Q71" s="2355"/>
      <c r="R71" s="3657"/>
      <c r="S71" s="3657"/>
    </row>
    <row r="72" spans="1:19" s="293" customFormat="1" ht="11.25" customHeight="1">
      <c r="B72" s="295" t="s">
        <v>2063</v>
      </c>
      <c r="C72" s="295" t="s">
        <v>279</v>
      </c>
      <c r="H72" s="3637" t="s">
        <v>947</v>
      </c>
      <c r="I72" s="3638"/>
      <c r="J72" s="3638"/>
      <c r="K72" s="3638"/>
      <c r="L72" s="3638"/>
      <c r="M72" s="3638"/>
      <c r="N72" s="3639"/>
      <c r="O72" s="2347" t="s">
        <v>1940</v>
      </c>
      <c r="P72" s="2347"/>
      <c r="Q72" s="3637"/>
      <c r="R72" s="3638"/>
      <c r="S72" s="3639"/>
    </row>
    <row r="73" spans="1:19" s="293" customFormat="1" ht="11.25" customHeight="1">
      <c r="D73" s="331"/>
      <c r="E73" s="2344" t="s">
        <v>998</v>
      </c>
      <c r="F73" s="305"/>
      <c r="H73" s="3465"/>
      <c r="I73" s="3640"/>
      <c r="J73" s="3640"/>
      <c r="K73" s="3641"/>
      <c r="L73" s="3640"/>
      <c r="M73" s="3640"/>
      <c r="N73" s="3642"/>
      <c r="O73" s="2347" t="s">
        <v>1703</v>
      </c>
      <c r="Q73" s="3486"/>
      <c r="R73" s="3550"/>
      <c r="S73" s="3551"/>
    </row>
    <row r="74" spans="1:19" s="293" customFormat="1" ht="11.25" customHeight="1">
      <c r="D74" s="331"/>
      <c r="E74" s="2344" t="s">
        <v>599</v>
      </c>
      <c r="H74" s="3465"/>
      <c r="I74" s="3641"/>
      <c r="J74" s="3554"/>
      <c r="K74" s="2361" t="s">
        <v>2623</v>
      </c>
      <c r="L74" s="3465"/>
      <c r="M74" s="3640"/>
      <c r="N74" s="3554"/>
      <c r="O74" s="2347" t="s">
        <v>1678</v>
      </c>
      <c r="Q74" s="3606"/>
      <c r="R74" s="3607"/>
      <c r="S74" s="3608"/>
    </row>
    <row r="75" spans="1:19" s="293" customFormat="1" ht="11.25" customHeight="1">
      <c r="E75" s="2344" t="s">
        <v>1753</v>
      </c>
      <c r="H75" s="3552"/>
      <c r="K75" s="1007" t="s">
        <v>2171</v>
      </c>
      <c r="L75" s="3472"/>
      <c r="M75" s="3653"/>
      <c r="O75" s="2347" t="s">
        <v>1930</v>
      </c>
      <c r="Q75" s="3606"/>
      <c r="R75" s="3607"/>
      <c r="S75" s="3608"/>
    </row>
    <row r="76" spans="1:19" s="293" customFormat="1" ht="11.25" customHeight="1">
      <c r="D76" s="331"/>
      <c r="E76" s="2344" t="s">
        <v>3892</v>
      </c>
      <c r="H76" s="3648"/>
      <c r="I76" s="3654"/>
      <c r="J76" s="3655"/>
      <c r="K76" s="2355" t="s">
        <v>1935</v>
      </c>
      <c r="L76" s="3609"/>
      <c r="M76" s="3565"/>
      <c r="N76" s="3453"/>
      <c r="O76" s="3453"/>
      <c r="P76" s="3453"/>
      <c r="Q76" s="3565"/>
      <c r="R76" s="3565"/>
      <c r="S76" s="3566"/>
    </row>
    <row r="77" spans="1:19" ht="6.75" customHeight="1"/>
    <row r="78" spans="1:19" s="2344" customFormat="1" ht="13.35" customHeight="1">
      <c r="A78" s="298" t="s">
        <v>723</v>
      </c>
      <c r="B78" s="298" t="s">
        <v>280</v>
      </c>
      <c r="D78" s="298"/>
      <c r="E78" s="2347"/>
      <c r="F78" s="2346"/>
      <c r="G78" s="2346"/>
      <c r="H78" s="2346"/>
      <c r="I78" s="2346"/>
      <c r="J78" s="2346"/>
      <c r="K78" s="1194" t="s">
        <v>3891</v>
      </c>
      <c r="L78" s="2346"/>
      <c r="M78" s="2346"/>
    </row>
    <row r="79" spans="1:19" s="2344" customFormat="1" ht="3" customHeight="1">
      <c r="A79" s="298"/>
      <c r="B79" s="298"/>
      <c r="D79" s="298"/>
      <c r="E79" s="2347"/>
      <c r="F79" s="2346"/>
      <c r="G79" s="2346"/>
      <c r="H79" s="3659"/>
      <c r="I79" s="3659"/>
      <c r="J79" s="3659"/>
      <c r="K79" s="2349"/>
      <c r="L79" s="3659"/>
      <c r="M79" s="3659"/>
      <c r="N79" s="2349"/>
      <c r="O79" s="3657"/>
      <c r="P79" s="3657"/>
      <c r="Q79" s="2355"/>
      <c r="R79" s="3657"/>
      <c r="S79" s="3657"/>
    </row>
    <row r="80" spans="1:19" s="293" customFormat="1" ht="11.25" customHeight="1">
      <c r="B80" s="295" t="s">
        <v>1934</v>
      </c>
      <c r="C80" s="295" t="s">
        <v>281</v>
      </c>
      <c r="H80" s="3637" t="s">
        <v>947</v>
      </c>
      <c r="I80" s="3638"/>
      <c r="J80" s="3638"/>
      <c r="K80" s="3638"/>
      <c r="L80" s="3638"/>
      <c r="M80" s="3638"/>
      <c r="N80" s="3639"/>
      <c r="O80" s="2347" t="s">
        <v>1940</v>
      </c>
      <c r="P80" s="2347"/>
      <c r="Q80" s="3637"/>
      <c r="R80" s="3638"/>
      <c r="S80" s="3639"/>
    </row>
    <row r="81" spans="2:19" s="293" customFormat="1" ht="11.25" customHeight="1">
      <c r="D81" s="331"/>
      <c r="E81" s="2344" t="s">
        <v>998</v>
      </c>
      <c r="F81" s="305"/>
      <c r="H81" s="3465"/>
      <c r="I81" s="3640"/>
      <c r="J81" s="3640"/>
      <c r="K81" s="3641"/>
      <c r="L81" s="3640"/>
      <c r="M81" s="3640"/>
      <c r="N81" s="3642"/>
      <c r="O81" s="2347" t="s">
        <v>1703</v>
      </c>
      <c r="Q81" s="3486"/>
      <c r="R81" s="3550"/>
      <c r="S81" s="3551"/>
    </row>
    <row r="82" spans="2:19" s="293" customFormat="1" ht="11.25" customHeight="1">
      <c r="D82" s="331"/>
      <c r="E82" s="2344" t="s">
        <v>599</v>
      </c>
      <c r="H82" s="3465"/>
      <c r="I82" s="3641"/>
      <c r="J82" s="3554"/>
      <c r="K82" s="2361" t="s">
        <v>2623</v>
      </c>
      <c r="L82" s="3465"/>
      <c r="M82" s="3640"/>
      <c r="N82" s="3554"/>
      <c r="O82" s="2347" t="s">
        <v>1678</v>
      </c>
      <c r="Q82" s="3606"/>
      <c r="R82" s="3607"/>
      <c r="S82" s="3608"/>
    </row>
    <row r="83" spans="2:19" s="293" customFormat="1" ht="11.25" customHeight="1">
      <c r="E83" s="2344" t="s">
        <v>1753</v>
      </c>
      <c r="H83" s="3552"/>
      <c r="K83" s="1007" t="s">
        <v>2171</v>
      </c>
      <c r="L83" s="3472"/>
      <c r="M83" s="3653"/>
      <c r="O83" s="2347" t="s">
        <v>1930</v>
      </c>
      <c r="Q83" s="3606"/>
      <c r="R83" s="3607"/>
      <c r="S83" s="3608"/>
    </row>
    <row r="84" spans="2:19" s="293" customFormat="1" ht="11.25" customHeight="1">
      <c r="D84" s="331"/>
      <c r="E84" s="2344" t="s">
        <v>3892</v>
      </c>
      <c r="H84" s="3648"/>
      <c r="I84" s="3654"/>
      <c r="J84" s="3655"/>
      <c r="K84" s="2355" t="s">
        <v>1935</v>
      </c>
      <c r="L84" s="3609"/>
      <c r="M84" s="3565"/>
      <c r="N84" s="3453"/>
      <c r="O84" s="3453"/>
      <c r="P84" s="3453"/>
      <c r="Q84" s="3565"/>
      <c r="R84" s="3565"/>
      <c r="S84" s="3566"/>
    </row>
    <row r="85" spans="2:19" ht="6.6" customHeight="1">
      <c r="H85" s="3656"/>
      <c r="I85" s="3656"/>
      <c r="J85" s="3656"/>
      <c r="K85" s="2355"/>
      <c r="L85" s="3656"/>
      <c r="M85" s="3656"/>
      <c r="N85" s="2349"/>
      <c r="O85" s="3657"/>
      <c r="P85" s="3657"/>
      <c r="Q85" s="2355"/>
      <c r="R85" s="3657"/>
      <c r="S85" s="3657"/>
    </row>
    <row r="86" spans="2:19" s="293" customFormat="1" ht="11.25" customHeight="1">
      <c r="B86" s="295" t="s">
        <v>1936</v>
      </c>
      <c r="C86" s="295" t="s">
        <v>282</v>
      </c>
      <c r="H86" s="3637" t="s">
        <v>7090</v>
      </c>
      <c r="I86" s="3638"/>
      <c r="J86" s="3638"/>
      <c r="K86" s="3638"/>
      <c r="L86" s="3638"/>
      <c r="M86" s="3638"/>
      <c r="N86" s="3639"/>
      <c r="O86" s="2347" t="s">
        <v>1940</v>
      </c>
      <c r="P86" s="2347"/>
      <c r="Q86" s="3637" t="s">
        <v>7094</v>
      </c>
      <c r="R86" s="3638"/>
      <c r="S86" s="3639"/>
    </row>
    <row r="87" spans="2:19" s="293" customFormat="1" ht="11.25" customHeight="1">
      <c r="D87" s="331"/>
      <c r="E87" s="2344" t="s">
        <v>998</v>
      </c>
      <c r="F87" s="305"/>
      <c r="H87" s="3465" t="s">
        <v>7091</v>
      </c>
      <c r="I87" s="3640"/>
      <c r="J87" s="3640"/>
      <c r="K87" s="3641"/>
      <c r="L87" s="3640"/>
      <c r="M87" s="3640"/>
      <c r="N87" s="3642"/>
      <c r="O87" s="2347" t="s">
        <v>1703</v>
      </c>
      <c r="Q87" s="3486" t="s">
        <v>7095</v>
      </c>
      <c r="R87" s="3550"/>
      <c r="S87" s="3551"/>
    </row>
    <row r="88" spans="2:19" s="293" customFormat="1" ht="11.25" customHeight="1">
      <c r="D88" s="331"/>
      <c r="E88" s="2344" t="s">
        <v>599</v>
      </c>
      <c r="H88" s="3465" t="s">
        <v>2761</v>
      </c>
      <c r="I88" s="3641"/>
      <c r="J88" s="3554"/>
      <c r="K88" s="2361" t="s">
        <v>2623</v>
      </c>
      <c r="L88" s="3465" t="s">
        <v>7092</v>
      </c>
      <c r="M88" s="3640"/>
      <c r="N88" s="3554"/>
      <c r="O88" s="2347" t="s">
        <v>1678</v>
      </c>
      <c r="Q88" s="3606">
        <v>8652514800</v>
      </c>
      <c r="R88" s="3607"/>
      <c r="S88" s="3608"/>
    </row>
    <row r="89" spans="2:19" s="293" customFormat="1" ht="11.25" customHeight="1">
      <c r="E89" s="2344" t="s">
        <v>1753</v>
      </c>
      <c r="H89" s="3552" t="s">
        <v>1330</v>
      </c>
      <c r="K89" s="1007" t="s">
        <v>2171</v>
      </c>
      <c r="L89" s="3472">
        <v>379215353</v>
      </c>
      <c r="M89" s="3653"/>
      <c r="O89" s="2347" t="s">
        <v>1930</v>
      </c>
      <c r="Q89" s="3606">
        <v>8652514800</v>
      </c>
      <c r="R89" s="3607"/>
      <c r="S89" s="3608"/>
    </row>
    <row r="90" spans="2:19" s="293" customFormat="1" ht="11.25" customHeight="1">
      <c r="D90" s="331"/>
      <c r="E90" s="2344" t="s">
        <v>3892</v>
      </c>
      <c r="H90" s="3648">
        <v>8652514800</v>
      </c>
      <c r="I90" s="3654"/>
      <c r="J90" s="3655"/>
      <c r="K90" s="2355" t="s">
        <v>1935</v>
      </c>
      <c r="L90" s="3609" t="s">
        <v>7093</v>
      </c>
      <c r="M90" s="3565"/>
      <c r="N90" s="3453"/>
      <c r="O90" s="3453"/>
      <c r="P90" s="3453"/>
      <c r="Q90" s="3565"/>
      <c r="R90" s="3565"/>
      <c r="S90" s="3566"/>
    </row>
    <row r="91" spans="2:19" ht="6.6" customHeight="1">
      <c r="H91" s="3656"/>
      <c r="I91" s="3656"/>
      <c r="J91" s="3656"/>
      <c r="K91" s="2355"/>
      <c r="L91" s="3656"/>
      <c r="M91" s="3656"/>
      <c r="N91" s="2349"/>
      <c r="O91" s="3657"/>
      <c r="P91" s="3657"/>
      <c r="Q91" s="2355"/>
      <c r="R91" s="3657"/>
      <c r="S91" s="3657"/>
    </row>
    <row r="92" spans="2:19" s="293" customFormat="1" ht="11.25" customHeight="1">
      <c r="B92" s="295" t="s">
        <v>730</v>
      </c>
      <c r="C92" s="295" t="s">
        <v>283</v>
      </c>
      <c r="F92" s="311"/>
      <c r="H92" s="3637" t="s">
        <v>7000</v>
      </c>
      <c r="I92" s="3638"/>
      <c r="J92" s="3638"/>
      <c r="K92" s="3638"/>
      <c r="L92" s="3638"/>
      <c r="M92" s="3638"/>
      <c r="N92" s="3639"/>
      <c r="O92" s="2347" t="s">
        <v>1940</v>
      </c>
      <c r="P92" s="2347"/>
      <c r="Q92" s="3637" t="s">
        <v>6989</v>
      </c>
      <c r="R92" s="3638"/>
      <c r="S92" s="3639"/>
    </row>
    <row r="93" spans="2:19" s="293" customFormat="1" ht="11.25" customHeight="1">
      <c r="D93" s="331"/>
      <c r="E93" s="2344" t="s">
        <v>998</v>
      </c>
      <c r="F93" s="305"/>
      <c r="H93" s="3465" t="s">
        <v>6992</v>
      </c>
      <c r="I93" s="3640"/>
      <c r="J93" s="3640"/>
      <c r="K93" s="3641"/>
      <c r="L93" s="3640"/>
      <c r="M93" s="3640"/>
      <c r="N93" s="3642"/>
      <c r="O93" s="2347" t="s">
        <v>1703</v>
      </c>
      <c r="Q93" s="3486" t="s">
        <v>6990</v>
      </c>
      <c r="R93" s="3550"/>
      <c r="S93" s="3551"/>
    </row>
    <row r="94" spans="2:19" s="293" customFormat="1" ht="11.25" customHeight="1">
      <c r="D94" s="331"/>
      <c r="E94" s="2344" t="s">
        <v>599</v>
      </c>
      <c r="H94" s="3465" t="s">
        <v>6987</v>
      </c>
      <c r="I94" s="3641"/>
      <c r="J94" s="3554"/>
      <c r="K94" s="2361" t="s">
        <v>2623</v>
      </c>
      <c r="L94" s="3465" t="s">
        <v>6998</v>
      </c>
      <c r="M94" s="3640"/>
      <c r="N94" s="3554"/>
      <c r="O94" s="2347" t="s">
        <v>1678</v>
      </c>
      <c r="Q94" s="3606">
        <v>5139641141</v>
      </c>
      <c r="R94" s="3607"/>
      <c r="S94" s="3608"/>
    </row>
    <row r="95" spans="2:19" s="293" customFormat="1" ht="11.25" customHeight="1">
      <c r="D95" s="331"/>
      <c r="E95" s="2344" t="s">
        <v>1753</v>
      </c>
      <c r="H95" s="3552" t="s">
        <v>1323</v>
      </c>
      <c r="K95" s="1007" t="s">
        <v>2171</v>
      </c>
      <c r="L95" s="3472">
        <v>450694817</v>
      </c>
      <c r="M95" s="3653"/>
      <c r="O95" s="2347" t="s">
        <v>1930</v>
      </c>
      <c r="Q95" s="3606">
        <v>5132563810</v>
      </c>
      <c r="R95" s="3607"/>
      <c r="S95" s="3608"/>
    </row>
    <row r="96" spans="2:19" s="293" customFormat="1" ht="11.25" customHeight="1">
      <c r="D96" s="331"/>
      <c r="E96" s="2344" t="s">
        <v>3892</v>
      </c>
      <c r="H96" s="3648">
        <v>5139641141</v>
      </c>
      <c r="I96" s="3654"/>
      <c r="J96" s="3655"/>
      <c r="K96" s="2355" t="s">
        <v>1935</v>
      </c>
      <c r="L96" s="3609" t="s">
        <v>6988</v>
      </c>
      <c r="M96" s="3565"/>
      <c r="N96" s="3453"/>
      <c r="O96" s="3453"/>
      <c r="P96" s="3453"/>
      <c r="Q96" s="3565"/>
      <c r="R96" s="3565"/>
      <c r="S96" s="3566"/>
    </row>
    <row r="97" spans="2:19" ht="6.6" customHeight="1">
      <c r="H97" s="3656"/>
      <c r="I97" s="3656"/>
      <c r="J97" s="3656"/>
      <c r="K97" s="2355"/>
      <c r="L97" s="3656"/>
      <c r="M97" s="3656"/>
      <c r="N97" s="2349"/>
      <c r="O97" s="3657"/>
      <c r="P97" s="3657"/>
      <c r="Q97" s="2355"/>
      <c r="R97" s="3657"/>
      <c r="S97" s="3657"/>
    </row>
    <row r="98" spans="2:19" s="293" customFormat="1" ht="11.25" customHeight="1">
      <c r="B98" s="295" t="s">
        <v>2063</v>
      </c>
      <c r="C98" s="295" t="s">
        <v>284</v>
      </c>
      <c r="H98" s="3637" t="s">
        <v>7001</v>
      </c>
      <c r="I98" s="3638"/>
      <c r="J98" s="3638"/>
      <c r="K98" s="3638"/>
      <c r="L98" s="3638"/>
      <c r="M98" s="3638"/>
      <c r="N98" s="3639"/>
      <c r="O98" s="2347" t="s">
        <v>1940</v>
      </c>
      <c r="P98" s="2347"/>
      <c r="Q98" s="3637" t="s">
        <v>7003</v>
      </c>
      <c r="R98" s="3638"/>
      <c r="S98" s="3639"/>
    </row>
    <row r="99" spans="2:19" s="293" customFormat="1" ht="11.25" customHeight="1">
      <c r="D99" s="331"/>
      <c r="E99" s="2344" t="s">
        <v>998</v>
      </c>
      <c r="F99" s="305"/>
      <c r="H99" s="3465" t="s">
        <v>7002</v>
      </c>
      <c r="I99" s="3640"/>
      <c r="J99" s="3640"/>
      <c r="K99" s="3641"/>
      <c r="L99" s="3640"/>
      <c r="M99" s="3640"/>
      <c r="N99" s="3642"/>
      <c r="O99" s="2347" t="s">
        <v>1703</v>
      </c>
      <c r="Q99" s="3486" t="s">
        <v>7004</v>
      </c>
      <c r="R99" s="3550"/>
      <c r="S99" s="3551"/>
    </row>
    <row r="100" spans="2:19" s="293" customFormat="1" ht="11.25" customHeight="1">
      <c r="D100" s="331"/>
      <c r="E100" s="2344" t="s">
        <v>599</v>
      </c>
      <c r="H100" s="3465" t="s">
        <v>1653</v>
      </c>
      <c r="I100" s="3641"/>
      <c r="J100" s="3554"/>
      <c r="K100" s="2361" t="s">
        <v>2623</v>
      </c>
      <c r="L100" s="3465" t="s">
        <v>7005</v>
      </c>
      <c r="M100" s="3640"/>
      <c r="N100" s="3554"/>
      <c r="O100" s="2347" t="s">
        <v>1678</v>
      </c>
      <c r="Q100" s="3606">
        <v>2296718260</v>
      </c>
      <c r="R100" s="3607"/>
      <c r="S100" s="3608"/>
    </row>
    <row r="101" spans="2:19" s="293" customFormat="1" ht="11.25" customHeight="1">
      <c r="D101" s="331"/>
      <c r="E101" s="2344" t="s">
        <v>1753</v>
      </c>
      <c r="H101" s="3552" t="s">
        <v>827</v>
      </c>
      <c r="K101" s="1007" t="s">
        <v>2171</v>
      </c>
      <c r="L101" s="3472">
        <v>316014531</v>
      </c>
      <c r="M101" s="3653"/>
      <c r="O101" s="2347" t="s">
        <v>1930</v>
      </c>
      <c r="Q101" s="3606">
        <v>2298349704</v>
      </c>
      <c r="R101" s="3607"/>
      <c r="S101" s="3608"/>
    </row>
    <row r="102" spans="2:19" ht="11.25" customHeight="1">
      <c r="E102" s="2344" t="s">
        <v>3892</v>
      </c>
      <c r="F102" s="293"/>
      <c r="G102" s="293"/>
      <c r="H102" s="3648">
        <v>2296718260</v>
      </c>
      <c r="I102" s="3654"/>
      <c r="J102" s="3655"/>
      <c r="K102" s="2355" t="s">
        <v>1935</v>
      </c>
      <c r="L102" s="3609" t="s">
        <v>7006</v>
      </c>
      <c r="M102" s="3565"/>
      <c r="N102" s="3453"/>
      <c r="O102" s="3453"/>
      <c r="P102" s="3453"/>
      <c r="Q102" s="3565"/>
      <c r="R102" s="3565"/>
      <c r="S102" s="3566"/>
    </row>
    <row r="103" spans="2:19" ht="6" customHeight="1">
      <c r="E103" s="2344"/>
      <c r="F103" s="293"/>
      <c r="G103" s="2352"/>
      <c r="H103" s="3656"/>
      <c r="I103" s="3656"/>
      <c r="J103" s="3656"/>
      <c r="K103" s="2355"/>
      <c r="L103" s="3656"/>
      <c r="M103" s="3656"/>
      <c r="N103" s="2349"/>
      <c r="O103" s="3657"/>
      <c r="P103" s="3657"/>
      <c r="Q103" s="2355"/>
      <c r="R103" s="3657"/>
      <c r="S103" s="3657"/>
    </row>
    <row r="104" spans="2:19" s="293" customFormat="1" ht="11.25" customHeight="1">
      <c r="B104" s="295" t="s">
        <v>1691</v>
      </c>
      <c r="C104" s="295" t="s">
        <v>285</v>
      </c>
      <c r="H104" s="3637" t="s">
        <v>7007</v>
      </c>
      <c r="I104" s="3638"/>
      <c r="J104" s="3638"/>
      <c r="K104" s="3638"/>
      <c r="L104" s="3638"/>
      <c r="M104" s="3638"/>
      <c r="N104" s="3639"/>
      <c r="O104" s="2347" t="s">
        <v>1940</v>
      </c>
      <c r="P104" s="2347"/>
      <c r="Q104" s="3637" t="s">
        <v>7009</v>
      </c>
      <c r="R104" s="3638"/>
      <c r="S104" s="3639"/>
    </row>
    <row r="105" spans="2:19" s="293" customFormat="1" ht="11.25" customHeight="1">
      <c r="D105" s="331"/>
      <c r="E105" s="2344" t="s">
        <v>998</v>
      </c>
      <c r="F105" s="305"/>
      <c r="H105" s="3465" t="s">
        <v>7008</v>
      </c>
      <c r="I105" s="3640"/>
      <c r="J105" s="3640"/>
      <c r="K105" s="3641"/>
      <c r="L105" s="3640"/>
      <c r="M105" s="3640"/>
      <c r="N105" s="3642"/>
      <c r="O105" s="2347" t="s">
        <v>1703</v>
      </c>
      <c r="Q105" s="3486" t="s">
        <v>7010</v>
      </c>
      <c r="R105" s="3550"/>
      <c r="S105" s="3551"/>
    </row>
    <row r="106" spans="2:19" s="293" customFormat="1" ht="11.25" customHeight="1">
      <c r="D106" s="331"/>
      <c r="E106" s="2344" t="s">
        <v>599</v>
      </c>
      <c r="H106" s="3465" t="s">
        <v>1178</v>
      </c>
      <c r="I106" s="3641"/>
      <c r="J106" s="3554"/>
      <c r="K106" s="2361" t="s">
        <v>2623</v>
      </c>
      <c r="L106" s="3465" t="s">
        <v>7011</v>
      </c>
      <c r="M106" s="3640"/>
      <c r="N106" s="3554"/>
      <c r="O106" s="2347" t="s">
        <v>1678</v>
      </c>
      <c r="Q106" s="3606">
        <v>2052715514</v>
      </c>
      <c r="R106" s="3607"/>
      <c r="S106" s="3608"/>
    </row>
    <row r="107" spans="2:19" s="293" customFormat="1" ht="11.25" customHeight="1">
      <c r="D107" s="331"/>
      <c r="E107" s="2344" t="s">
        <v>1753</v>
      </c>
      <c r="H107" s="3552" t="s">
        <v>827</v>
      </c>
      <c r="K107" s="1007" t="s">
        <v>2171</v>
      </c>
      <c r="L107" s="3472">
        <v>303285382</v>
      </c>
      <c r="M107" s="3653"/>
      <c r="O107" s="2347" t="s">
        <v>1930</v>
      </c>
      <c r="Q107" s="3606">
        <v>7403577487</v>
      </c>
      <c r="R107" s="3607"/>
      <c r="S107" s="3608"/>
    </row>
    <row r="108" spans="2:19" ht="11.25" customHeight="1">
      <c r="E108" s="2344" t="s">
        <v>3892</v>
      </c>
      <c r="F108" s="293"/>
      <c r="G108" s="293"/>
      <c r="H108" s="3648">
        <v>2052715514</v>
      </c>
      <c r="I108" s="3654"/>
      <c r="J108" s="3655"/>
      <c r="K108" s="2355" t="s">
        <v>1935</v>
      </c>
      <c r="L108" s="3609" t="s">
        <v>7012</v>
      </c>
      <c r="M108" s="3565"/>
      <c r="N108" s="3453"/>
      <c r="O108" s="3453"/>
      <c r="P108" s="3453"/>
      <c r="Q108" s="3565"/>
      <c r="R108" s="3565"/>
      <c r="S108" s="3566"/>
    </row>
    <row r="109" spans="2:19" ht="6.6" customHeight="1">
      <c r="E109" s="2344"/>
      <c r="F109" s="293"/>
      <c r="G109" s="2352"/>
      <c r="H109" s="3656"/>
      <c r="I109" s="3656"/>
      <c r="J109" s="3656"/>
      <c r="K109" s="2355"/>
      <c r="L109" s="3656"/>
      <c r="M109" s="3656"/>
      <c r="N109" s="2349"/>
      <c r="O109" s="3657"/>
      <c r="P109" s="3657"/>
      <c r="Q109" s="2355"/>
      <c r="R109" s="3657"/>
      <c r="S109" s="3657"/>
    </row>
    <row r="110" spans="2:19" s="293" customFormat="1" ht="11.25" customHeight="1">
      <c r="B110" s="295" t="s">
        <v>1692</v>
      </c>
      <c r="C110" s="295" t="s">
        <v>286</v>
      </c>
      <c r="H110" s="3637" t="s">
        <v>7013</v>
      </c>
      <c r="I110" s="3638"/>
      <c r="J110" s="3638"/>
      <c r="K110" s="3638"/>
      <c r="L110" s="3638"/>
      <c r="M110" s="3638"/>
      <c r="N110" s="3639"/>
      <c r="O110" s="2347" t="s">
        <v>1940</v>
      </c>
      <c r="P110" s="2347"/>
      <c r="Q110" s="3637" t="s">
        <v>7014</v>
      </c>
      <c r="R110" s="3638"/>
      <c r="S110" s="3639"/>
    </row>
    <row r="111" spans="2:19" s="293" customFormat="1" ht="11.25" customHeight="1">
      <c r="D111" s="331"/>
      <c r="E111" s="2344" t="s">
        <v>998</v>
      </c>
      <c r="F111" s="305"/>
      <c r="H111" s="3465" t="s">
        <v>6992</v>
      </c>
      <c r="I111" s="3640"/>
      <c r="J111" s="3640"/>
      <c r="K111" s="3641"/>
      <c r="L111" s="3640"/>
      <c r="M111" s="3640"/>
      <c r="N111" s="3642"/>
      <c r="O111" s="2347" t="s">
        <v>1703</v>
      </c>
      <c r="Q111" s="3486" t="s">
        <v>7015</v>
      </c>
      <c r="R111" s="3550"/>
      <c r="S111" s="3551"/>
    </row>
    <row r="112" spans="2:19" s="293" customFormat="1" ht="11.25" customHeight="1">
      <c r="D112" s="331"/>
      <c r="E112" s="2344" t="s">
        <v>599</v>
      </c>
      <c r="H112" s="3465" t="s">
        <v>6987</v>
      </c>
      <c r="I112" s="3641"/>
      <c r="J112" s="3554"/>
      <c r="K112" s="2361" t="s">
        <v>2623</v>
      </c>
      <c r="L112" s="3465" t="s">
        <v>6998</v>
      </c>
      <c r="M112" s="3640"/>
      <c r="N112" s="3554"/>
      <c r="O112" s="2347" t="s">
        <v>1678</v>
      </c>
      <c r="Q112" s="3606">
        <v>5139641154</v>
      </c>
      <c r="R112" s="3607"/>
      <c r="S112" s="3608"/>
    </row>
    <row r="113" spans="1:22" s="293" customFormat="1" ht="11.25" customHeight="1">
      <c r="D113" s="335"/>
      <c r="E113" s="2344" t="s">
        <v>1753</v>
      </c>
      <c r="H113" s="3552" t="s">
        <v>1323</v>
      </c>
      <c r="K113" s="1007" t="s">
        <v>2171</v>
      </c>
      <c r="L113" s="3472">
        <v>450694817</v>
      </c>
      <c r="M113" s="3653"/>
      <c r="O113" s="2347" t="s">
        <v>1930</v>
      </c>
      <c r="Q113" s="3606">
        <v>6145719540</v>
      </c>
      <c r="R113" s="3607"/>
      <c r="S113" s="3608"/>
    </row>
    <row r="114" spans="1:22" s="293" customFormat="1" ht="11.25" customHeight="1">
      <c r="D114" s="335"/>
      <c r="E114" s="2344" t="s">
        <v>3892</v>
      </c>
      <c r="H114" s="3648">
        <v>5139641154</v>
      </c>
      <c r="I114" s="3654"/>
      <c r="J114" s="3655"/>
      <c r="K114" s="2355" t="s">
        <v>1935</v>
      </c>
      <c r="L114" s="3609" t="s">
        <v>7016</v>
      </c>
      <c r="M114" s="3565"/>
      <c r="N114" s="3453"/>
      <c r="O114" s="3453"/>
      <c r="P114" s="3453"/>
      <c r="Q114" s="3565"/>
      <c r="R114" s="3565"/>
      <c r="S114" s="3566"/>
    </row>
    <row r="115" spans="1:22" ht="3" customHeight="1"/>
    <row r="116" spans="1:22" s="293" customFormat="1" ht="12" customHeight="1">
      <c r="A116" s="295" t="s">
        <v>1747</v>
      </c>
      <c r="B116" s="295" t="s">
        <v>2534</v>
      </c>
      <c r="F116" s="295"/>
      <c r="G116" s="2355"/>
      <c r="H116" s="2355"/>
      <c r="I116" s="2355"/>
      <c r="J116" s="2355"/>
      <c r="K116" s="2355"/>
      <c r="L116" s="2355"/>
      <c r="M116" s="2355"/>
      <c r="N116" s="2355"/>
      <c r="O116" s="2355"/>
      <c r="P116" s="2355"/>
      <c r="Q116" s="2361"/>
    </row>
    <row r="117" spans="1:22" s="293" customFormat="1" ht="11.25" customHeight="1">
      <c r="B117" s="295" t="s">
        <v>1934</v>
      </c>
      <c r="C117" s="295" t="s">
        <v>3437</v>
      </c>
      <c r="H117" s="3637" t="s">
        <v>7086</v>
      </c>
      <c r="I117" s="3660"/>
      <c r="J117" s="3661"/>
      <c r="K117" s="2355" t="s">
        <v>2408</v>
      </c>
      <c r="L117" s="3637" t="s">
        <v>7087</v>
      </c>
      <c r="M117" s="3638"/>
      <c r="N117" s="3639"/>
      <c r="O117" s="2344" t="s">
        <v>3438</v>
      </c>
      <c r="Q117" s="3662">
        <v>9125719014</v>
      </c>
      <c r="R117" s="3663"/>
      <c r="S117" s="3664"/>
    </row>
    <row r="118" spans="1:22" s="293" customFormat="1" ht="11.25" customHeight="1">
      <c r="D118" s="331"/>
      <c r="E118" s="2344" t="s">
        <v>998</v>
      </c>
      <c r="F118" s="305"/>
      <c r="H118" s="3557" t="s">
        <v>7089</v>
      </c>
      <c r="I118" s="3665"/>
      <c r="J118" s="3666"/>
      <c r="K118" s="3558"/>
      <c r="L118" s="3665"/>
      <c r="M118" s="3665"/>
      <c r="N118" s="3667"/>
      <c r="O118" s="2344" t="s">
        <v>599</v>
      </c>
      <c r="Q118" s="3668" t="s">
        <v>338</v>
      </c>
      <c r="R118" s="3561"/>
      <c r="S118" s="3562"/>
    </row>
    <row r="119" spans="1:22" s="293" customFormat="1" ht="11.25" customHeight="1">
      <c r="D119" s="331"/>
      <c r="E119" s="2344" t="s">
        <v>1753</v>
      </c>
      <c r="H119" s="3669" t="s">
        <v>827</v>
      </c>
      <c r="I119" s="1007" t="s">
        <v>2171</v>
      </c>
      <c r="J119" s="3553">
        <v>313053328</v>
      </c>
      <c r="K119" s="3554"/>
      <c r="L119" s="2355" t="s">
        <v>1935</v>
      </c>
      <c r="M119" s="3452" t="s">
        <v>7088</v>
      </c>
      <c r="N119" s="3453"/>
      <c r="O119" s="3453"/>
      <c r="P119" s="3453"/>
      <c r="Q119" s="3565"/>
      <c r="R119" s="3565"/>
      <c r="S119" s="3566"/>
    </row>
    <row r="120" spans="1:22" ht="12" customHeight="1">
      <c r="B120" s="295" t="s">
        <v>1936</v>
      </c>
      <c r="C120" s="295" t="s">
        <v>4431</v>
      </c>
      <c r="H120" s="1479"/>
      <c r="I120" s="1479"/>
      <c r="J120" s="1479"/>
      <c r="K120" s="1479"/>
      <c r="L120" s="1479"/>
      <c r="M120" s="1479"/>
      <c r="N120" s="1479"/>
      <c r="O120" s="1479"/>
      <c r="P120" s="1479"/>
      <c r="Q120" s="1479"/>
      <c r="R120" s="1479"/>
      <c r="S120" s="1479"/>
    </row>
    <row r="121" spans="1:22" ht="11.25" customHeight="1" thickBot="1">
      <c r="A121" s="2440" t="s">
        <v>3654</v>
      </c>
      <c r="B121" s="2440"/>
      <c r="C121" s="2440"/>
      <c r="D121" s="2440"/>
      <c r="E121" s="2441"/>
      <c r="F121" s="3670" t="s">
        <v>2442</v>
      </c>
      <c r="G121" s="3671" t="s">
        <v>3355</v>
      </c>
      <c r="H121" s="3672"/>
      <c r="I121" s="3672"/>
      <c r="J121" s="3672"/>
      <c r="K121" s="3672"/>
      <c r="L121" s="3672"/>
      <c r="M121" s="3672"/>
      <c r="N121" s="3672"/>
      <c r="O121" s="3672"/>
      <c r="P121" s="3672"/>
      <c r="Q121" s="3672"/>
      <c r="R121" s="3672"/>
      <c r="S121" s="3673"/>
    </row>
    <row r="122" spans="1:22" s="293" customFormat="1" ht="25.5" customHeight="1" thickBot="1">
      <c r="B122" s="487"/>
      <c r="C122" s="1042" t="s">
        <v>1937</v>
      </c>
      <c r="D122" s="2442" t="s">
        <v>2735</v>
      </c>
      <c r="E122" s="2442"/>
      <c r="F122" s="3674" t="s">
        <v>2886</v>
      </c>
      <c r="G122" s="2874"/>
      <c r="H122" s="3675"/>
      <c r="I122" s="3675"/>
      <c r="J122" s="3675"/>
      <c r="K122" s="3675"/>
      <c r="L122" s="3675"/>
      <c r="M122" s="3675"/>
      <c r="N122" s="3675"/>
      <c r="O122" s="3675"/>
      <c r="P122" s="3675"/>
      <c r="Q122" s="3675"/>
      <c r="R122" s="3675"/>
      <c r="S122" s="3676"/>
      <c r="U122" s="2433" t="s">
        <v>1982</v>
      </c>
      <c r="V122" s="2433"/>
    </row>
    <row r="123" spans="1:22" s="293" customFormat="1" ht="25.5" customHeight="1" thickBot="1">
      <c r="B123" s="487"/>
      <c r="C123" s="580" t="s">
        <v>1939</v>
      </c>
      <c r="D123" s="2420" t="s">
        <v>2796</v>
      </c>
      <c r="E123" s="2423"/>
      <c r="F123" s="3674" t="s">
        <v>2886</v>
      </c>
      <c r="G123" s="2741"/>
      <c r="H123" s="2741"/>
      <c r="I123" s="2741"/>
      <c r="J123" s="2741"/>
      <c r="K123" s="2741"/>
      <c r="L123" s="2741"/>
      <c r="M123" s="2741"/>
      <c r="N123" s="2741"/>
      <c r="O123" s="2741"/>
      <c r="P123" s="2741"/>
      <c r="Q123" s="2741"/>
      <c r="R123" s="2741"/>
      <c r="S123" s="2742"/>
      <c r="U123" s="2433"/>
      <c r="V123" s="2433"/>
    </row>
    <row r="124" spans="1:22" s="293" customFormat="1" ht="25.5" customHeight="1" thickBot="1">
      <c r="B124" s="487"/>
      <c r="C124" s="580" t="s">
        <v>2466</v>
      </c>
      <c r="D124" s="2420" t="s">
        <v>2775</v>
      </c>
      <c r="E124" s="2423"/>
      <c r="F124" s="3674" t="s">
        <v>2886</v>
      </c>
      <c r="G124" s="2741"/>
      <c r="H124" s="2741"/>
      <c r="I124" s="2741"/>
      <c r="J124" s="2741"/>
      <c r="K124" s="2741"/>
      <c r="L124" s="2741"/>
      <c r="M124" s="2741"/>
      <c r="N124" s="2741"/>
      <c r="O124" s="2741"/>
      <c r="P124" s="2741"/>
      <c r="Q124" s="2741"/>
      <c r="R124" s="2741"/>
      <c r="S124" s="2742"/>
      <c r="U124" s="2433"/>
      <c r="V124" s="2433"/>
    </row>
    <row r="125" spans="1:22" s="293" customFormat="1" ht="25.5" customHeight="1" thickBot="1">
      <c r="B125" s="487"/>
      <c r="C125" s="580" t="s">
        <v>1197</v>
      </c>
      <c r="D125" s="2420" t="s">
        <v>2736</v>
      </c>
      <c r="E125" s="2423"/>
      <c r="F125" s="3674" t="s">
        <v>2886</v>
      </c>
      <c r="G125" s="2741"/>
      <c r="H125" s="2741"/>
      <c r="I125" s="2741"/>
      <c r="J125" s="2741"/>
      <c r="K125" s="2741"/>
      <c r="L125" s="2741"/>
      <c r="M125" s="2741"/>
      <c r="N125" s="2741"/>
      <c r="O125" s="2741"/>
      <c r="P125" s="2741"/>
      <c r="Q125" s="2741"/>
      <c r="R125" s="2741"/>
      <c r="S125" s="2742"/>
      <c r="U125" s="2433"/>
      <c r="V125" s="2433"/>
    </row>
    <row r="126" spans="1:22" s="293" customFormat="1" ht="25.5" customHeight="1" thickBot="1">
      <c r="B126" s="487"/>
      <c r="C126" s="580" t="s">
        <v>1198</v>
      </c>
      <c r="D126" s="2420" t="s">
        <v>3346</v>
      </c>
      <c r="E126" s="2423"/>
      <c r="F126" s="3674" t="s">
        <v>2883</v>
      </c>
      <c r="G126" s="2741" t="s">
        <v>7139</v>
      </c>
      <c r="H126" s="2741"/>
      <c r="I126" s="2741"/>
      <c r="J126" s="2741"/>
      <c r="K126" s="2741"/>
      <c r="L126" s="2741"/>
      <c r="M126" s="2741"/>
      <c r="N126" s="2741"/>
      <c r="O126" s="2741"/>
      <c r="P126" s="2741"/>
      <c r="Q126" s="2741"/>
      <c r="R126" s="2741"/>
      <c r="S126" s="2742"/>
      <c r="U126" s="2433"/>
      <c r="V126" s="2433"/>
    </row>
    <row r="127" spans="1:22" s="293" customFormat="1" ht="25.5" customHeight="1" thickBot="1">
      <c r="B127" s="487"/>
      <c r="C127" s="580" t="s">
        <v>1832</v>
      </c>
      <c r="D127" s="2420" t="s">
        <v>3347</v>
      </c>
      <c r="E127" s="2423"/>
      <c r="F127" s="3674" t="s">
        <v>2886</v>
      </c>
      <c r="G127" s="2741"/>
      <c r="H127" s="2741"/>
      <c r="I127" s="2741"/>
      <c r="J127" s="2741"/>
      <c r="K127" s="2741"/>
      <c r="L127" s="2741"/>
      <c r="M127" s="2741"/>
      <c r="N127" s="2741"/>
      <c r="O127" s="2741"/>
      <c r="P127" s="2741"/>
      <c r="Q127" s="2741"/>
      <c r="R127" s="2741"/>
      <c r="S127" s="2742"/>
      <c r="U127" s="2433"/>
      <c r="V127" s="2433"/>
    </row>
    <row r="128" spans="1:22" s="293" customFormat="1" ht="25.5" customHeight="1" thickBot="1">
      <c r="B128" s="487"/>
      <c r="C128" s="580" t="s">
        <v>491</v>
      </c>
      <c r="D128" s="2420" t="s">
        <v>2737</v>
      </c>
      <c r="E128" s="2423"/>
      <c r="F128" s="3674" t="s">
        <v>2886</v>
      </c>
      <c r="G128" s="2741"/>
      <c r="H128" s="2741"/>
      <c r="I128" s="2741"/>
      <c r="J128" s="2741"/>
      <c r="K128" s="2741"/>
      <c r="L128" s="2741"/>
      <c r="M128" s="2741"/>
      <c r="N128" s="2741"/>
      <c r="O128" s="2741"/>
      <c r="P128" s="2741"/>
      <c r="Q128" s="2741"/>
      <c r="R128" s="2741"/>
      <c r="S128" s="2742"/>
    </row>
    <row r="129" spans="1:22" s="293" customFormat="1" ht="25.5" customHeight="1" thickBot="1">
      <c r="B129" s="487"/>
      <c r="C129" s="580" t="s">
        <v>492</v>
      </c>
      <c r="D129" s="2420" t="s">
        <v>4445</v>
      </c>
      <c r="E129" s="2423"/>
      <c r="F129" s="3674" t="s">
        <v>2886</v>
      </c>
      <c r="G129" s="2741"/>
      <c r="H129" s="2741"/>
      <c r="I129" s="2741"/>
      <c r="J129" s="2741"/>
      <c r="K129" s="2741"/>
      <c r="L129" s="2741"/>
      <c r="M129" s="2741"/>
      <c r="N129" s="2741"/>
      <c r="O129" s="2741"/>
      <c r="P129" s="2741"/>
      <c r="Q129" s="2741"/>
      <c r="R129" s="2741"/>
      <c r="S129" s="2742"/>
    </row>
    <row r="130" spans="1:22" s="293" customFormat="1" ht="25.5" customHeight="1" thickBot="1">
      <c r="B130" s="487"/>
      <c r="C130" s="580" t="s">
        <v>4444</v>
      </c>
      <c r="D130" s="3677" t="s">
        <v>3653</v>
      </c>
      <c r="E130" s="3678"/>
      <c r="F130" s="3674" t="s">
        <v>2883</v>
      </c>
      <c r="G130" s="2738" t="s">
        <v>7060</v>
      </c>
      <c r="H130" s="2738"/>
      <c r="I130" s="2738"/>
      <c r="J130" s="2738"/>
      <c r="K130" s="2738"/>
      <c r="L130" s="2738"/>
      <c r="M130" s="2738"/>
      <c r="N130" s="2738"/>
      <c r="O130" s="2738"/>
      <c r="P130" s="2738"/>
      <c r="Q130" s="2738"/>
      <c r="R130" s="2738"/>
      <c r="S130" s="2739"/>
    </row>
    <row r="131" spans="1:22" s="293" customFormat="1" ht="13.35" customHeight="1">
      <c r="A131" s="295" t="s">
        <v>1747</v>
      </c>
      <c r="B131" s="295" t="s">
        <v>2744</v>
      </c>
      <c r="F131" s="295"/>
      <c r="G131" s="2355"/>
      <c r="H131" s="2355"/>
      <c r="I131" s="2355"/>
      <c r="J131" s="2355"/>
      <c r="K131" s="2355"/>
      <c r="L131" s="2355"/>
      <c r="M131" s="2355"/>
      <c r="N131" s="2355"/>
      <c r="O131" s="2355"/>
      <c r="P131" s="2355"/>
      <c r="Q131" s="2361"/>
    </row>
    <row r="132" spans="1:22" s="293" customFormat="1" ht="2.25" customHeight="1">
      <c r="A132" s="295"/>
      <c r="B132" s="295"/>
      <c r="F132" s="295"/>
      <c r="G132" s="2355"/>
      <c r="H132" s="2355"/>
      <c r="I132" s="2355"/>
      <c r="J132" s="2355"/>
      <c r="K132" s="2355"/>
      <c r="L132" s="2355"/>
      <c r="M132" s="2355"/>
      <c r="N132" s="2355"/>
      <c r="O132" s="2355"/>
      <c r="P132" s="2355"/>
      <c r="Q132" s="2361"/>
    </row>
    <row r="133" spans="1:22" ht="13.35" customHeight="1">
      <c r="B133" s="295" t="s">
        <v>730</v>
      </c>
      <c r="C133" s="295" t="s">
        <v>4432</v>
      </c>
    </row>
    <row r="134" spans="1:22" s="293" customFormat="1" ht="13.5" customHeight="1">
      <c r="A134" s="2449" t="s">
        <v>621</v>
      </c>
      <c r="B134" s="2442"/>
      <c r="C134" s="2442"/>
      <c r="D134" s="2442"/>
      <c r="E134" s="2453" t="s">
        <v>3331</v>
      </c>
      <c r="F134" s="2454"/>
      <c r="G134" s="2454"/>
      <c r="H134" s="2454"/>
      <c r="I134" s="2455"/>
      <c r="J134" s="2459" t="s">
        <v>3332</v>
      </c>
      <c r="K134" s="2462" t="s">
        <v>2802</v>
      </c>
      <c r="L134" s="2462" t="s">
        <v>2803</v>
      </c>
      <c r="M134" s="2465" t="s">
        <v>3340</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3535</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2442</v>
      </c>
      <c r="J138" s="2461"/>
      <c r="K138" s="2464"/>
      <c r="L138" s="2463"/>
      <c r="M138" s="1484" t="s">
        <v>2442</v>
      </c>
      <c r="N138" s="2408" t="s">
        <v>2801</v>
      </c>
      <c r="O138" s="2408"/>
      <c r="P138" s="2408"/>
      <c r="Q138" s="2408"/>
      <c r="R138" s="2408"/>
      <c r="S138" s="2477"/>
    </row>
    <row r="139" spans="1:22" s="293" customFormat="1" ht="24" customHeight="1">
      <c r="A139" s="2443" t="s">
        <v>3326</v>
      </c>
      <c r="B139" s="2444"/>
      <c r="C139" s="2444"/>
      <c r="D139" s="2445"/>
      <c r="E139" s="3679"/>
      <c r="F139" s="3675"/>
      <c r="G139" s="3675"/>
      <c r="H139" s="3675"/>
      <c r="I139" s="3680" t="s">
        <v>2886</v>
      </c>
      <c r="J139" s="3681" t="s">
        <v>2886</v>
      </c>
      <c r="K139" s="3682" t="s">
        <v>6997</v>
      </c>
      <c r="L139" s="3683">
        <v>1E-4</v>
      </c>
      <c r="M139" s="3684" t="s">
        <v>2883</v>
      </c>
      <c r="N139" s="3685" t="s">
        <v>7063</v>
      </c>
      <c r="O139" s="3675"/>
      <c r="P139" s="3675"/>
      <c r="Q139" s="3675"/>
      <c r="R139" s="3675"/>
      <c r="S139" s="3676"/>
    </row>
    <row r="140" spans="1:22" s="293" customFormat="1" ht="24" customHeight="1">
      <c r="A140" s="2446" t="s">
        <v>3327</v>
      </c>
      <c r="B140" s="2447"/>
      <c r="C140" s="2447"/>
      <c r="D140" s="2448"/>
      <c r="E140" s="2740"/>
      <c r="F140" s="2741"/>
      <c r="G140" s="2741"/>
      <c r="H140" s="2741"/>
      <c r="I140" s="3686" t="s">
        <v>4376</v>
      </c>
      <c r="J140" s="3687" t="s">
        <v>4376</v>
      </c>
      <c r="K140" s="3688"/>
      <c r="L140" s="3689"/>
      <c r="M140" s="3690" t="s">
        <v>4376</v>
      </c>
      <c r="N140" s="3691"/>
      <c r="O140" s="2741"/>
      <c r="P140" s="2741"/>
      <c r="Q140" s="2741"/>
      <c r="R140" s="2741"/>
      <c r="S140" s="2742"/>
      <c r="U140" s="2433" t="s">
        <v>1982</v>
      </c>
      <c r="V140" s="2433"/>
    </row>
    <row r="141" spans="1:22" s="293" customFormat="1" ht="24" customHeight="1">
      <c r="A141" s="2446" t="s">
        <v>3328</v>
      </c>
      <c r="B141" s="2447"/>
      <c r="C141" s="2447"/>
      <c r="D141" s="2448"/>
      <c r="E141" s="2740"/>
      <c r="F141" s="2741"/>
      <c r="G141" s="2741"/>
      <c r="H141" s="2741"/>
      <c r="I141" s="3686" t="s">
        <v>4376</v>
      </c>
      <c r="J141" s="3687" t="s">
        <v>4376</v>
      </c>
      <c r="K141" s="3688"/>
      <c r="L141" s="3689"/>
      <c r="M141" s="3690" t="s">
        <v>4376</v>
      </c>
      <c r="N141" s="3691"/>
      <c r="O141" s="2741"/>
      <c r="P141" s="2741"/>
      <c r="Q141" s="2741"/>
      <c r="R141" s="2741"/>
      <c r="S141" s="2742"/>
      <c r="U141" s="2433"/>
      <c r="V141" s="2433"/>
    </row>
    <row r="142" spans="1:22" s="293" customFormat="1" ht="24" customHeight="1">
      <c r="A142" s="2446" t="s">
        <v>3329</v>
      </c>
      <c r="B142" s="2447"/>
      <c r="C142" s="2447"/>
      <c r="D142" s="2448"/>
      <c r="E142" s="2740"/>
      <c r="F142" s="2741"/>
      <c r="G142" s="2741"/>
      <c r="H142" s="2741"/>
      <c r="I142" s="3686" t="s">
        <v>2886</v>
      </c>
      <c r="J142" s="3687" t="s">
        <v>2886</v>
      </c>
      <c r="K142" s="3688" t="s">
        <v>6997</v>
      </c>
      <c r="L142" s="3689">
        <v>0.9899</v>
      </c>
      <c r="M142" s="3690" t="s">
        <v>2886</v>
      </c>
      <c r="N142" s="3691"/>
      <c r="O142" s="2741"/>
      <c r="P142" s="2741"/>
      <c r="Q142" s="2741"/>
      <c r="R142" s="2741"/>
      <c r="S142" s="2742"/>
      <c r="U142" s="2433"/>
      <c r="V142" s="2433"/>
    </row>
    <row r="143" spans="1:22" s="293" customFormat="1" ht="33" customHeight="1">
      <c r="A143" s="2446" t="s">
        <v>3330</v>
      </c>
      <c r="B143" s="2447"/>
      <c r="C143" s="2447"/>
      <c r="D143" s="2448"/>
      <c r="E143" s="2740"/>
      <c r="F143" s="2741"/>
      <c r="G143" s="2741"/>
      <c r="H143" s="2741"/>
      <c r="I143" s="3686" t="s">
        <v>2886</v>
      </c>
      <c r="J143" s="3687" t="s">
        <v>2886</v>
      </c>
      <c r="K143" s="3688" t="s">
        <v>6997</v>
      </c>
      <c r="L143" s="3689">
        <v>0.01</v>
      </c>
      <c r="M143" s="3690" t="s">
        <v>2883</v>
      </c>
      <c r="N143" s="3691" t="s">
        <v>7139</v>
      </c>
      <c r="O143" s="2741"/>
      <c r="P143" s="2741"/>
      <c r="Q143" s="2741"/>
      <c r="R143" s="2741"/>
      <c r="S143" s="2742"/>
      <c r="U143" s="2433"/>
      <c r="V143" s="2433"/>
    </row>
    <row r="144" spans="1:22" s="293" customFormat="1" ht="24" customHeight="1">
      <c r="A144" s="2446" t="s">
        <v>2790</v>
      </c>
      <c r="B144" s="2447"/>
      <c r="C144" s="2447"/>
      <c r="D144" s="2448"/>
      <c r="E144" s="2740"/>
      <c r="F144" s="2741"/>
      <c r="G144" s="2741"/>
      <c r="H144" s="2741"/>
      <c r="I144" s="3686" t="s">
        <v>4376</v>
      </c>
      <c r="J144" s="3687" t="s">
        <v>4376</v>
      </c>
      <c r="K144" s="3688"/>
      <c r="L144" s="3689"/>
      <c r="M144" s="3690" t="s">
        <v>4376</v>
      </c>
      <c r="N144" s="3691"/>
      <c r="O144" s="2741"/>
      <c r="P144" s="2741"/>
      <c r="Q144" s="2741"/>
      <c r="R144" s="2741"/>
      <c r="S144" s="2742"/>
      <c r="U144" s="2433"/>
      <c r="V144" s="2433"/>
    </row>
    <row r="145" spans="1:24" s="293" customFormat="1" ht="33.6" customHeight="1">
      <c r="A145" s="2446" t="s">
        <v>634</v>
      </c>
      <c r="B145" s="2447"/>
      <c r="C145" s="2447"/>
      <c r="D145" s="2448"/>
      <c r="E145" s="2740"/>
      <c r="F145" s="2741"/>
      <c r="G145" s="2741"/>
      <c r="H145" s="2741"/>
      <c r="I145" s="3686" t="s">
        <v>2886</v>
      </c>
      <c r="J145" s="3687" t="s">
        <v>2886</v>
      </c>
      <c r="K145" s="3688" t="s">
        <v>6997</v>
      </c>
      <c r="L145" s="3689">
        <v>0</v>
      </c>
      <c r="M145" s="3690" t="s">
        <v>2883</v>
      </c>
      <c r="N145" s="3691" t="s">
        <v>7063</v>
      </c>
      <c r="O145" s="2741"/>
      <c r="P145" s="2741"/>
      <c r="Q145" s="2741"/>
      <c r="R145" s="2741"/>
      <c r="S145" s="2742"/>
      <c r="U145" s="2433"/>
      <c r="V145" s="2433"/>
    </row>
    <row r="146" spans="1:24" s="293" customFormat="1" ht="24" customHeight="1">
      <c r="A146" s="2446" t="s">
        <v>2791</v>
      </c>
      <c r="B146" s="2447"/>
      <c r="C146" s="2447"/>
      <c r="D146" s="2448"/>
      <c r="E146" s="2740"/>
      <c r="F146" s="2741"/>
      <c r="G146" s="2741"/>
      <c r="H146" s="2741"/>
      <c r="I146" s="3686" t="s">
        <v>4376</v>
      </c>
      <c r="J146" s="3687" t="s">
        <v>4376</v>
      </c>
      <c r="K146" s="3688"/>
      <c r="L146" s="3689"/>
      <c r="M146" s="3690" t="s">
        <v>4376</v>
      </c>
      <c r="N146" s="3691"/>
      <c r="O146" s="2741"/>
      <c r="P146" s="2741"/>
      <c r="Q146" s="2741"/>
      <c r="R146" s="2741"/>
      <c r="S146" s="2742"/>
    </row>
    <row r="147" spans="1:24" s="293" customFormat="1" ht="24" customHeight="1">
      <c r="A147" s="2446" t="s">
        <v>2792</v>
      </c>
      <c r="B147" s="2447"/>
      <c r="C147" s="2447"/>
      <c r="D147" s="2448"/>
      <c r="E147" s="2740"/>
      <c r="F147" s="2741"/>
      <c r="G147" s="2741"/>
      <c r="H147" s="2741"/>
      <c r="I147" s="3686" t="s">
        <v>4376</v>
      </c>
      <c r="J147" s="3687" t="s">
        <v>4376</v>
      </c>
      <c r="K147" s="3688"/>
      <c r="L147" s="3689"/>
      <c r="M147" s="3690" t="s">
        <v>4376</v>
      </c>
      <c r="N147" s="3691"/>
      <c r="O147" s="2741"/>
      <c r="P147" s="2741"/>
      <c r="Q147" s="2741"/>
      <c r="R147" s="2741"/>
      <c r="S147" s="2742"/>
    </row>
    <row r="148" spans="1:24" s="293" customFormat="1" ht="24" customHeight="1">
      <c r="A148" s="2446" t="s">
        <v>2794</v>
      </c>
      <c r="B148" s="2447"/>
      <c r="C148" s="2447"/>
      <c r="D148" s="2448"/>
      <c r="E148" s="2740"/>
      <c r="F148" s="2741"/>
      <c r="G148" s="2741"/>
      <c r="H148" s="2741"/>
      <c r="I148" s="3686" t="s">
        <v>4376</v>
      </c>
      <c r="J148" s="3687" t="s">
        <v>4376</v>
      </c>
      <c r="K148" s="3688"/>
      <c r="L148" s="3689"/>
      <c r="M148" s="3690" t="s">
        <v>4376</v>
      </c>
      <c r="N148" s="3691"/>
      <c r="O148" s="2741"/>
      <c r="P148" s="2741"/>
      <c r="Q148" s="2741"/>
      <c r="R148" s="2741"/>
      <c r="S148" s="2742"/>
    </row>
    <row r="149" spans="1:24" s="293" customFormat="1" ht="24" customHeight="1">
      <c r="A149" s="2446" t="s">
        <v>2793</v>
      </c>
      <c r="B149" s="2447"/>
      <c r="C149" s="2447"/>
      <c r="D149" s="2448"/>
      <c r="E149" s="2740"/>
      <c r="F149" s="2741"/>
      <c r="G149" s="2741"/>
      <c r="H149" s="2741"/>
      <c r="I149" s="3686" t="s">
        <v>4376</v>
      </c>
      <c r="J149" s="3687" t="s">
        <v>4376</v>
      </c>
      <c r="K149" s="3688"/>
      <c r="L149" s="3689"/>
      <c r="M149" s="3690" t="s">
        <v>4376</v>
      </c>
      <c r="N149" s="3691"/>
      <c r="O149" s="2741"/>
      <c r="P149" s="2741"/>
      <c r="Q149" s="2741"/>
      <c r="R149" s="2741"/>
      <c r="S149" s="2742"/>
    </row>
    <row r="150" spans="1:24" s="293" customFormat="1" ht="24" customHeight="1">
      <c r="A150" s="2446" t="s">
        <v>1496</v>
      </c>
      <c r="B150" s="2447"/>
      <c r="C150" s="2447"/>
      <c r="D150" s="2448"/>
      <c r="E150" s="2740"/>
      <c r="F150" s="2741"/>
      <c r="G150" s="2741"/>
      <c r="H150" s="2741"/>
      <c r="I150" s="3686" t="s">
        <v>2886</v>
      </c>
      <c r="J150" s="3687" t="s">
        <v>2886</v>
      </c>
      <c r="K150" s="3688" t="s">
        <v>6997</v>
      </c>
      <c r="L150" s="3689">
        <v>0</v>
      </c>
      <c r="M150" s="3690" t="s">
        <v>2886</v>
      </c>
      <c r="N150" s="3691"/>
      <c r="O150" s="2741"/>
      <c r="P150" s="2741"/>
      <c r="Q150" s="2741"/>
      <c r="R150" s="2741"/>
      <c r="S150" s="2742"/>
    </row>
    <row r="151" spans="1:24" s="293" customFormat="1" ht="24" customHeight="1">
      <c r="A151" s="2478" t="s">
        <v>2795</v>
      </c>
      <c r="B151" s="2479"/>
      <c r="C151" s="2479"/>
      <c r="D151" s="2480"/>
      <c r="E151" s="2737"/>
      <c r="F151" s="2738"/>
      <c r="G151" s="2738"/>
      <c r="H151" s="2738"/>
      <c r="I151" s="3692" t="s">
        <v>2886</v>
      </c>
      <c r="J151" s="3693" t="s">
        <v>2886</v>
      </c>
      <c r="K151" s="3694" t="s">
        <v>6997</v>
      </c>
      <c r="L151" s="3695">
        <v>0</v>
      </c>
      <c r="M151" s="3696" t="s">
        <v>2883</v>
      </c>
      <c r="N151" s="3697" t="s">
        <v>7063</v>
      </c>
      <c r="O151" s="2738"/>
      <c r="P151" s="2738"/>
      <c r="Q151" s="2738"/>
      <c r="R151" s="2738"/>
      <c r="S151" s="2739"/>
    </row>
    <row r="152" spans="1:24" s="2352" customFormat="1" ht="12" customHeight="1">
      <c r="G152" s="303"/>
      <c r="H152" s="303"/>
      <c r="I152" s="303"/>
      <c r="J152" s="2355"/>
      <c r="K152" s="318" t="s">
        <v>523</v>
      </c>
      <c r="L152" s="523">
        <f>SUM(L139:L151)</f>
        <v>1</v>
      </c>
      <c r="M152" s="2355"/>
      <c r="P152" s="301"/>
    </row>
    <row r="153" spans="1:24" ht="11.25" customHeight="1">
      <c r="A153" s="319" t="s">
        <v>515</v>
      </c>
      <c r="B153" s="330"/>
      <c r="C153" s="319" t="s">
        <v>554</v>
      </c>
      <c r="N153" s="319" t="s">
        <v>515</v>
      </c>
      <c r="O153" s="319" t="s">
        <v>77</v>
      </c>
    </row>
    <row r="154" spans="1:24" ht="60" customHeight="1">
      <c r="A154" s="3698" t="s">
        <v>7060</v>
      </c>
      <c r="B154" s="3699"/>
      <c r="C154" s="3699"/>
      <c r="D154" s="3699"/>
      <c r="E154" s="3699"/>
      <c r="F154" s="3699"/>
      <c r="G154" s="3699"/>
      <c r="H154" s="3699"/>
      <c r="I154" s="3699"/>
      <c r="J154" s="3699"/>
      <c r="K154" s="3699"/>
      <c r="L154" s="3699"/>
      <c r="M154" s="3700"/>
      <c r="N154" s="3701"/>
      <c r="O154" s="3702"/>
      <c r="P154" s="3702"/>
      <c r="Q154" s="3702"/>
      <c r="R154" s="3702"/>
      <c r="S154" s="3703"/>
      <c r="T154" s="2401" t="s">
        <v>2612</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04" t="s">
        <v>1753</v>
      </c>
    </row>
    <row r="160" spans="1:24" s="293" customFormat="1" ht="12" customHeight="1">
      <c r="A160" s="331"/>
      <c r="B160" s="311"/>
      <c r="C160" s="311"/>
      <c r="D160" s="311"/>
      <c r="E160" s="311"/>
      <c r="F160" s="311"/>
      <c r="G160" s="311"/>
      <c r="H160" s="311"/>
      <c r="I160" s="311"/>
      <c r="J160" s="311"/>
      <c r="K160" s="311"/>
      <c r="L160" s="311"/>
      <c r="M160" s="311"/>
      <c r="N160" s="311"/>
      <c r="O160" s="311"/>
      <c r="P160" s="3705" t="s">
        <v>817</v>
      </c>
    </row>
    <row r="161" spans="1:16" s="293" customFormat="1" ht="12" customHeight="1">
      <c r="A161" s="331"/>
      <c r="B161" s="311"/>
      <c r="C161" s="311"/>
      <c r="D161" s="311"/>
      <c r="E161" s="311"/>
      <c r="F161" s="311"/>
      <c r="G161" s="311"/>
      <c r="H161" s="311"/>
      <c r="I161" s="311"/>
      <c r="J161" s="311"/>
      <c r="K161" s="311"/>
      <c r="L161" s="311"/>
      <c r="M161" s="311"/>
      <c r="N161" s="311"/>
      <c r="O161" s="311"/>
      <c r="P161" s="3705" t="s">
        <v>818</v>
      </c>
    </row>
    <row r="162" spans="1:16" s="293" customFormat="1" ht="12" customHeight="1">
      <c r="A162" s="331"/>
      <c r="B162" s="311"/>
      <c r="C162" s="311"/>
      <c r="D162" s="311"/>
      <c r="E162" s="311"/>
      <c r="F162" s="311"/>
      <c r="G162" s="311"/>
      <c r="H162" s="311"/>
      <c r="I162" s="311"/>
      <c r="J162" s="311"/>
      <c r="K162" s="311"/>
      <c r="L162" s="311"/>
      <c r="M162" s="311"/>
      <c r="N162" s="311"/>
      <c r="O162" s="311"/>
      <c r="P162" s="3705" t="s">
        <v>819</v>
      </c>
    </row>
    <row r="163" spans="1:16" s="293" customFormat="1" ht="12" customHeight="1">
      <c r="A163" s="471"/>
      <c r="B163" s="311"/>
      <c r="C163" s="311"/>
      <c r="D163" s="311"/>
      <c r="E163" s="311"/>
      <c r="F163" s="311"/>
      <c r="G163" s="311"/>
      <c r="H163" s="311"/>
      <c r="I163" s="311"/>
      <c r="J163" s="311"/>
      <c r="K163" s="311"/>
      <c r="L163" s="311"/>
      <c r="M163" s="311"/>
      <c r="N163" s="311"/>
      <c r="O163" s="311"/>
      <c r="P163" s="3705" t="s">
        <v>820</v>
      </c>
    </row>
    <row r="164" spans="1:16" s="293" customFormat="1" ht="12" customHeight="1">
      <c r="B164" s="311"/>
      <c r="C164" s="311"/>
      <c r="D164" s="311"/>
      <c r="E164" s="311"/>
      <c r="F164" s="311"/>
      <c r="G164" s="311"/>
      <c r="H164" s="311"/>
      <c r="I164" s="311"/>
      <c r="J164" s="311"/>
      <c r="K164" s="311"/>
      <c r="L164" s="311"/>
      <c r="M164" s="311"/>
      <c r="N164" s="311"/>
      <c r="O164" s="311"/>
      <c r="P164" s="3705" t="s">
        <v>821</v>
      </c>
    </row>
    <row r="165" spans="1:16" s="293" customFormat="1" ht="12" customHeight="1">
      <c r="B165" s="311"/>
      <c r="C165" s="311"/>
      <c r="D165" s="311"/>
      <c r="E165" s="311"/>
      <c r="F165" s="311"/>
      <c r="G165" s="311"/>
      <c r="H165" s="311"/>
      <c r="I165" s="311"/>
      <c r="J165" s="311"/>
      <c r="K165" s="311"/>
      <c r="L165" s="311"/>
      <c r="M165" s="311"/>
      <c r="N165" s="311"/>
      <c r="O165" s="311"/>
      <c r="P165" s="3705" t="s">
        <v>822</v>
      </c>
    </row>
    <row r="166" spans="1:16" s="293" customFormat="1" ht="12" customHeight="1">
      <c r="B166" s="311"/>
      <c r="C166" s="311"/>
      <c r="D166" s="311"/>
      <c r="E166" s="311"/>
      <c r="F166" s="311"/>
      <c r="G166" s="311"/>
      <c r="H166" s="311"/>
      <c r="I166" s="311"/>
      <c r="J166" s="311"/>
      <c r="K166" s="311"/>
      <c r="L166" s="311"/>
      <c r="M166" s="311"/>
      <c r="N166" s="311"/>
      <c r="O166" s="311"/>
      <c r="P166" s="3705" t="s">
        <v>823</v>
      </c>
    </row>
    <row r="167" spans="1:16" s="293" customFormat="1" ht="12" customHeight="1">
      <c r="B167" s="311"/>
      <c r="C167" s="311"/>
      <c r="D167" s="311"/>
      <c r="E167" s="311"/>
      <c r="F167" s="311"/>
      <c r="G167" s="311"/>
      <c r="H167" s="311"/>
      <c r="I167" s="311"/>
      <c r="J167" s="311"/>
      <c r="K167" s="311"/>
      <c r="L167" s="311"/>
      <c r="M167" s="311"/>
      <c r="N167" s="311"/>
      <c r="O167" s="311"/>
      <c r="P167" s="3705" t="s">
        <v>824</v>
      </c>
    </row>
    <row r="168" spans="1:16" ht="12" customHeight="1">
      <c r="P168" s="3705" t="s">
        <v>825</v>
      </c>
    </row>
    <row r="169" spans="1:16" ht="12" customHeight="1">
      <c r="A169" s="319"/>
      <c r="P169" s="3705" t="s">
        <v>826</v>
      </c>
    </row>
    <row r="170" spans="1:16" ht="12" customHeight="1">
      <c r="P170" s="3705" t="s">
        <v>827</v>
      </c>
    </row>
    <row r="171" spans="1:16" ht="12" customHeight="1">
      <c r="P171" s="3705" t="s">
        <v>828</v>
      </c>
    </row>
    <row r="172" spans="1:16" ht="12" customHeight="1">
      <c r="P172" s="3705" t="s">
        <v>829</v>
      </c>
    </row>
    <row r="173" spans="1:16" ht="12" customHeight="1">
      <c r="P173" s="3705" t="s">
        <v>830</v>
      </c>
    </row>
    <row r="174" spans="1:16" ht="12" customHeight="1">
      <c r="P174" s="3705" t="s">
        <v>831</v>
      </c>
    </row>
    <row r="175" spans="1:16" ht="12" customHeight="1">
      <c r="P175" s="3705" t="s">
        <v>832</v>
      </c>
    </row>
    <row r="176" spans="1:16" ht="12" customHeight="1">
      <c r="P176" s="3705" t="s">
        <v>833</v>
      </c>
    </row>
    <row r="177" spans="16:16" ht="12" customHeight="1">
      <c r="P177" s="3705" t="s">
        <v>834</v>
      </c>
    </row>
    <row r="178" spans="16:16" ht="12" customHeight="1">
      <c r="P178" s="3705" t="s">
        <v>835</v>
      </c>
    </row>
    <row r="179" spans="16:16" ht="12" customHeight="1">
      <c r="P179" s="3705" t="s">
        <v>836</v>
      </c>
    </row>
    <row r="180" spans="16:16" ht="12" customHeight="1">
      <c r="P180" s="3705" t="s">
        <v>837</v>
      </c>
    </row>
    <row r="181" spans="16:16" ht="12" customHeight="1">
      <c r="P181" s="3705" t="s">
        <v>838</v>
      </c>
    </row>
    <row r="182" spans="16:16" ht="12" customHeight="1">
      <c r="P182" s="3705" t="s">
        <v>839</v>
      </c>
    </row>
    <row r="183" spans="16:16" ht="12" customHeight="1">
      <c r="P183" s="3705" t="s">
        <v>840</v>
      </c>
    </row>
    <row r="184" spans="16:16" ht="12" customHeight="1">
      <c r="P184" s="3705" t="s">
        <v>841</v>
      </c>
    </row>
    <row r="185" spans="16:16" ht="12" customHeight="1">
      <c r="P185" s="3705" t="s">
        <v>1313</v>
      </c>
    </row>
    <row r="186" spans="16:16" ht="12" customHeight="1">
      <c r="P186" s="3705" t="s">
        <v>1314</v>
      </c>
    </row>
    <row r="187" spans="16:16" ht="12" customHeight="1">
      <c r="P187" s="3705" t="s">
        <v>1315</v>
      </c>
    </row>
    <row r="188" spans="16:16" ht="12" customHeight="1">
      <c r="P188" s="3705" t="s">
        <v>1316</v>
      </c>
    </row>
    <row r="189" spans="16:16" ht="12" customHeight="1">
      <c r="P189" s="3705" t="s">
        <v>1317</v>
      </c>
    </row>
    <row r="190" spans="16:16">
      <c r="P190" s="3705" t="s">
        <v>1318</v>
      </c>
    </row>
    <row r="191" spans="16:16" ht="12" customHeight="1">
      <c r="P191" s="3705" t="s">
        <v>1319</v>
      </c>
    </row>
    <row r="192" spans="16:16" ht="12" customHeight="1">
      <c r="P192" s="3705" t="s">
        <v>1320</v>
      </c>
    </row>
    <row r="193" spans="16:16" ht="12" customHeight="1">
      <c r="P193" s="3705" t="s">
        <v>1321</v>
      </c>
    </row>
    <row r="194" spans="16:16" ht="12" customHeight="1">
      <c r="P194" s="3705" t="s">
        <v>1322</v>
      </c>
    </row>
    <row r="195" spans="16:16" ht="12" customHeight="1">
      <c r="P195" s="3705" t="s">
        <v>1323</v>
      </c>
    </row>
    <row r="196" spans="16:16" ht="12" customHeight="1">
      <c r="P196" s="3705" t="s">
        <v>1324</v>
      </c>
    </row>
    <row r="197" spans="16:16" ht="12" customHeight="1">
      <c r="P197" s="3705" t="s">
        <v>1325</v>
      </c>
    </row>
    <row r="198" spans="16:16" ht="12" customHeight="1">
      <c r="P198" s="3705" t="s">
        <v>1326</v>
      </c>
    </row>
    <row r="199" spans="16:16" ht="12" customHeight="1">
      <c r="P199" s="3705" t="s">
        <v>1327</v>
      </c>
    </row>
    <row r="200" spans="16:16" ht="12" customHeight="1">
      <c r="P200" s="3705" t="s">
        <v>1328</v>
      </c>
    </row>
    <row r="201" spans="16:16" ht="12" customHeight="1">
      <c r="P201" s="3705" t="s">
        <v>1329</v>
      </c>
    </row>
    <row r="202" spans="16:16" ht="12" customHeight="1">
      <c r="P202" s="3705" t="s">
        <v>1330</v>
      </c>
    </row>
    <row r="203" spans="16:16" ht="12" customHeight="1">
      <c r="P203" s="3705" t="s">
        <v>1331</v>
      </c>
    </row>
    <row r="204" spans="16:16" ht="12" customHeight="1">
      <c r="P204" s="3705" t="s">
        <v>1332</v>
      </c>
    </row>
    <row r="205" spans="16:16" ht="12" customHeight="1">
      <c r="P205" s="3705" t="s">
        <v>1333</v>
      </c>
    </row>
    <row r="206" spans="16:16" ht="12" customHeight="1">
      <c r="P206" s="3705" t="s">
        <v>1334</v>
      </c>
    </row>
    <row r="207" spans="16:16" ht="12" customHeight="1">
      <c r="P207" s="3705" t="s">
        <v>1335</v>
      </c>
    </row>
    <row r="208" spans="16:16" ht="12" customHeight="1">
      <c r="P208" s="3705" t="s">
        <v>1336</v>
      </c>
    </row>
    <row r="209" spans="16:16" ht="12" customHeight="1">
      <c r="P209" s="3705" t="s">
        <v>1337</v>
      </c>
    </row>
    <row r="210" spans="16:16" ht="12" customHeight="1">
      <c r="P210" s="3705" t="s">
        <v>1338</v>
      </c>
    </row>
  </sheetData>
  <sheetProtection algorithmName="SHA-512" hashValue="de+UbXQhvWZOIqqZo1WgF7g1IFZxHBFv4Rg3VbbsRKIEciQg+hu39tq4PtZzyzw4Z0mRJVMy/FxGY/6G7yutvQ==" saltValue="47Ws6mYYB0uXMMYSlcz++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4" zoomScale="190" zoomScaleNormal="190" workbookViewId="0">
      <selection activeCell="A54"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2020-050 Twin Oaks Commons, Ludowici, Long County</v>
      </c>
      <c r="B1" s="2435"/>
      <c r="C1" s="2435"/>
      <c r="D1" s="2435"/>
      <c r="E1" s="2435"/>
      <c r="F1" s="2435"/>
      <c r="G1" s="2435"/>
      <c r="H1" s="2435"/>
      <c r="I1" s="2435"/>
      <c r="J1" s="2435"/>
      <c r="K1" s="2435"/>
      <c r="L1" s="2435"/>
      <c r="M1" s="2435"/>
      <c r="N1" s="2435"/>
      <c r="O1" s="2435"/>
      <c r="P1" s="2435"/>
      <c r="Q1" s="2436"/>
      <c r="S1" s="2483" t="str">
        <f>$A$1</f>
        <v>PART THREE - SOURCES OF FUNDS  -  2020-050 Twin Oaks Commons, Ludowici, Long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597</v>
      </c>
      <c r="B3" s="303" t="s">
        <v>2424</v>
      </c>
      <c r="C3" s="293"/>
      <c r="D3" s="2352"/>
      <c r="E3" s="2352"/>
      <c r="F3" s="2352"/>
      <c r="G3" s="2352"/>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2"/>
      <c r="E4" s="2352"/>
      <c r="F4" s="2352"/>
      <c r="G4" s="2352"/>
      <c r="S4" s="2484" t="s">
        <v>2605</v>
      </c>
      <c r="T4" s="2484"/>
    </row>
    <row r="5" spans="1:20" s="268" customFormat="1" ht="16.5" customHeight="1">
      <c r="A5" s="471"/>
      <c r="B5" s="3610" t="s">
        <v>2883</v>
      </c>
      <c r="C5" s="2347" t="s">
        <v>2346</v>
      </c>
      <c r="D5" s="293"/>
      <c r="E5" s="3610" t="s">
        <v>2886</v>
      </c>
      <c r="F5" s="2347" t="s">
        <v>3538</v>
      </c>
      <c r="G5" s="293"/>
      <c r="H5" s="3706"/>
      <c r="I5" s="2770"/>
      <c r="L5" s="3610" t="s">
        <v>2886</v>
      </c>
      <c r="M5" s="2347" t="s">
        <v>1503</v>
      </c>
      <c r="O5" s="3477" t="s">
        <v>2886</v>
      </c>
      <c r="P5" s="2513" t="s">
        <v>4486</v>
      </c>
      <c r="Q5" s="2513"/>
      <c r="S5" s="3707"/>
      <c r="T5" s="3708"/>
    </row>
    <row r="6" spans="1:20" s="268" customFormat="1" ht="16.5" customHeight="1">
      <c r="A6" s="471"/>
      <c r="B6" s="3490" t="s">
        <v>2886</v>
      </c>
      <c r="C6" s="2347" t="s">
        <v>4426</v>
      </c>
      <c r="D6" s="293"/>
      <c r="E6" s="3545" t="s">
        <v>2886</v>
      </c>
      <c r="F6" s="2347" t="s">
        <v>3539</v>
      </c>
      <c r="H6" s="3709"/>
      <c r="I6" s="3710"/>
      <c r="L6" s="3490" t="s">
        <v>2886</v>
      </c>
      <c r="M6" s="2347" t="s">
        <v>533</v>
      </c>
      <c r="P6" s="2513"/>
      <c r="Q6" s="2513"/>
      <c r="S6" s="3711"/>
      <c r="T6" s="3712"/>
    </row>
    <row r="7" spans="1:20" s="268" customFormat="1" ht="16.5" customHeight="1">
      <c r="A7" s="293"/>
      <c r="B7" s="3490" t="s">
        <v>2886</v>
      </c>
      <c r="C7" s="2347" t="s">
        <v>534</v>
      </c>
      <c r="F7" s="293" t="s">
        <v>4425</v>
      </c>
      <c r="H7" s="3713" t="s">
        <v>3333</v>
      </c>
      <c r="I7" s="3714"/>
      <c r="J7" s="3715"/>
      <c r="L7" s="3490" t="s">
        <v>2886</v>
      </c>
      <c r="M7" s="2344" t="s">
        <v>3453</v>
      </c>
      <c r="P7" s="1556"/>
      <c r="Q7" s="1556"/>
      <c r="S7" s="3711"/>
      <c r="T7" s="3712"/>
    </row>
    <row r="8" spans="1:20" s="268" customFormat="1" ht="16.5" customHeight="1">
      <c r="A8" s="471"/>
      <c r="B8" s="3490" t="s">
        <v>2886</v>
      </c>
      <c r="C8" s="2347" t="s">
        <v>2532</v>
      </c>
      <c r="E8" s="3610" t="s">
        <v>2886</v>
      </c>
      <c r="F8" s="2344" t="s">
        <v>2540</v>
      </c>
      <c r="L8" s="3490" t="s">
        <v>2886</v>
      </c>
      <c r="M8" s="2344" t="s">
        <v>4427</v>
      </c>
      <c r="S8" s="3716"/>
      <c r="T8" s="3717"/>
    </row>
    <row r="9" spans="1:20" s="268" customFormat="1" ht="16.5" customHeight="1">
      <c r="A9" s="471"/>
      <c r="B9" s="3490" t="s">
        <v>2886</v>
      </c>
      <c r="C9" s="2347" t="s">
        <v>2533</v>
      </c>
      <c r="E9" s="3490" t="s">
        <v>2886</v>
      </c>
      <c r="F9" s="2344" t="s">
        <v>3537</v>
      </c>
      <c r="H9" s="3718" t="s">
        <v>3647</v>
      </c>
      <c r="I9" s="3719"/>
      <c r="J9" s="3715"/>
      <c r="L9" s="3490" t="s">
        <v>2886</v>
      </c>
      <c r="M9" s="2347" t="s">
        <v>3502</v>
      </c>
      <c r="S9" s="3707"/>
      <c r="T9" s="3708"/>
    </row>
    <row r="10" spans="1:20" s="268" customFormat="1" ht="16.5" customHeight="1">
      <c r="A10" s="471"/>
      <c r="B10" s="3490" t="s">
        <v>2886</v>
      </c>
      <c r="C10" s="2344" t="s">
        <v>3506</v>
      </c>
      <c r="E10" s="3720" t="s">
        <v>2886</v>
      </c>
      <c r="F10" s="3570" t="s">
        <v>4219</v>
      </c>
      <c r="G10" s="3587"/>
      <c r="H10" s="3587"/>
      <c r="I10" s="3587"/>
      <c r="J10" s="3588"/>
      <c r="L10" s="3490" t="s">
        <v>2886</v>
      </c>
      <c r="M10" s="293" t="s">
        <v>2541</v>
      </c>
      <c r="S10" s="3711"/>
      <c r="T10" s="3712"/>
    </row>
    <row r="11" spans="1:20" s="268" customFormat="1" ht="16.5" customHeight="1">
      <c r="A11" s="471"/>
      <c r="B11" s="3490" t="s">
        <v>2886</v>
      </c>
      <c r="C11" s="293" t="s">
        <v>3659</v>
      </c>
      <c r="F11" s="3721" t="s">
        <v>4221</v>
      </c>
      <c r="G11" s="3722"/>
      <c r="H11" s="3722"/>
      <c r="I11" s="3722"/>
      <c r="J11" s="3723"/>
      <c r="L11" s="3490" t="s">
        <v>2886</v>
      </c>
      <c r="M11" s="293" t="s">
        <v>3540</v>
      </c>
      <c r="S11" s="3711"/>
      <c r="T11" s="3712"/>
    </row>
    <row r="12" spans="1:20" s="268" customFormat="1" ht="16.5" customHeight="1">
      <c r="A12" s="471"/>
      <c r="B12" s="3490" t="s">
        <v>2886</v>
      </c>
      <c r="C12" s="293" t="s">
        <v>2539</v>
      </c>
      <c r="E12" s="3724" t="s">
        <v>2886</v>
      </c>
      <c r="F12" s="3570" t="s">
        <v>4220</v>
      </c>
      <c r="G12" s="3587"/>
      <c r="H12" s="3587"/>
      <c r="I12" s="3587"/>
      <c r="J12" s="3588"/>
      <c r="L12" s="3490" t="s">
        <v>2886</v>
      </c>
      <c r="M12" s="293" t="s">
        <v>2703</v>
      </c>
      <c r="S12" s="3711"/>
      <c r="T12" s="3712"/>
    </row>
    <row r="13" spans="1:20" s="268" customFormat="1" ht="16.5" customHeight="1">
      <c r="A13" s="471"/>
      <c r="B13" s="3490" t="s">
        <v>2886</v>
      </c>
      <c r="C13" s="293" t="s">
        <v>3536</v>
      </c>
      <c r="F13" s="3721" t="s">
        <v>4222</v>
      </c>
      <c r="G13" s="3722"/>
      <c r="H13" s="3722"/>
      <c r="I13" s="3722"/>
      <c r="J13" s="3723"/>
      <c r="L13" s="3490" t="s">
        <v>2886</v>
      </c>
      <c r="M13" s="2344" t="s">
        <v>3658</v>
      </c>
      <c r="S13" s="3716"/>
      <c r="T13" s="3717"/>
    </row>
    <row r="14" spans="1:20" s="268" customFormat="1" ht="16.5" customHeight="1">
      <c r="A14" s="471"/>
      <c r="B14" s="3545" t="s">
        <v>2886</v>
      </c>
      <c r="C14" s="2347" t="s">
        <v>1756</v>
      </c>
      <c r="E14" s="3477" t="s">
        <v>2886</v>
      </c>
      <c r="F14" s="2347" t="s">
        <v>4424</v>
      </c>
      <c r="I14" s="3725"/>
      <c r="J14" s="3726"/>
      <c r="L14" s="3545" t="s">
        <v>2886</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721</v>
      </c>
      <c r="B17" s="2346" t="s">
        <v>2284</v>
      </c>
      <c r="C17" s="293"/>
      <c r="D17" s="2352"/>
      <c r="E17" s="293"/>
      <c r="F17" s="293"/>
      <c r="G17" s="293"/>
      <c r="H17" s="268"/>
      <c r="L17" s="293"/>
      <c r="M17" s="2352"/>
      <c r="N17" s="2481"/>
      <c r="O17" s="2481"/>
      <c r="P17" s="293"/>
      <c r="Q17" s="293"/>
      <c r="S17" s="338" t="str">
        <f>B17</f>
        <v>CONSTRUCTION FINANCING</v>
      </c>
    </row>
    <row r="18" spans="1:20" s="338" customFormat="1" ht="5.25" customHeight="1">
      <c r="A18" s="295"/>
      <c r="B18" s="2346"/>
      <c r="C18" s="293"/>
      <c r="K18" s="293"/>
      <c r="L18" s="293"/>
      <c r="M18" s="2352"/>
      <c r="N18" s="2361"/>
      <c r="O18" s="2361"/>
      <c r="P18" s="293"/>
      <c r="Q18" s="293"/>
    </row>
    <row r="19" spans="1:20" s="268" customFormat="1" ht="17.100000000000001" customHeight="1">
      <c r="A19" s="293"/>
      <c r="B19" s="2347" t="s">
        <v>1822</v>
      </c>
      <c r="C19" s="293"/>
      <c r="D19" s="293"/>
      <c r="E19" s="293"/>
      <c r="F19" s="293"/>
      <c r="G19" s="293"/>
      <c r="H19" s="2482" t="s">
        <v>1270</v>
      </c>
      <c r="I19" s="2482"/>
      <c r="J19" s="2482"/>
      <c r="K19" s="2482"/>
      <c r="L19" s="2409" t="s">
        <v>4387</v>
      </c>
      <c r="M19" s="2409"/>
      <c r="N19" s="2409" t="s">
        <v>1474</v>
      </c>
      <c r="O19" s="2409"/>
      <c r="P19" s="2409" t="s">
        <v>1596</v>
      </c>
      <c r="Q19" s="2409"/>
      <c r="S19" s="2484" t="s">
        <v>2605</v>
      </c>
      <c r="T19" s="2484"/>
    </row>
    <row r="20" spans="1:20" s="268" customFormat="1" ht="15.75" customHeight="1">
      <c r="A20" s="293"/>
      <c r="B20" s="2488" t="s">
        <v>1557</v>
      </c>
      <c r="C20" s="2489"/>
      <c r="D20" s="2489"/>
      <c r="E20" s="2358"/>
      <c r="F20" s="2358"/>
      <c r="G20" s="2358"/>
      <c r="H20" s="3727" t="s">
        <v>7042</v>
      </c>
      <c r="I20" s="3728"/>
      <c r="J20" s="3728"/>
      <c r="K20" s="3729"/>
      <c r="L20" s="3730">
        <v>5010000</v>
      </c>
      <c r="M20" s="3731"/>
      <c r="N20" s="3732">
        <v>0.04</v>
      </c>
      <c r="O20" s="3733"/>
      <c r="P20" s="3734">
        <v>24</v>
      </c>
      <c r="Q20" s="3735"/>
      <c r="S20" s="3707"/>
      <c r="T20" s="3708"/>
    </row>
    <row r="21" spans="1:20" s="268" customFormat="1" ht="15.75" customHeight="1">
      <c r="A21" s="293"/>
      <c r="B21" s="2490" t="s">
        <v>1558</v>
      </c>
      <c r="C21" s="2491"/>
      <c r="D21" s="2491"/>
      <c r="E21" s="2352"/>
      <c r="F21" s="2352"/>
      <c r="G21" s="2352"/>
      <c r="H21" s="3736"/>
      <c r="I21" s="3737"/>
      <c r="J21" s="3737"/>
      <c r="K21" s="3738"/>
      <c r="L21" s="3739"/>
      <c r="M21" s="3740"/>
      <c r="N21" s="3741"/>
      <c r="O21" s="3742"/>
      <c r="P21" s="3743"/>
      <c r="Q21" s="3744"/>
      <c r="S21" s="3711"/>
      <c r="T21" s="3712"/>
    </row>
    <row r="22" spans="1:20" s="268" customFormat="1" ht="15.75" customHeight="1">
      <c r="A22" s="293"/>
      <c r="B22" s="2495" t="s">
        <v>1559</v>
      </c>
      <c r="C22" s="2496"/>
      <c r="D22" s="2496"/>
      <c r="E22" s="2360"/>
      <c r="F22" s="2360"/>
      <c r="G22" s="2360"/>
      <c r="H22" s="3745"/>
      <c r="I22" s="3746"/>
      <c r="J22" s="3746"/>
      <c r="K22" s="3747"/>
      <c r="L22" s="3748"/>
      <c r="M22" s="3749"/>
      <c r="N22" s="3750"/>
      <c r="O22" s="3751"/>
      <c r="P22" s="3752"/>
      <c r="Q22" s="3753"/>
      <c r="S22" s="3711"/>
      <c r="T22" s="3712"/>
    </row>
    <row r="23" spans="1:20" s="268" customFormat="1" ht="15.75" customHeight="1">
      <c r="A23" s="293"/>
      <c r="B23" s="2488" t="s">
        <v>2157</v>
      </c>
      <c r="C23" s="2489"/>
      <c r="D23" s="2489"/>
      <c r="E23" s="2352"/>
      <c r="F23" s="2352"/>
      <c r="G23" s="2352"/>
      <c r="H23" s="3754"/>
      <c r="I23" s="3755"/>
      <c r="J23" s="3755"/>
      <c r="K23" s="3756"/>
      <c r="L23" s="3757"/>
      <c r="M23" s="3758"/>
      <c r="N23" s="2492"/>
      <c r="O23" s="2493"/>
      <c r="P23" s="2494"/>
      <c r="Q23" s="2494"/>
      <c r="S23" s="3711"/>
      <c r="T23" s="3712"/>
    </row>
    <row r="24" spans="1:20" s="268" customFormat="1" ht="15.75" customHeight="1">
      <c r="A24" s="293"/>
      <c r="B24" s="2490" t="s">
        <v>780</v>
      </c>
      <c r="C24" s="2491"/>
      <c r="D24" s="2491"/>
      <c r="E24" s="2352"/>
      <c r="H24" s="3736"/>
      <c r="I24" s="3737"/>
      <c r="J24" s="3737"/>
      <c r="K24" s="3738"/>
      <c r="L24" s="3739"/>
      <c r="M24" s="3740"/>
      <c r="N24" s="2492"/>
      <c r="O24" s="2493"/>
      <c r="P24" s="2494"/>
      <c r="Q24" s="2494"/>
      <c r="S24" s="3711"/>
      <c r="T24" s="3712"/>
    </row>
    <row r="25" spans="1:20" s="268" customFormat="1" ht="15.75" customHeight="1">
      <c r="A25" s="293"/>
      <c r="B25" s="2490" t="s">
        <v>622</v>
      </c>
      <c r="C25" s="2491"/>
      <c r="D25" s="2491"/>
      <c r="E25" s="2352"/>
      <c r="H25" s="3736"/>
      <c r="I25" s="3737"/>
      <c r="J25" s="3737"/>
      <c r="K25" s="3738"/>
      <c r="L25" s="3739"/>
      <c r="M25" s="3740"/>
      <c r="N25" s="2492"/>
      <c r="O25" s="2493"/>
      <c r="P25" s="2494"/>
      <c r="Q25" s="2494"/>
      <c r="S25" s="3711"/>
      <c r="T25" s="3712"/>
    </row>
    <row r="26" spans="1:20" s="268" customFormat="1" ht="15.75" customHeight="1">
      <c r="A26" s="293"/>
      <c r="B26" s="2490" t="s">
        <v>781</v>
      </c>
      <c r="C26" s="2491"/>
      <c r="D26" s="2491"/>
      <c r="E26" s="2352"/>
      <c r="H26" s="3736" t="s">
        <v>7042</v>
      </c>
      <c r="I26" s="3737"/>
      <c r="J26" s="3737"/>
      <c r="K26" s="3738"/>
      <c r="L26" s="3739">
        <v>329967</v>
      </c>
      <c r="M26" s="3740"/>
      <c r="N26" s="293"/>
      <c r="Q26" s="293"/>
      <c r="S26" s="3716"/>
      <c r="T26" s="3717"/>
    </row>
    <row r="27" spans="1:20" s="268" customFormat="1" ht="15.75" customHeight="1">
      <c r="A27" s="293"/>
      <c r="B27" s="2490" t="s">
        <v>782</v>
      </c>
      <c r="C27" s="2491"/>
      <c r="D27" s="2491"/>
      <c r="E27" s="2352"/>
      <c r="H27" s="3736" t="s">
        <v>7041</v>
      </c>
      <c r="I27" s="3737"/>
      <c r="J27" s="3737"/>
      <c r="K27" s="3738"/>
      <c r="L27" s="3739">
        <v>198750</v>
      </c>
      <c r="M27" s="3740"/>
      <c r="N27" s="293"/>
      <c r="Q27" s="293"/>
      <c r="S27" s="3707"/>
      <c r="T27" s="3708"/>
    </row>
    <row r="28" spans="1:20" s="268" customFormat="1" ht="15.75" customHeight="1">
      <c r="A28" s="293"/>
      <c r="B28" s="2351" t="s">
        <v>237</v>
      </c>
      <c r="C28" s="2352"/>
      <c r="D28" s="3759"/>
      <c r="E28" s="3759"/>
      <c r="F28" s="3759"/>
      <c r="G28" s="3759"/>
      <c r="H28" s="3736"/>
      <c r="I28" s="3737"/>
      <c r="J28" s="3737"/>
      <c r="K28" s="3738"/>
      <c r="L28" s="3739"/>
      <c r="M28" s="3740"/>
      <c r="N28" s="293"/>
      <c r="Q28" s="293"/>
      <c r="S28" s="3711"/>
      <c r="T28" s="3712"/>
    </row>
    <row r="29" spans="1:20" s="268" customFormat="1" ht="15.75" customHeight="1">
      <c r="A29" s="293"/>
      <c r="B29" s="2351" t="s">
        <v>237</v>
      </c>
      <c r="C29" s="2352"/>
      <c r="D29" s="3760"/>
      <c r="E29" s="3760"/>
      <c r="F29" s="3760"/>
      <c r="G29" s="3760"/>
      <c r="H29" s="3736"/>
      <c r="I29" s="3737"/>
      <c r="J29" s="3737"/>
      <c r="K29" s="3738"/>
      <c r="L29" s="3739"/>
      <c r="M29" s="3740"/>
      <c r="N29" s="293"/>
      <c r="S29" s="3711"/>
      <c r="T29" s="3712"/>
    </row>
    <row r="30" spans="1:20" s="268" customFormat="1" ht="15.75" customHeight="1">
      <c r="A30" s="293"/>
      <c r="B30" s="2359" t="s">
        <v>237</v>
      </c>
      <c r="C30" s="2360"/>
      <c r="D30" s="3761"/>
      <c r="E30" s="3761"/>
      <c r="F30" s="3761"/>
      <c r="G30" s="3761"/>
      <c r="H30" s="3745"/>
      <c r="I30" s="3746"/>
      <c r="J30" s="3746"/>
      <c r="K30" s="3747"/>
      <c r="L30" s="3748"/>
      <c r="M30" s="3749"/>
      <c r="N30" s="293"/>
      <c r="S30" s="3711"/>
      <c r="T30" s="3712"/>
    </row>
    <row r="31" spans="1:20" s="268" customFormat="1" ht="16.5" customHeight="1">
      <c r="A31" s="293"/>
      <c r="B31" s="2346" t="s">
        <v>1271</v>
      </c>
      <c r="C31" s="293"/>
      <c r="D31" s="293"/>
      <c r="E31" s="293"/>
      <c r="F31" s="293"/>
      <c r="G31" s="293"/>
      <c r="H31" s="293"/>
      <c r="I31" s="293"/>
      <c r="L31" s="2497">
        <f>SUM(L20:L30)</f>
        <v>5538717</v>
      </c>
      <c r="M31" s="2498"/>
      <c r="N31" s="311"/>
      <c r="S31" s="3711"/>
      <c r="T31" s="3712"/>
    </row>
    <row r="32" spans="1:20" s="268" customFormat="1" ht="16.5" customHeight="1">
      <c r="A32" s="293"/>
      <c r="B32" s="2347" t="s">
        <v>1272</v>
      </c>
      <c r="C32" s="293"/>
      <c r="D32" s="293"/>
      <c r="E32" s="293"/>
      <c r="F32" s="293"/>
      <c r="G32" s="293"/>
      <c r="H32" s="293"/>
      <c r="I32" s="293"/>
      <c r="L32" s="376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4817874.55</v>
      </c>
      <c r="M32" s="3763"/>
      <c r="N32" s="820"/>
      <c r="S32" s="3711"/>
      <c r="T32" s="3712"/>
    </row>
    <row r="33" spans="1:20" s="268" customFormat="1" ht="16.5" customHeight="1">
      <c r="A33" s="293"/>
      <c r="B33" s="2344" t="s">
        <v>2105</v>
      </c>
      <c r="C33" s="293"/>
      <c r="D33" s="293"/>
      <c r="E33" s="293"/>
      <c r="F33" s="293"/>
      <c r="G33" s="293"/>
      <c r="H33" s="293"/>
      <c r="I33" s="293"/>
      <c r="L33" s="2499">
        <f>L31-L32</f>
        <v>720842.45000000019</v>
      </c>
      <c r="M33" s="2500"/>
      <c r="N33" s="820"/>
      <c r="S33" s="3716"/>
      <c r="T33" s="3717"/>
    </row>
    <row r="34" spans="1:20" ht="9.6" customHeight="1">
      <c r="A34" s="319"/>
      <c r="B34" s="2346"/>
      <c r="C34" s="311"/>
      <c r="D34" s="311"/>
      <c r="E34" s="311"/>
      <c r="F34" s="311"/>
      <c r="G34" s="311"/>
      <c r="H34" s="311"/>
      <c r="I34" s="311"/>
      <c r="J34" s="311"/>
      <c r="K34" s="311"/>
      <c r="L34" s="311"/>
      <c r="M34" s="2355"/>
      <c r="N34" s="2355"/>
    </row>
    <row r="35" spans="1:20" ht="9.6" customHeight="1">
      <c r="A35" s="295" t="s">
        <v>723</v>
      </c>
      <c r="B35" s="2346" t="s">
        <v>779</v>
      </c>
      <c r="C35" s="311"/>
      <c r="D35" s="311"/>
      <c r="E35" s="311"/>
      <c r="F35" s="311"/>
      <c r="G35" s="311"/>
      <c r="H35" s="311"/>
      <c r="I35" s="311"/>
      <c r="J35" s="311"/>
      <c r="K35" s="311"/>
      <c r="L35" s="311"/>
      <c r="M35" s="2355"/>
      <c r="N35" s="2355"/>
      <c r="O35" s="311"/>
      <c r="S35" s="338" t="str">
        <f>B35</f>
        <v>PERMANENT FINANCING</v>
      </c>
    </row>
    <row r="36" spans="1:20" s="268" customFormat="1" ht="13.35" customHeight="1">
      <c r="A36" s="293"/>
      <c r="B36" s="293"/>
      <c r="C36" s="293"/>
      <c r="D36" s="293"/>
      <c r="E36" s="293"/>
      <c r="F36" s="2355"/>
      <c r="G36" s="2355"/>
      <c r="H36" s="2494"/>
      <c r="I36" s="2494"/>
      <c r="K36" s="364" t="s">
        <v>2049</v>
      </c>
      <c r="L36" s="2355" t="s">
        <v>1268</v>
      </c>
      <c r="M36" s="2355" t="s">
        <v>1273</v>
      </c>
      <c r="P36" s="2501" t="s">
        <v>32</v>
      </c>
      <c r="Q36" s="2501"/>
      <c r="S36" s="338"/>
    </row>
    <row r="37" spans="1:20" s="268" customFormat="1" ht="13.35" customHeight="1">
      <c r="A37" s="293"/>
      <c r="B37" s="2362" t="s">
        <v>1822</v>
      </c>
      <c r="C37" s="2360"/>
      <c r="D37" s="2360"/>
      <c r="E37" s="2419" t="s">
        <v>1270</v>
      </c>
      <c r="F37" s="2419"/>
      <c r="G37" s="2419"/>
      <c r="H37" s="2419"/>
      <c r="I37" s="2409" t="s">
        <v>4386</v>
      </c>
      <c r="J37" s="2409"/>
      <c r="K37" s="2349" t="s">
        <v>1759</v>
      </c>
      <c r="L37" s="2349" t="s">
        <v>2156</v>
      </c>
      <c r="M37" s="2349" t="s">
        <v>2156</v>
      </c>
      <c r="N37" s="2409" t="s">
        <v>72</v>
      </c>
      <c r="O37" s="2409"/>
      <c r="P37" s="3764"/>
      <c r="Q37" s="3764"/>
      <c r="S37" s="2484" t="s">
        <v>2605</v>
      </c>
      <c r="T37" s="2484"/>
    </row>
    <row r="38" spans="1:20" s="268" customFormat="1" ht="15.75" customHeight="1">
      <c r="A38" s="293"/>
      <c r="B38" s="2488" t="s">
        <v>2545</v>
      </c>
      <c r="C38" s="2489"/>
      <c r="D38" s="2489"/>
      <c r="E38" s="3727" t="s">
        <v>7042</v>
      </c>
      <c r="F38" s="3728"/>
      <c r="G38" s="3728"/>
      <c r="H38" s="3729"/>
      <c r="I38" s="3765">
        <v>375000</v>
      </c>
      <c r="J38" s="3766"/>
      <c r="K38" s="3767">
        <v>4.2500000000000003E-2</v>
      </c>
      <c r="L38" s="3544">
        <v>15</v>
      </c>
      <c r="M38" s="3544">
        <v>30</v>
      </c>
      <c r="N38" s="3768" t="s">
        <v>7017</v>
      </c>
      <c r="O38" s="3768"/>
      <c r="P38" s="3769">
        <f>IF(OR(I38&lt;=0,I38=""),"",IF(N38="Cash Flow",0,IF(N38="Amortizing",-PMT(K38/12,M38*12,I38,0,0)*12,"")))</f>
        <v>22137.295098576764</v>
      </c>
      <c r="Q38" s="3769"/>
      <c r="S38" s="3707"/>
      <c r="T38" s="3708"/>
    </row>
    <row r="39" spans="1:20" s="268" customFormat="1" ht="15.75" customHeight="1">
      <c r="A39" s="293"/>
      <c r="B39" s="2490" t="s">
        <v>2546</v>
      </c>
      <c r="C39" s="2491"/>
      <c r="D39" s="2491"/>
      <c r="E39" s="3736"/>
      <c r="F39" s="3737"/>
      <c r="G39" s="3737"/>
      <c r="H39" s="3738"/>
      <c r="I39" s="3770"/>
      <c r="J39" s="3771"/>
      <c r="K39" s="3772"/>
      <c r="L39" s="3490"/>
      <c r="M39" s="3490"/>
      <c r="N39" s="3773"/>
      <c r="O39" s="3773"/>
      <c r="P39" s="3774" t="str">
        <f>IF(OR(I39&lt;=0,I39=""),"",IF(N39="Cash Flow",0,IF(N39="Amortizing",-PMT(K39/12,M39*12,I39,0,0)*12,"")))</f>
        <v/>
      </c>
      <c r="Q39" s="3774"/>
      <c r="S39" s="3711"/>
      <c r="T39" s="3712"/>
    </row>
    <row r="40" spans="1:20" s="268" customFormat="1" ht="15.75" customHeight="1">
      <c r="A40" s="293"/>
      <c r="B40" s="2490" t="s">
        <v>2547</v>
      </c>
      <c r="C40" s="2491"/>
      <c r="D40" s="2491"/>
      <c r="E40" s="3736"/>
      <c r="F40" s="3737"/>
      <c r="G40" s="3737"/>
      <c r="H40" s="3738"/>
      <c r="I40" s="3770"/>
      <c r="J40" s="3771"/>
      <c r="K40" s="3772"/>
      <c r="L40" s="3490"/>
      <c r="M40" s="3490"/>
      <c r="N40" s="3773"/>
      <c r="O40" s="3773"/>
      <c r="P40" s="3774" t="str">
        <f>IF(OR(I40&lt;=0,I40=""),"",IF(N40="Cash Flow",0,IF(N40="Amortizing",-PMT(K40/12,M40*12,I40,0,0)*12,"")))</f>
        <v/>
      </c>
      <c r="Q40" s="3774"/>
      <c r="S40" s="3711"/>
      <c r="T40" s="3712"/>
    </row>
    <row r="41" spans="1:20" s="268" customFormat="1" ht="15.75" customHeight="1">
      <c r="A41" s="293"/>
      <c r="B41" s="2351" t="s">
        <v>722</v>
      </c>
      <c r="C41" s="3775"/>
      <c r="D41" s="3776"/>
      <c r="E41" s="3736"/>
      <c r="F41" s="3737"/>
      <c r="G41" s="3737"/>
      <c r="H41" s="3738"/>
      <c r="I41" s="3777"/>
      <c r="J41" s="3778"/>
      <c r="K41" s="3779"/>
      <c r="L41" s="3545"/>
      <c r="M41" s="3545"/>
      <c r="N41" s="3780"/>
      <c r="O41" s="3780"/>
      <c r="P41" s="3781" t="str">
        <f>IF(OR(I41&lt;=0,I41=""),"",IF(N41="Cash Flow",0,IF(N41="Amortizing",-PMT(K41/12,M41*12,I41,0,0)*12,"")))</f>
        <v/>
      </c>
      <c r="Q41" s="3781"/>
      <c r="S41" s="3711"/>
      <c r="T41" s="3712"/>
    </row>
    <row r="42" spans="1:20" s="268" customFormat="1" ht="15.75" customHeight="1">
      <c r="A42" s="293"/>
      <c r="B42" s="2351" t="s">
        <v>4551</v>
      </c>
      <c r="C42" s="2352"/>
      <c r="D42" s="2353"/>
      <c r="E42" s="3736"/>
      <c r="F42" s="3737"/>
      <c r="G42" s="3737"/>
      <c r="H42" s="3738"/>
      <c r="I42" s="3770"/>
      <c r="J42" s="3771"/>
      <c r="K42" s="451"/>
      <c r="L42" s="2354"/>
      <c r="M42" s="2354"/>
      <c r="N42" s="2509"/>
      <c r="O42" s="2509"/>
      <c r="P42" s="2508"/>
      <c r="Q42" s="2508"/>
      <c r="S42" s="3711"/>
      <c r="T42" s="3712"/>
    </row>
    <row r="43" spans="1:20" s="268" customFormat="1" ht="15.75" customHeight="1">
      <c r="A43" s="293"/>
      <c r="B43" s="2359" t="s">
        <v>223</v>
      </c>
      <c r="C43" s="2360"/>
      <c r="D43" s="365">
        <f>IF(OR(I43="",I43=0,'Part IV-A-Uses of Funds'!$G$118="",'Part IV-A-Uses of Funds'!$G$118=0),"",I43/'Part IV-A-Uses of Funds'!$G$118)</f>
        <v>5.9062000000000003E-2</v>
      </c>
      <c r="E43" s="3745" t="s">
        <v>6985</v>
      </c>
      <c r="F43" s="3746"/>
      <c r="G43" s="3746"/>
      <c r="H43" s="3747"/>
      <c r="I43" s="3782">
        <v>29531</v>
      </c>
      <c r="J43" s="3783"/>
      <c r="K43" s="3784">
        <v>0</v>
      </c>
      <c r="L43" s="3477">
        <v>15</v>
      </c>
      <c r="M43" s="3477">
        <v>15</v>
      </c>
      <c r="N43" s="3785" t="s">
        <v>1141</v>
      </c>
      <c r="O43" s="3786"/>
      <c r="P43" s="3787">
        <f>IF(OR(I43&lt;=0,I43=""),"",IF(N43="Cash Flow",0,IF(N43="Amortizing",-PMT(K43/12,M43*12,I43,0,0)*12,"")))</f>
        <v>0</v>
      </c>
      <c r="Q43" s="3788"/>
      <c r="S43" s="3711"/>
      <c r="T43" s="3712"/>
    </row>
    <row r="44" spans="1:20" s="268" customFormat="1" ht="3" customHeight="1">
      <c r="A44" s="293"/>
      <c r="B44" s="293"/>
      <c r="C44" s="293"/>
      <c r="D44" s="293"/>
      <c r="E44" s="293"/>
      <c r="F44" s="293"/>
      <c r="G44" s="293"/>
      <c r="H44" s="293"/>
      <c r="I44" s="3789"/>
      <c r="J44" s="3790"/>
      <c r="K44" s="3791"/>
      <c r="L44" s="2355"/>
      <c r="M44" s="2355"/>
      <c r="N44" s="3792"/>
      <c r="O44" s="3792"/>
      <c r="P44" s="2355"/>
      <c r="Q44" s="2355"/>
      <c r="S44" s="3711"/>
      <c r="T44" s="3712"/>
    </row>
    <row r="45" spans="1:20" s="268" customFormat="1" ht="14.25" customHeight="1">
      <c r="A45" s="293"/>
      <c r="B45" s="1020" t="s">
        <v>3830</v>
      </c>
      <c r="C45" s="2352"/>
      <c r="E45" s="268" t="s">
        <v>3769</v>
      </c>
      <c r="F45" s="2504">
        <f>IF(OR($I$43="",$I$43=0,'Part VII-Pro Forma'!$S$34=0,'Part VII-Pro Forma'!$S$34=""),"",VLOOKUP($L$43,'Part VII-Pro Forma'!$Q$20:$S$39,3))</f>
        <v>245591.43822867528</v>
      </c>
      <c r="G45" s="2505"/>
      <c r="H45" s="582" t="s">
        <v>3829</v>
      </c>
      <c r="I45" s="2504">
        <f>IF(OR($I$43="",$I$43=0,'Part VII-Pro Forma'!$R$34=0,'Part VII-Pro Forma'!$R$34=""),"",VLOOKUP($L$43,'Part VII-Pro Forma'!$Q$20:$S$34,2))</f>
        <v>29528.725701423235</v>
      </c>
      <c r="J45" s="2505"/>
      <c r="K45" s="582" t="s">
        <v>3831</v>
      </c>
      <c r="L45" s="2502">
        <f>IF(OR($F$45 = 0,$F$45 =""),"",$I$45/$F$45)</f>
        <v>0.12023515931336509</v>
      </c>
      <c r="M45" s="2503"/>
      <c r="N45" s="3793" t="s">
        <v>4394</v>
      </c>
      <c r="O45" s="3794"/>
      <c r="P45" s="2506">
        <f>IF(OR($I$60=0,$I$58&gt;$I$59),0,ABS($I$58-$I$59))</f>
        <v>0.19754928816109896</v>
      </c>
      <c r="Q45" s="2507"/>
      <c r="S45" s="3711"/>
      <c r="T45" s="3712"/>
    </row>
    <row r="46" spans="1:20" s="268" customFormat="1" ht="3" customHeight="1">
      <c r="A46" s="293"/>
      <c r="B46" s="293"/>
      <c r="C46" s="293"/>
      <c r="D46" s="293"/>
      <c r="E46" s="293"/>
      <c r="F46" s="293"/>
      <c r="G46" s="293"/>
      <c r="H46" s="293"/>
      <c r="I46" s="3795"/>
      <c r="J46" s="3796"/>
      <c r="K46" s="3791"/>
      <c r="L46" s="2355"/>
      <c r="M46" s="2355"/>
      <c r="N46" s="3792"/>
      <c r="O46" s="3792"/>
      <c r="P46" s="2355"/>
      <c r="Q46" s="2355"/>
      <c r="S46" s="3716"/>
      <c r="T46" s="3717"/>
    </row>
    <row r="47" spans="1:20" s="268" customFormat="1" ht="15.75" customHeight="1">
      <c r="A47" s="293"/>
      <c r="B47" s="2515" t="s">
        <v>2157</v>
      </c>
      <c r="C47" s="2516"/>
      <c r="D47" s="2517"/>
      <c r="E47" s="3727"/>
      <c r="F47" s="3728"/>
      <c r="G47" s="3728"/>
      <c r="H47" s="3729"/>
      <c r="I47" s="3797"/>
      <c r="J47" s="3798"/>
      <c r="K47" s="366"/>
      <c r="L47" s="366"/>
      <c r="M47" s="366"/>
      <c r="N47" s="366"/>
      <c r="O47" s="366"/>
      <c r="P47" s="397" t="s">
        <v>501</v>
      </c>
      <c r="Q47" s="366"/>
      <c r="S47" s="3707"/>
      <c r="T47" s="3708"/>
    </row>
    <row r="48" spans="1:20" s="268" customFormat="1" ht="15.75" customHeight="1">
      <c r="A48" s="293"/>
      <c r="B48" s="2490" t="s">
        <v>780</v>
      </c>
      <c r="C48" s="2491"/>
      <c r="D48" s="2512"/>
      <c r="E48" s="3736"/>
      <c r="F48" s="3737"/>
      <c r="G48" s="3737"/>
      <c r="H48" s="3738"/>
      <c r="I48" s="3770"/>
      <c r="J48" s="3771"/>
      <c r="L48" s="2518" t="s">
        <v>502</v>
      </c>
      <c r="M48" s="2518"/>
      <c r="N48" s="2519" t="s">
        <v>503</v>
      </c>
      <c r="O48" s="2519"/>
      <c r="P48" s="398" t="s">
        <v>2492</v>
      </c>
      <c r="Q48" s="366"/>
      <c r="S48" s="3711"/>
      <c r="T48" s="3712"/>
    </row>
    <row r="49" spans="1:23" s="268" customFormat="1" ht="15.75" customHeight="1">
      <c r="A49" s="293"/>
      <c r="B49" s="2490" t="s">
        <v>781</v>
      </c>
      <c r="C49" s="2491"/>
      <c r="D49" s="2512"/>
      <c r="E49" s="3736" t="s">
        <v>7042</v>
      </c>
      <c r="F49" s="3737"/>
      <c r="G49" s="3737"/>
      <c r="H49" s="3738"/>
      <c r="I49" s="3770">
        <v>3299670</v>
      </c>
      <c r="J49" s="3770"/>
      <c r="L49" s="2510">
        <f>'Part IV-A-Uses of Funds'!$J$184*10*'Part IV-A-Uses of Funds'!$N$175</f>
        <v>3300000</v>
      </c>
      <c r="M49" s="2510"/>
      <c r="N49" s="2511">
        <f>I49-L49</f>
        <v>-330</v>
      </c>
      <c r="O49" s="2511"/>
      <c r="P49" s="399">
        <f>I49/I59</f>
        <v>0.57973352526319544</v>
      </c>
      <c r="Q49" s="366"/>
      <c r="S49" s="3711"/>
      <c r="T49" s="3712"/>
    </row>
    <row r="50" spans="1:23" s="268" customFormat="1" ht="15.75" customHeight="1">
      <c r="A50" s="293"/>
      <c r="B50" s="2490" t="s">
        <v>782</v>
      </c>
      <c r="C50" s="2491"/>
      <c r="D50" s="2512"/>
      <c r="E50" s="3736" t="s">
        <v>7041</v>
      </c>
      <c r="F50" s="3737"/>
      <c r="G50" s="3737"/>
      <c r="H50" s="3738"/>
      <c r="I50" s="3770">
        <v>1987500</v>
      </c>
      <c r="J50" s="3770"/>
      <c r="L50" s="2510">
        <f>'Part IV-A-Uses of Funds'!$J$184*10*'Part IV-A-Uses of Funds'!$Q$175</f>
        <v>1987500</v>
      </c>
      <c r="M50" s="2510"/>
      <c r="N50" s="2511">
        <f>I50-L50</f>
        <v>0</v>
      </c>
      <c r="O50" s="2511"/>
      <c r="P50" s="399">
        <f>I50/I59</f>
        <v>0.34919261061275852</v>
      </c>
      <c r="Q50" s="366"/>
      <c r="S50" s="3711"/>
      <c r="T50" s="3712"/>
    </row>
    <row r="51" spans="1:23" s="268" customFormat="1" ht="15.75" customHeight="1">
      <c r="A51" s="293"/>
      <c r="B51" s="2490" t="s">
        <v>1382</v>
      </c>
      <c r="C51" s="2491"/>
      <c r="D51" s="2512"/>
      <c r="E51" s="3736"/>
      <c r="F51" s="3737"/>
      <c r="G51" s="3737"/>
      <c r="H51" s="3738"/>
      <c r="I51" s="3770"/>
      <c r="J51" s="3770"/>
      <c r="P51" s="400">
        <f>SUM(P49:P50)</f>
        <v>0.92892613587595396</v>
      </c>
      <c r="Q51" s="366"/>
      <c r="S51" s="3716"/>
      <c r="T51" s="3717"/>
    </row>
    <row r="52" spans="1:23" s="268" customFormat="1" ht="15.75" customHeight="1">
      <c r="A52" s="293"/>
      <c r="B52" s="2351" t="s">
        <v>516</v>
      </c>
      <c r="C52" s="2352"/>
      <c r="D52" s="2353"/>
      <c r="E52" s="3736"/>
      <c r="F52" s="3737"/>
      <c r="G52" s="3737"/>
      <c r="H52" s="3738"/>
      <c r="I52" s="3770"/>
      <c r="J52" s="3770"/>
      <c r="K52" s="293"/>
      <c r="Q52" s="366"/>
      <c r="S52" s="3711"/>
      <c r="T52" s="3712"/>
    </row>
    <row r="53" spans="1:23" s="268" customFormat="1" ht="15.75" customHeight="1">
      <c r="A53" s="293"/>
      <c r="B53" s="2351" t="s">
        <v>1820</v>
      </c>
      <c r="C53" s="2352"/>
      <c r="D53" s="2353"/>
      <c r="E53" s="3736"/>
      <c r="F53" s="3737"/>
      <c r="G53" s="3737"/>
      <c r="H53" s="3738"/>
      <c r="I53" s="3770"/>
      <c r="J53" s="3770"/>
      <c r="N53" s="367"/>
      <c r="O53" s="367"/>
      <c r="P53" s="367"/>
      <c r="Q53" s="366"/>
      <c r="S53" s="3711"/>
      <c r="T53" s="3712"/>
    </row>
    <row r="54" spans="1:23" s="268" customFormat="1" ht="15.75" customHeight="1">
      <c r="A54" s="293"/>
      <c r="B54" s="2351" t="s">
        <v>1821</v>
      </c>
      <c r="C54" s="2352"/>
      <c r="D54" s="2353"/>
      <c r="E54" s="3736"/>
      <c r="F54" s="3737"/>
      <c r="G54" s="3737"/>
      <c r="H54" s="3738"/>
      <c r="I54" s="3770"/>
      <c r="J54" s="3770"/>
      <c r="M54" s="367"/>
      <c r="N54" s="367"/>
      <c r="O54" s="367"/>
      <c r="P54" s="367"/>
      <c r="Q54" s="366"/>
      <c r="S54" s="3711"/>
      <c r="T54" s="3712"/>
    </row>
    <row r="55" spans="1:23" s="268" customFormat="1" ht="15.75" customHeight="1">
      <c r="A55" s="293"/>
      <c r="B55" s="2351" t="s">
        <v>722</v>
      </c>
      <c r="C55" s="3759"/>
      <c r="D55" s="3759"/>
      <c r="E55" s="3736"/>
      <c r="F55" s="3737"/>
      <c r="G55" s="3737"/>
      <c r="H55" s="3738"/>
      <c r="I55" s="3770"/>
      <c r="J55" s="3770"/>
      <c r="M55" s="367"/>
      <c r="N55" s="367"/>
      <c r="O55" s="367"/>
      <c r="P55" s="367"/>
      <c r="Q55" s="366"/>
      <c r="S55" s="3711"/>
      <c r="T55" s="3712"/>
    </row>
    <row r="56" spans="1:23" s="268" customFormat="1" ht="15.75" customHeight="1">
      <c r="A56" s="293"/>
      <c r="B56" s="2351" t="s">
        <v>722</v>
      </c>
      <c r="C56" s="3760"/>
      <c r="D56" s="3760"/>
      <c r="E56" s="3736"/>
      <c r="F56" s="3737"/>
      <c r="G56" s="3737"/>
      <c r="H56" s="3738"/>
      <c r="I56" s="3770"/>
      <c r="J56" s="3770"/>
      <c r="K56" s="293"/>
      <c r="L56" s="368"/>
      <c r="M56" s="367"/>
      <c r="N56" s="367"/>
      <c r="O56" s="367"/>
      <c r="P56" s="367"/>
      <c r="Q56" s="366"/>
      <c r="S56" s="3711"/>
      <c r="T56" s="3712"/>
    </row>
    <row r="57" spans="1:23" s="268" customFormat="1" ht="15.75" customHeight="1">
      <c r="A57" s="293"/>
      <c r="B57" s="2359" t="s">
        <v>722</v>
      </c>
      <c r="C57" s="3761"/>
      <c r="D57" s="3761"/>
      <c r="E57" s="3745"/>
      <c r="F57" s="3746"/>
      <c r="G57" s="3746"/>
      <c r="H57" s="3747"/>
      <c r="I57" s="3799"/>
      <c r="J57" s="3799"/>
      <c r="K57" s="293"/>
      <c r="L57" s="368"/>
      <c r="M57" s="367"/>
      <c r="N57" s="367"/>
      <c r="O57" s="367"/>
      <c r="P57" s="367"/>
      <c r="Q57" s="366"/>
      <c r="S57" s="3711"/>
      <c r="T57" s="3712"/>
    </row>
    <row r="58" spans="1:23" s="268" customFormat="1" ht="14.25" customHeight="1">
      <c r="A58" s="293"/>
      <c r="B58" s="2347" t="s">
        <v>2158</v>
      </c>
      <c r="C58" s="293"/>
      <c r="D58" s="293"/>
      <c r="E58" s="293"/>
      <c r="F58" s="293"/>
      <c r="G58" s="293"/>
      <c r="I58" s="2520">
        <f>SUM(I38:J43)+SUM(I47:J57)</f>
        <v>5691701</v>
      </c>
      <c r="J58" s="2521"/>
      <c r="K58" s="293"/>
      <c r="L58" s="368"/>
      <c r="M58" s="367"/>
      <c r="N58" s="367"/>
      <c r="O58" s="367"/>
      <c r="P58" s="367"/>
      <c r="Q58" s="366"/>
      <c r="S58" s="3711"/>
      <c r="T58" s="3712"/>
    </row>
    <row r="59" spans="1:23" s="268" customFormat="1" ht="14.25" customHeight="1" thickBot="1">
      <c r="A59" s="293"/>
      <c r="B59" s="2347" t="s">
        <v>2159</v>
      </c>
      <c r="C59" s="293"/>
      <c r="D59" s="293"/>
      <c r="E59" s="293"/>
      <c r="F59" s="293"/>
      <c r="G59" s="293"/>
      <c r="I59" s="2522">
        <f>'Part IV-A-Uses of Funds'!$G$132</f>
        <v>5691701.1975492882</v>
      </c>
      <c r="J59" s="2523"/>
      <c r="K59" s="293"/>
      <c r="L59" s="368"/>
      <c r="M59" s="367"/>
      <c r="N59" s="367"/>
      <c r="O59" s="367"/>
      <c r="P59" s="367"/>
      <c r="Q59" s="366"/>
      <c r="S59" s="3711"/>
      <c r="T59" s="3712"/>
    </row>
    <row r="60" spans="1:23" s="268" customFormat="1" ht="14.25" customHeight="1" thickBot="1">
      <c r="A60" s="293"/>
      <c r="B60" s="2344" t="s">
        <v>1492</v>
      </c>
      <c r="C60" s="293"/>
      <c r="D60" s="293"/>
      <c r="E60" s="293"/>
      <c r="F60" s="293"/>
      <c r="G60" s="293"/>
      <c r="I60" s="2524">
        <f>I58-I59</f>
        <v>-0.19754928816109896</v>
      </c>
      <c r="J60" s="2525"/>
      <c r="K60" s="293"/>
      <c r="L60" s="368"/>
      <c r="M60" s="367"/>
      <c r="N60" s="367"/>
      <c r="O60" s="367"/>
      <c r="P60" s="367"/>
      <c r="Q60" s="366"/>
      <c r="S60" s="3716"/>
      <c r="T60" s="3717"/>
    </row>
    <row r="61" spans="1:23" s="268" customFormat="1" ht="13.35" customHeight="1">
      <c r="A61" s="293" t="s">
        <v>4552</v>
      </c>
      <c r="B61" s="2344"/>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1747</v>
      </c>
      <c r="B63" s="295" t="s">
        <v>554</v>
      </c>
      <c r="C63" s="311"/>
      <c r="D63" s="311"/>
      <c r="E63" s="311"/>
      <c r="F63" s="311"/>
      <c r="G63" s="311"/>
      <c r="H63" s="311"/>
      <c r="I63" s="311"/>
      <c r="J63" s="311"/>
      <c r="M63" s="295" t="s">
        <v>1747</v>
      </c>
      <c r="N63" s="295" t="s">
        <v>77</v>
      </c>
      <c r="O63" s="311"/>
      <c r="P63" s="311"/>
      <c r="Q63" s="311"/>
    </row>
    <row r="64" spans="1:23" ht="111.75" customHeight="1">
      <c r="A64" s="3800" t="s">
        <v>7043</v>
      </c>
      <c r="B64" s="3800"/>
      <c r="C64" s="3800"/>
      <c r="D64" s="3800"/>
      <c r="E64" s="3800"/>
      <c r="F64" s="3800"/>
      <c r="G64" s="3800"/>
      <c r="H64" s="3800"/>
      <c r="I64" s="3800"/>
      <c r="J64" s="3800"/>
      <c r="K64" s="3800"/>
      <c r="L64" s="3800"/>
      <c r="M64" s="3801"/>
      <c r="N64" s="3801"/>
      <c r="O64" s="3801"/>
      <c r="P64" s="3801"/>
      <c r="Q64" s="3801"/>
      <c r="S64" s="2514" t="s">
        <v>2612</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YQbQD1rl7EPA+DDRlWAcSIpTsGkP5hVqEtgGt4xYm6uuTiQjNHKgw0+UHw3DB0B9jle7aLMyfESwkmyELVHFYw==" saltValue="LvwADTsklxgjfqPCFsJIZ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2" priority="6" stopIfTrue="1" operator="equal">
      <formula>"Make a selection FIRST --&gt;"</formula>
    </cfRule>
  </conditionalFormatting>
  <conditionalFormatting sqref="J46">
    <cfRule type="cellIs" dxfId="191" priority="5" operator="equal">
      <formula>"No"</formula>
    </cfRule>
  </conditionalFormatting>
  <conditionalFormatting sqref="J44">
    <cfRule type="cellIs" dxfId="190" priority="4" operator="equal">
      <formula>"No"</formula>
    </cfRule>
  </conditionalFormatting>
  <conditionalFormatting sqref="D43">
    <cfRule type="cellIs" dxfId="189" priority="3" operator="greaterThan">
      <formula>50.000001%</formula>
    </cfRule>
  </conditionalFormatting>
  <conditionalFormatting sqref="P45:Q45">
    <cfRule type="cellIs" dxfId="18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493</v>
      </c>
      <c r="C6" s="260">
        <v>0</v>
      </c>
      <c r="D6" s="117" t="s">
        <v>494</v>
      </c>
      <c r="E6" s="33"/>
    </row>
    <row r="7" spans="1:17">
      <c r="A7" s="33"/>
      <c r="B7" s="214" t="s">
        <v>2413</v>
      </c>
      <c r="C7" s="261"/>
      <c r="D7" s="117" t="s">
        <v>1623</v>
      </c>
      <c r="E7" s="33"/>
    </row>
    <row r="8" spans="1:17" ht="13.35" customHeight="1">
      <c r="A8" s="33" t="s">
        <v>2401</v>
      </c>
      <c r="B8" s="33"/>
      <c r="C8" s="260">
        <v>0</v>
      </c>
      <c r="D8" s="117" t="s">
        <v>1624</v>
      </c>
      <c r="E8" s="33"/>
    </row>
    <row r="9" spans="1:17">
      <c r="A9" s="33" t="s">
        <v>1357</v>
      </c>
      <c r="B9" s="33"/>
      <c r="C9" s="262"/>
      <c r="D9" s="33"/>
      <c r="E9" s="33"/>
    </row>
    <row r="10" spans="1:17">
      <c r="A10" s="33" t="s">
        <v>1358</v>
      </c>
      <c r="B10" s="33"/>
      <c r="C10" s="262"/>
      <c r="D10" s="33"/>
      <c r="E10" s="33"/>
    </row>
    <row r="11" spans="1:17">
      <c r="A11" s="33" t="s">
        <v>1355</v>
      </c>
      <c r="B11" s="33"/>
      <c r="C11" s="263" t="e">
        <f>PMT(C7/12,C10*12,-C5,0,0)*12</f>
        <v>#NUM!</v>
      </c>
      <c r="D11" s="258" t="e">
        <f>PMT($C$7/12,$C$10*12,-D5,0,0)*12</f>
        <v>#NUM!</v>
      </c>
      <c r="E11" s="258" t="e">
        <f>PMT($C$7/12,$C$10*12,-E5,0,0)*12</f>
        <v>#NUM!</v>
      </c>
    </row>
    <row r="12" spans="1:17">
      <c r="A12" s="33" t="s">
        <v>1356</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2414</v>
      </c>
      <c r="B16" s="207" t="s">
        <v>2411</v>
      </c>
      <c r="C16" s="207" t="s">
        <v>2412</v>
      </c>
      <c r="D16" s="2537" t="s">
        <v>2194</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2405</v>
      </c>
      <c r="B59" s="2526"/>
      <c r="C59" s="2526"/>
      <c r="D59" s="2526"/>
      <c r="E59" s="2526"/>
      <c r="F59" s="2526"/>
      <c r="G59" s="2526" t="s">
        <v>2405</v>
      </c>
      <c r="H59" s="2526"/>
      <c r="I59" s="2526"/>
      <c r="J59" s="2526"/>
      <c r="K59" s="2526"/>
      <c r="L59" s="2526"/>
    </row>
    <row r="60" spans="1:12" ht="6" customHeight="1">
      <c r="C60" s="191"/>
      <c r="D60" s="191"/>
      <c r="I60" s="191"/>
      <c r="J60" s="191"/>
    </row>
    <row r="61" spans="1:12">
      <c r="A61" s="194" t="s">
        <v>2406</v>
      </c>
      <c r="B61" s="195" t="s">
        <v>2407</v>
      </c>
      <c r="C61" s="195" t="s">
        <v>1267</v>
      </c>
      <c r="D61" s="195" t="s">
        <v>2408</v>
      </c>
      <c r="E61" s="194" t="s">
        <v>2409</v>
      </c>
      <c r="F61" s="221" t="s">
        <v>2414</v>
      </c>
      <c r="G61" s="194" t="s">
        <v>2406</v>
      </c>
      <c r="H61" s="195" t="s">
        <v>2407</v>
      </c>
      <c r="I61" s="195" t="s">
        <v>1267</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2195</v>
      </c>
      <c r="D5" s="219"/>
      <c r="E5" s="2538" t="s">
        <v>933</v>
      </c>
      <c r="F5" s="2539"/>
      <c r="G5" s="159"/>
    </row>
    <row r="6" spans="1:17">
      <c r="E6" s="2539"/>
      <c r="F6" s="2539"/>
      <c r="G6" s="159"/>
    </row>
    <row r="7" spans="1:17">
      <c r="A7" s="27" t="s">
        <v>2397</v>
      </c>
      <c r="C7" s="27" t="s">
        <v>2398</v>
      </c>
      <c r="D7" s="220"/>
      <c r="E7" s="2539"/>
      <c r="F7" s="2539"/>
      <c r="G7" s="159"/>
    </row>
    <row r="8" spans="1:17">
      <c r="C8" s="27" t="s">
        <v>2399</v>
      </c>
      <c r="D8" s="220"/>
      <c r="E8" s="2539"/>
      <c r="F8" s="2539"/>
      <c r="G8" s="159"/>
    </row>
    <row r="9" spans="1:17">
      <c r="C9" s="27" t="s">
        <v>2400</v>
      </c>
      <c r="D9" s="220"/>
      <c r="E9" s="2539"/>
      <c r="F9" s="2539"/>
      <c r="G9" s="159"/>
    </row>
    <row r="10" spans="1:17">
      <c r="C10" s="27" t="s">
        <v>2413</v>
      </c>
      <c r="D10" s="225">
        <f>D7+D8+D9</f>
        <v>0</v>
      </c>
      <c r="E10" s="2539"/>
      <c r="F10" s="2539"/>
      <c r="G10" s="159"/>
    </row>
    <row r="11" spans="1:17">
      <c r="F11" s="159"/>
      <c r="G11" s="159"/>
    </row>
    <row r="12" spans="1:17">
      <c r="A12" s="27" t="s">
        <v>1673</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907</v>
      </c>
      <c r="D18" s="227" t="e">
        <f>PMT(D10/12,D16*12,-D5,0,0)*12</f>
        <v>#NUM!</v>
      </c>
      <c r="E18" s="27" t="s">
        <v>1469</v>
      </c>
      <c r="F18" s="226"/>
    </row>
    <row r="19" spans="1:10">
      <c r="D19" s="191"/>
      <c r="F19" s="226"/>
    </row>
    <row r="20" spans="1:10">
      <c r="A20" s="27" t="s">
        <v>1470</v>
      </c>
      <c r="D20" s="191" t="e">
        <f>D18/12</f>
        <v>#NUM!</v>
      </c>
      <c r="E20" s="27" t="s">
        <v>1469</v>
      </c>
      <c r="F20" s="226"/>
    </row>
    <row r="24" spans="1:10" ht="18" customHeight="1">
      <c r="A24" s="2528" t="s">
        <v>1674</v>
      </c>
      <c r="B24" s="2528"/>
      <c r="C24" s="2528"/>
      <c r="D24" s="2528"/>
      <c r="E24" s="2528"/>
      <c r="F24" s="2528"/>
      <c r="J24" s="228"/>
    </row>
    <row r="25" spans="1:10">
      <c r="C25" s="191"/>
      <c r="J25" s="228"/>
    </row>
    <row r="26" spans="1:10">
      <c r="A26" s="104"/>
      <c r="B26" s="80"/>
      <c r="C26" s="2540" t="s">
        <v>2194</v>
      </c>
      <c r="D26" s="223"/>
      <c r="E26" s="80"/>
      <c r="F26" s="2540" t="s">
        <v>2194</v>
      </c>
      <c r="J26" s="228"/>
    </row>
    <row r="27" spans="1:10">
      <c r="A27" s="229" t="s">
        <v>2414</v>
      </c>
      <c r="B27" s="71" t="s">
        <v>1003</v>
      </c>
      <c r="C27" s="2541"/>
      <c r="D27" s="230" t="s">
        <v>2414</v>
      </c>
      <c r="E27" s="71" t="s">
        <v>1003</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2405</v>
      </c>
      <c r="B51" s="2526"/>
      <c r="C51" s="2526"/>
      <c r="D51" s="2526"/>
      <c r="E51" s="2526"/>
      <c r="F51" s="2526"/>
      <c r="G51" s="240"/>
      <c r="H51" s="240"/>
      <c r="I51" s="240"/>
      <c r="J51" s="240"/>
    </row>
    <row r="52" spans="1:10" ht="5.4" customHeight="1">
      <c r="C52" s="191"/>
      <c r="D52" s="191"/>
      <c r="G52" s="196"/>
      <c r="H52" s="190"/>
      <c r="I52" s="196"/>
    </row>
    <row r="53" spans="1:10">
      <c r="A53" s="194" t="s">
        <v>2406</v>
      </c>
      <c r="B53" s="194" t="s">
        <v>2407</v>
      </c>
      <c r="C53" s="194" t="s">
        <v>1267</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7" zoomScale="160" zoomScaleNormal="160" workbookViewId="0">
      <selection activeCell="A177"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2020-050 Twin Oaks Commons, Ludowici, Long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2020-050 Twin Oaks Commons, Ludowici, Long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597</v>
      </c>
      <c r="B5" s="418" t="s">
        <v>878</v>
      </c>
      <c r="D5" s="2619" t="str">
        <f>'Part I-Project Information'!$B$6</f>
        <v>May 26, 2020 Version</v>
      </c>
      <c r="E5" s="2619"/>
      <c r="F5" s="2619"/>
      <c r="G5" s="2619"/>
      <c r="H5" s="2619"/>
      <c r="I5" s="473"/>
      <c r="J5" s="2555" t="s">
        <v>266</v>
      </c>
      <c r="K5" s="2556"/>
      <c r="L5" s="343"/>
      <c r="M5" s="2559" t="s">
        <v>478</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30">
        <v>8000</v>
      </c>
      <c r="H8" s="3731"/>
      <c r="J8" s="3730"/>
      <c r="K8" s="3731"/>
      <c r="L8" s="2364"/>
      <c r="M8" s="3730"/>
      <c r="N8" s="3731"/>
      <c r="P8" s="3730">
        <v>8000</v>
      </c>
      <c r="Q8" s="3731"/>
      <c r="S8" s="3730"/>
      <c r="T8" s="3731"/>
      <c r="V8" s="3802"/>
      <c r="W8" s="3803"/>
      <c r="X8" s="3804"/>
    </row>
    <row r="9" spans="1:24" s="293" customFormat="1" ht="12.6" customHeight="1">
      <c r="B9" s="293" t="s">
        <v>448</v>
      </c>
      <c r="G9" s="3739">
        <v>5100</v>
      </c>
      <c r="H9" s="3740"/>
      <c r="J9" s="3739"/>
      <c r="K9" s="3740"/>
      <c r="L9" s="2364"/>
      <c r="M9" s="3739"/>
      <c r="N9" s="3740"/>
      <c r="P9" s="3739">
        <v>5100</v>
      </c>
      <c r="Q9" s="3740"/>
      <c r="S9" s="3739"/>
      <c r="T9" s="3740"/>
      <c r="V9" s="3802"/>
      <c r="W9" s="3803"/>
      <c r="X9" s="3804"/>
    </row>
    <row r="10" spans="1:24" s="293" customFormat="1" ht="12.6" customHeight="1">
      <c r="B10" s="293" t="s">
        <v>476</v>
      </c>
      <c r="G10" s="3739">
        <v>35400</v>
      </c>
      <c r="H10" s="3740"/>
      <c r="J10" s="3739"/>
      <c r="K10" s="3740"/>
      <c r="L10" s="2364"/>
      <c r="M10" s="3739"/>
      <c r="N10" s="3740"/>
      <c r="P10" s="3739">
        <v>35400</v>
      </c>
      <c r="Q10" s="3740"/>
      <c r="S10" s="3739"/>
      <c r="T10" s="3740"/>
      <c r="V10" s="3802"/>
      <c r="W10" s="3803"/>
      <c r="X10" s="3804"/>
    </row>
    <row r="11" spans="1:24" s="293" customFormat="1" ht="12.6" customHeight="1">
      <c r="B11" s="293" t="s">
        <v>477</v>
      </c>
      <c r="G11" s="3739">
        <v>15000</v>
      </c>
      <c r="H11" s="3740"/>
      <c r="J11" s="3739"/>
      <c r="K11" s="3740"/>
      <c r="L11" s="2364"/>
      <c r="M11" s="3739"/>
      <c r="N11" s="3740"/>
      <c r="P11" s="3739">
        <v>15000</v>
      </c>
      <c r="Q11" s="3740"/>
      <c r="S11" s="3739"/>
      <c r="T11" s="3740"/>
      <c r="V11" s="3802"/>
      <c r="W11" s="3803"/>
      <c r="X11" s="3804"/>
    </row>
    <row r="12" spans="1:24" s="293" customFormat="1" ht="12.6" customHeight="1">
      <c r="B12" s="293" t="s">
        <v>2433</v>
      </c>
      <c r="G12" s="3739">
        <v>15000</v>
      </c>
      <c r="H12" s="3740"/>
      <c r="J12" s="3739"/>
      <c r="K12" s="3740"/>
      <c r="L12" s="2364"/>
      <c r="M12" s="3739"/>
      <c r="N12" s="3740"/>
      <c r="P12" s="3739">
        <v>15000</v>
      </c>
      <c r="Q12" s="3740"/>
      <c r="S12" s="3739"/>
      <c r="T12" s="3740"/>
      <c r="V12" s="3802"/>
      <c r="W12" s="3803"/>
      <c r="X12" s="3804"/>
    </row>
    <row r="13" spans="1:24" s="293" customFormat="1" ht="12.6" customHeight="1">
      <c r="B13" s="293" t="s">
        <v>186</v>
      </c>
      <c r="G13" s="3739">
        <v>5000</v>
      </c>
      <c r="H13" s="3740"/>
      <c r="J13" s="3739"/>
      <c r="K13" s="3740"/>
      <c r="L13" s="2364"/>
      <c r="M13" s="3739"/>
      <c r="N13" s="3740"/>
      <c r="P13" s="3739">
        <v>5000</v>
      </c>
      <c r="Q13" s="3740"/>
      <c r="S13" s="3739"/>
      <c r="T13" s="3740"/>
      <c r="V13" s="3802"/>
      <c r="W13" s="3803"/>
      <c r="X13" s="3804"/>
    </row>
    <row r="14" spans="1:24" s="293" customFormat="1" ht="12.6" customHeight="1">
      <c r="A14" s="370" t="str">
        <f>IF(AND(G14&gt;0,OR(C14="",C14="&lt;Enter detailed description here; use Comments section if needed&gt;")),"X","")</f>
        <v/>
      </c>
      <c r="B14" s="293" t="s">
        <v>722</v>
      </c>
      <c r="C14" s="3805" t="s">
        <v>3529</v>
      </c>
      <c r="D14" s="3805"/>
      <c r="E14" s="3805"/>
      <c r="F14" s="3806"/>
      <c r="G14" s="3739"/>
      <c r="H14" s="3740"/>
      <c r="J14" s="3739"/>
      <c r="K14" s="3740"/>
      <c r="L14" s="2364"/>
      <c r="M14" s="3739"/>
      <c r="N14" s="3740"/>
      <c r="P14" s="3739"/>
      <c r="Q14" s="3740"/>
      <c r="S14" s="3739"/>
      <c r="T14" s="3740"/>
      <c r="U14" s="369" t="str">
        <f>IF(AND(G14&gt;0,OR(C14="",C14="&lt;Enter detailed description here; use Comments section if needed&gt;")),"NO DESCRIPTION PROVIDED - please enter detailed description in Other box at left; use Comments section below if needed.","")</f>
        <v/>
      </c>
      <c r="V14" s="3807"/>
      <c r="W14" s="3803"/>
      <c r="X14" s="3804"/>
    </row>
    <row r="15" spans="1:24" s="293" customFormat="1" ht="12.6" customHeight="1">
      <c r="A15" s="370" t="str">
        <f>IF(AND(G15&gt;0,OR(C15="",C15="&lt;Enter detailed description here; use Comments section if needed&gt;")),"X","")</f>
        <v/>
      </c>
      <c r="B15" s="293" t="s">
        <v>722</v>
      </c>
      <c r="C15" s="3805" t="s">
        <v>3529</v>
      </c>
      <c r="D15" s="3805"/>
      <c r="E15" s="3805"/>
      <c r="F15" s="3806"/>
      <c r="G15" s="3739"/>
      <c r="H15" s="3740"/>
      <c r="J15" s="3739"/>
      <c r="K15" s="3740"/>
      <c r="L15" s="2364"/>
      <c r="M15" s="3739"/>
      <c r="N15" s="3740"/>
      <c r="P15" s="3739"/>
      <c r="Q15" s="3740"/>
      <c r="S15" s="3739"/>
      <c r="T15" s="3740"/>
      <c r="U15" s="369" t="str">
        <f>IF(AND(G15&gt;0,OR(C15="",C15="&lt;Enter detailed description here; use Comments section if needed&gt;")),"NO DESCRIPTION PROVIDED - please enter detailed description in Other box at left; use Comments section below if needed.","")</f>
        <v/>
      </c>
      <c r="V15" s="3807"/>
      <c r="W15" s="3803"/>
      <c r="X15" s="3804"/>
    </row>
    <row r="16" spans="1:24" s="293" customFormat="1" ht="12.6" customHeight="1" thickBot="1">
      <c r="A16" s="370" t="str">
        <f>IF(AND(G16&gt;0,OR(C16="",C16="&lt;Enter detailed description here; use Comments section if needed&gt;")),"X","")</f>
        <v/>
      </c>
      <c r="B16" s="293" t="s">
        <v>722</v>
      </c>
      <c r="C16" s="3805" t="s">
        <v>3529</v>
      </c>
      <c r="D16" s="3805"/>
      <c r="E16" s="3805"/>
      <c r="F16" s="3806"/>
      <c r="G16" s="3808"/>
      <c r="H16" s="3809"/>
      <c r="J16" s="3808"/>
      <c r="K16" s="3809"/>
      <c r="L16" s="2364"/>
      <c r="M16" s="3808"/>
      <c r="N16" s="3809"/>
      <c r="P16" s="3808"/>
      <c r="Q16" s="3809"/>
      <c r="S16" s="3808"/>
      <c r="T16" s="3809"/>
      <c r="U16" s="369" t="str">
        <f>IF(AND(G16&gt;0,OR(C16="",C16="&lt;Enter detailed description here; use Comments section if needed&gt;")),"NO DESCRIPTION PROVIDED - please enter detailed description in Other box at left; use Comments section below if needed.","")</f>
        <v/>
      </c>
      <c r="V16" s="3807"/>
      <c r="W16" s="3810"/>
      <c r="X16" s="3811"/>
    </row>
    <row r="17" spans="2:24" s="293" customFormat="1" ht="12.6" customHeight="1" thickTop="1">
      <c r="F17" s="344" t="s">
        <v>187</v>
      </c>
      <c r="G17" s="2565">
        <f>SUM(G8:H16)</f>
        <v>83500</v>
      </c>
      <c r="H17" s="2566"/>
      <c r="J17" s="2565">
        <f>SUM(J8:K16)</f>
        <v>0</v>
      </c>
      <c r="K17" s="2567"/>
      <c r="L17" s="2364"/>
      <c r="M17" s="2565">
        <f>SUM(M8:N16)</f>
        <v>0</v>
      </c>
      <c r="N17" s="2566"/>
      <c r="P17" s="2565">
        <f>SUM(P8:Q16)</f>
        <v>83500</v>
      </c>
      <c r="Q17" s="2566"/>
      <c r="S17" s="2565">
        <f>SUM(S8:T16)</f>
        <v>0</v>
      </c>
      <c r="T17" s="2566"/>
      <c r="V17" s="3812">
        <f>SUM(V8:V16)</f>
        <v>0</v>
      </c>
      <c r="W17" s="3813"/>
      <c r="X17" s="3814"/>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3541</v>
      </c>
      <c r="F19" s="452">
        <f>IF('Part I-Project Information'!$O$37="","",G19/'Part I-Project Information'!$O$37)</f>
        <v>20746.887966804978</v>
      </c>
      <c r="G19" s="3730">
        <v>100000</v>
      </c>
      <c r="H19" s="3731"/>
      <c r="J19" s="346"/>
      <c r="K19" s="343"/>
      <c r="L19" s="346"/>
      <c r="M19" s="346"/>
      <c r="N19" s="343"/>
      <c r="P19" s="346"/>
      <c r="Q19" s="343"/>
      <c r="S19" s="3730"/>
      <c r="T19" s="3731"/>
      <c r="V19" s="3802"/>
      <c r="W19" s="3803"/>
      <c r="X19" s="3804"/>
    </row>
    <row r="20" spans="2:24" s="293" customFormat="1" ht="12.6" customHeight="1">
      <c r="B20" s="293" t="s">
        <v>1096</v>
      </c>
      <c r="G20" s="3739"/>
      <c r="H20" s="3740"/>
      <c r="J20" s="346"/>
      <c r="K20" s="343"/>
      <c r="L20" s="346"/>
      <c r="M20" s="346"/>
      <c r="N20" s="343"/>
      <c r="P20" s="346"/>
      <c r="Q20" s="343"/>
      <c r="S20" s="3739"/>
      <c r="T20" s="3740"/>
      <c r="V20" s="3802"/>
      <c r="W20" s="3803"/>
      <c r="X20" s="3804"/>
    </row>
    <row r="21" spans="2:24" s="293" customFormat="1" ht="12.6" customHeight="1">
      <c r="B21" s="293" t="s">
        <v>449</v>
      </c>
      <c r="G21" s="3739">
        <v>1050000</v>
      </c>
      <c r="H21" s="3740"/>
      <c r="J21" s="346"/>
      <c r="K21" s="343"/>
      <c r="L21" s="346"/>
      <c r="M21" s="3739">
        <v>1050000</v>
      </c>
      <c r="N21" s="3740"/>
      <c r="P21" s="346"/>
      <c r="Q21" s="343"/>
      <c r="S21" s="3739"/>
      <c r="T21" s="3740"/>
      <c r="V21" s="3802"/>
      <c r="W21" s="3803"/>
      <c r="X21" s="3804"/>
    </row>
    <row r="22" spans="2:24" s="293" customFormat="1" ht="12.6" customHeight="1" thickBot="1">
      <c r="B22" s="293" t="s">
        <v>422</v>
      </c>
      <c r="G22" s="3808"/>
      <c r="H22" s="3809"/>
      <c r="J22" s="346"/>
      <c r="K22" s="343"/>
      <c r="L22" s="346"/>
      <c r="M22" s="3808"/>
      <c r="N22" s="3809"/>
      <c r="P22" s="346"/>
      <c r="Q22" s="343"/>
      <c r="S22" s="3808"/>
      <c r="T22" s="3809"/>
      <c r="V22" s="3802"/>
      <c r="W22" s="3810"/>
      <c r="X22" s="3811"/>
    </row>
    <row r="23" spans="2:24" s="293" customFormat="1" ht="12.6" customHeight="1" thickTop="1">
      <c r="F23" s="344" t="s">
        <v>187</v>
      </c>
      <c r="G23" s="2565">
        <f>SUM(G19:H22)</f>
        <v>1150000</v>
      </c>
      <c r="H23" s="2566"/>
      <c r="J23" s="346"/>
      <c r="K23" s="343"/>
      <c r="L23" s="346"/>
      <c r="M23" s="2565">
        <f>SUM(M21:N22)</f>
        <v>1050000</v>
      </c>
      <c r="N23" s="2566"/>
      <c r="P23" s="346"/>
      <c r="Q23" s="343"/>
      <c r="S23" s="2565">
        <f>SUM(S19:T22)</f>
        <v>0</v>
      </c>
      <c r="T23" s="2566"/>
      <c r="V23" s="3812">
        <f>SUM(V19:V22)</f>
        <v>0</v>
      </c>
      <c r="W23" s="3813"/>
      <c r="X23" s="3814"/>
    </row>
    <row r="24" spans="2:24" s="293" customFormat="1" ht="12" customHeight="1">
      <c r="B24" s="295" t="s">
        <v>1097</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1098</v>
      </c>
      <c r="E25" s="821" t="s">
        <v>3541</v>
      </c>
      <c r="F25" s="452">
        <f>IF('Part I-Project Information'!$O$37="","",G25/'Part I-Project Information'!$O$37)</f>
        <v>50961.618257261405</v>
      </c>
      <c r="G25" s="3730">
        <v>245635</v>
      </c>
      <c r="H25" s="3731"/>
      <c r="J25" s="3730"/>
      <c r="K25" s="3731"/>
      <c r="L25" s="2364"/>
      <c r="M25" s="3815"/>
      <c r="N25" s="3816"/>
      <c r="P25" s="3815">
        <v>245635</v>
      </c>
      <c r="Q25" s="3816"/>
      <c r="S25" s="3730"/>
      <c r="T25" s="3731"/>
      <c r="V25" s="3802"/>
      <c r="W25" s="3803"/>
      <c r="X25" s="3804"/>
    </row>
    <row r="26" spans="2:24" s="293" customFormat="1" ht="12.6" customHeight="1" thickBot="1">
      <c r="B26" s="293" t="s">
        <v>1099</v>
      </c>
      <c r="G26" s="3808"/>
      <c r="H26" s="3809"/>
      <c r="J26" s="3808"/>
      <c r="K26" s="3809"/>
      <c r="L26" s="347"/>
      <c r="M26" s="2568"/>
      <c r="N26" s="2568"/>
      <c r="P26" s="2568"/>
      <c r="Q26" s="2568"/>
      <c r="S26" s="3808"/>
      <c r="T26" s="3809"/>
      <c r="V26" s="3802"/>
      <c r="W26" s="3810"/>
      <c r="X26" s="3811"/>
    </row>
    <row r="27" spans="2:24" s="293" customFormat="1" ht="12.6" customHeight="1" thickTop="1">
      <c r="F27" s="344" t="s">
        <v>187</v>
      </c>
      <c r="G27" s="2565">
        <f>SUM(G25:H26)</f>
        <v>245635</v>
      </c>
      <c r="H27" s="2566"/>
      <c r="J27" s="2565">
        <f>SUM(J25:K26)</f>
        <v>0</v>
      </c>
      <c r="K27" s="2566"/>
      <c r="L27" s="346"/>
      <c r="M27" s="2565">
        <f>M25</f>
        <v>0</v>
      </c>
      <c r="N27" s="2566"/>
      <c r="P27" s="2565">
        <f>P25</f>
        <v>245635</v>
      </c>
      <c r="Q27" s="2566"/>
      <c r="S27" s="2565">
        <f>SUM(S25:T26)</f>
        <v>0</v>
      </c>
      <c r="T27" s="2566"/>
      <c r="V27" s="3812">
        <f>SUM(V25:V26)</f>
        <v>0</v>
      </c>
      <c r="W27" s="3813"/>
      <c r="X27" s="3814"/>
    </row>
    <row r="28" spans="2:24" s="293" customFormat="1" ht="12" customHeight="1">
      <c r="B28" s="295" t="s">
        <v>1100</v>
      </c>
      <c r="J28" s="346"/>
      <c r="K28" s="343"/>
      <c r="M28" s="346"/>
      <c r="N28" s="343"/>
      <c r="O28" s="345" t="str">
        <f>B28</f>
        <v>STRUCTURES</v>
      </c>
      <c r="P28" s="346"/>
      <c r="Q28" s="343"/>
      <c r="S28" s="346"/>
      <c r="T28" s="343"/>
      <c r="V28" s="1029"/>
      <c r="W28" s="293" t="str">
        <f>B28</f>
        <v>STRUCTURES</v>
      </c>
    </row>
    <row r="29" spans="2:24" s="293" customFormat="1" ht="12.6" customHeight="1">
      <c r="B29" s="293" t="s">
        <v>1101</v>
      </c>
      <c r="G29" s="3730"/>
      <c r="H29" s="3731"/>
      <c r="J29" s="3730"/>
      <c r="K29" s="3731"/>
      <c r="L29" s="2364"/>
      <c r="M29" s="3730"/>
      <c r="N29" s="3731"/>
      <c r="P29" s="3730"/>
      <c r="Q29" s="3731"/>
      <c r="S29" s="3730"/>
      <c r="T29" s="3731"/>
      <c r="V29" s="3802"/>
      <c r="W29" s="3803"/>
      <c r="X29" s="3804"/>
    </row>
    <row r="30" spans="2:24" s="293" customFormat="1" ht="12.6" customHeight="1">
      <c r="B30" s="293" t="s">
        <v>1102</v>
      </c>
      <c r="G30" s="3739">
        <v>1814763</v>
      </c>
      <c r="H30" s="3740"/>
      <c r="J30" s="3739"/>
      <c r="K30" s="3740"/>
      <c r="L30" s="2364"/>
      <c r="M30" s="3739"/>
      <c r="N30" s="3740"/>
      <c r="P30" s="3739">
        <v>1814763</v>
      </c>
      <c r="Q30" s="3740"/>
      <c r="S30" s="3739"/>
      <c r="T30" s="3740"/>
      <c r="V30" s="3802"/>
      <c r="W30" s="3803"/>
      <c r="X30" s="3804"/>
    </row>
    <row r="31" spans="2:24" s="293" customFormat="1" ht="12.6" customHeight="1">
      <c r="B31" s="293" t="s">
        <v>2687</v>
      </c>
      <c r="G31" s="3739"/>
      <c r="H31" s="3740"/>
      <c r="J31" s="3739"/>
      <c r="K31" s="3740"/>
      <c r="L31" s="2364"/>
      <c r="M31" s="3739"/>
      <c r="N31" s="3740"/>
      <c r="P31" s="3739"/>
      <c r="Q31" s="3740"/>
      <c r="S31" s="3739"/>
      <c r="T31" s="3740"/>
      <c r="V31" s="3802"/>
      <c r="W31" s="3803"/>
      <c r="X31" s="3804"/>
    </row>
    <row r="32" spans="2:24" ht="12.6" customHeight="1" thickBot="1">
      <c r="B32" s="293" t="s">
        <v>2686</v>
      </c>
      <c r="G32" s="3808">
        <v>10000</v>
      </c>
      <c r="H32" s="3809"/>
      <c r="I32" s="293"/>
      <c r="J32" s="3808"/>
      <c r="K32" s="3809"/>
      <c r="L32" s="2364"/>
      <c r="M32" s="3808"/>
      <c r="N32" s="3809"/>
      <c r="O32" s="293"/>
      <c r="P32" s="3808">
        <v>10000</v>
      </c>
      <c r="Q32" s="3809"/>
      <c r="R32" s="293"/>
      <c r="S32" s="3808"/>
      <c r="T32" s="3809"/>
      <c r="V32" s="3802"/>
      <c r="W32" s="3810"/>
      <c r="X32" s="3811"/>
    </row>
    <row r="33" spans="1:24" s="293" customFormat="1" ht="12.6" customHeight="1" thickTop="1">
      <c r="C33" s="2570"/>
      <c r="D33" s="2570"/>
      <c r="E33" s="2368"/>
      <c r="F33" s="344" t="s">
        <v>187</v>
      </c>
      <c r="G33" s="2565">
        <f>SUM(G29:H32)</f>
        <v>1824763</v>
      </c>
      <c r="H33" s="2566"/>
      <c r="J33" s="2565">
        <f>SUM(J29:K32)</f>
        <v>0</v>
      </c>
      <c r="K33" s="2566"/>
      <c r="L33" s="2364"/>
      <c r="M33" s="2565">
        <f>SUM(M29:N32)</f>
        <v>0</v>
      </c>
      <c r="N33" s="2566"/>
      <c r="P33" s="2565">
        <f>SUM(P29:Q32)</f>
        <v>1824763</v>
      </c>
      <c r="Q33" s="2566"/>
      <c r="S33" s="2565">
        <f>SUM(S29:T32)</f>
        <v>0</v>
      </c>
      <c r="T33" s="2566"/>
      <c r="V33" s="3812">
        <f>SUM(V29:V32)</f>
        <v>0</v>
      </c>
      <c r="W33" s="3813"/>
      <c r="X33" s="3814"/>
    </row>
    <row r="34" spans="1:24" s="293" customFormat="1" ht="12" customHeight="1">
      <c r="B34" s="295" t="s">
        <v>2282</v>
      </c>
      <c r="D34" s="2569" t="s">
        <v>3545</v>
      </c>
      <c r="E34" s="2569"/>
      <c r="F34" s="933">
        <f>SUM(F35:F37)</f>
        <v>0.13999991789018346</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124223.87999999999</v>
      </c>
      <c r="F35" s="934">
        <f>IF(($G$27+$G$33)=0,0,G35/($G$27+$G$33))</f>
        <v>5.9999961360086326E-2</v>
      </c>
      <c r="G35" s="3730">
        <v>124223.8</v>
      </c>
      <c r="H35" s="3731"/>
      <c r="I35" s="311"/>
      <c r="J35" s="3730"/>
      <c r="K35" s="3731"/>
      <c r="L35" s="2364"/>
      <c r="M35" s="3730"/>
      <c r="N35" s="3731"/>
      <c r="P35" s="3730">
        <v>124223.5</v>
      </c>
      <c r="Q35" s="3731"/>
      <c r="S35" s="3730"/>
      <c r="T35" s="3731"/>
      <c r="V35" s="3802"/>
      <c r="W35" s="3803"/>
      <c r="X35" s="3804"/>
    </row>
    <row r="36" spans="1:24" s="293" customFormat="1" ht="12.6" customHeight="1">
      <c r="B36" s="293" t="s">
        <v>2649</v>
      </c>
      <c r="D36" s="936">
        <f>'DCA Underwriting Assumptions'!$R$78</f>
        <v>0.02</v>
      </c>
      <c r="E36" s="937">
        <f>D36*(G27+G33)</f>
        <v>41407.96</v>
      </c>
      <c r="F36" s="934">
        <f>IF(($G$27+$G$33)=0,0,G36/($G$27+$G$33))</f>
        <v>1.9999971020064743E-2</v>
      </c>
      <c r="G36" s="3739">
        <v>41407.9</v>
      </c>
      <c r="H36" s="3740"/>
      <c r="I36" s="311"/>
      <c r="J36" s="3739"/>
      <c r="K36" s="3740"/>
      <c r="L36" s="2364"/>
      <c r="M36" s="3739"/>
      <c r="N36" s="3740"/>
      <c r="P36" s="3739">
        <v>41407.5</v>
      </c>
      <c r="Q36" s="3740"/>
      <c r="S36" s="3739"/>
      <c r="T36" s="3740"/>
      <c r="V36" s="3802"/>
      <c r="W36" s="3803"/>
      <c r="X36" s="3804"/>
    </row>
    <row r="37" spans="1:24" s="293" customFormat="1" ht="12.6" customHeight="1" thickBot="1">
      <c r="B37" s="293" t="s">
        <v>2650</v>
      </c>
      <c r="D37" s="940">
        <f>'DCA Underwriting Assumptions'!$R$79</f>
        <v>0.06</v>
      </c>
      <c r="E37" s="941">
        <f>D37*(G27+G33)</f>
        <v>124223.87999999999</v>
      </c>
      <c r="F37" s="1144">
        <f>IF(($G$27+$G$33)=0,0,G37/($G$27+$G$33))</f>
        <v>5.9999985510032376E-2</v>
      </c>
      <c r="G37" s="3808">
        <v>124223.85</v>
      </c>
      <c r="H37" s="3809"/>
      <c r="I37" s="311"/>
      <c r="J37" s="3808"/>
      <c r="K37" s="3809"/>
      <c r="L37" s="2364"/>
      <c r="M37" s="3808"/>
      <c r="N37" s="3809"/>
      <c r="P37" s="3808">
        <v>124223.5</v>
      </c>
      <c r="Q37" s="3809"/>
      <c r="S37" s="3808"/>
      <c r="T37" s="3809"/>
      <c r="V37" s="3802"/>
      <c r="W37" s="3810"/>
      <c r="X37" s="3811"/>
    </row>
    <row r="38" spans="1:24" s="293" customFormat="1" ht="12.6" customHeight="1" thickTop="1">
      <c r="B38" s="172" t="s">
        <v>3546</v>
      </c>
      <c r="D38" s="938">
        <f>SUM(D35:D37)</f>
        <v>0.14000000000000001</v>
      </c>
      <c r="E38" s="939">
        <f>SUM(E35:E37)</f>
        <v>289855.71999999997</v>
      </c>
      <c r="F38" s="921" t="s">
        <v>187</v>
      </c>
      <c r="G38" s="2565">
        <f>SUM(G35:H37)</f>
        <v>289855.55000000005</v>
      </c>
      <c r="H38" s="2566"/>
      <c r="J38" s="2565">
        <f>SUM(J35:K37)</f>
        <v>0</v>
      </c>
      <c r="K38" s="2566"/>
      <c r="L38" s="346"/>
      <c r="M38" s="2565">
        <f>SUM(M35:N37)</f>
        <v>0</v>
      </c>
      <c r="N38" s="2566"/>
      <c r="P38" s="2565">
        <f>SUM(P35:Q37)</f>
        <v>289854.5</v>
      </c>
      <c r="Q38" s="2566"/>
      <c r="S38" s="2565">
        <f>SUM(S35:T37)</f>
        <v>0</v>
      </c>
      <c r="T38" s="2566"/>
      <c r="V38" s="3812">
        <f>SUM(V35:V37)</f>
        <v>0</v>
      </c>
      <c r="W38" s="3813"/>
      <c r="X38" s="381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722</v>
      </c>
      <c r="C41" s="3805" t="s">
        <v>3529</v>
      </c>
      <c r="D41" s="3817"/>
      <c r="E41" s="3817"/>
      <c r="F41" s="3818"/>
      <c r="G41" s="3819"/>
      <c r="H41" s="3820"/>
      <c r="I41" s="293"/>
      <c r="J41" s="3819"/>
      <c r="K41" s="3820"/>
      <c r="L41" s="2364"/>
      <c r="M41" s="3819"/>
      <c r="N41" s="3820"/>
      <c r="O41" s="293"/>
      <c r="P41" s="3819"/>
      <c r="Q41" s="3820"/>
      <c r="R41" s="293"/>
      <c r="S41" s="3819"/>
      <c r="T41" s="3820"/>
      <c r="V41" s="3802"/>
      <c r="W41" s="3821"/>
      <c r="X41" s="382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23"/>
      <c r="X42" s="3824"/>
    </row>
    <row r="43" spans="1:24" s="293" customFormat="1" ht="12.6" customHeight="1">
      <c r="B43" s="495" t="s">
        <v>2658</v>
      </c>
      <c r="C43" s="496"/>
      <c r="E43" s="2575" t="s">
        <v>2657</v>
      </c>
      <c r="F43" s="2366">
        <f>B44/'Part VI-Revenues &amp; Expenses'!$P$65</f>
        <v>59006.338749999995</v>
      </c>
      <c r="G43" s="2367" t="s">
        <v>2678</v>
      </c>
      <c r="H43" s="2350"/>
      <c r="I43" s="2350"/>
      <c r="J43" s="2577">
        <f>B44/'Part VI-Revenues &amp; Expenses'!$P$67</f>
        <v>59006.338749999995</v>
      </c>
      <c r="K43" s="2577"/>
      <c r="L43" s="2350"/>
      <c r="M43" s="2578" t="s">
        <v>1374</v>
      </c>
      <c r="N43" s="2578"/>
      <c r="O43" s="2350"/>
      <c r="P43" s="2577">
        <f>B44/'Part I-Project Information'!$P$75</f>
        <v>61.94891207349081</v>
      </c>
      <c r="Q43" s="2577"/>
      <c r="R43" s="2350"/>
      <c r="S43" s="2579" t="s">
        <v>2685</v>
      </c>
      <c r="T43" s="2580"/>
      <c r="V43" s="1029"/>
      <c r="W43" s="3823"/>
      <c r="X43" s="3824"/>
    </row>
    <row r="44" spans="1:24" s="293" customFormat="1" ht="12.6" customHeight="1">
      <c r="B44" s="2571">
        <f>G27+G33+G38+G41</f>
        <v>2360253.5499999998</v>
      </c>
      <c r="C44" s="2572"/>
      <c r="E44" s="2576"/>
      <c r="F44" s="2365">
        <f>B44/'Part VI-Revenues &amp; Expenses'!$P$168</f>
        <v>67.24369088319088</v>
      </c>
      <c r="G44" s="494" t="s">
        <v>2679</v>
      </c>
      <c r="H44" s="2360"/>
      <c r="I44" s="2360"/>
      <c r="J44" s="2573">
        <f>B44/'Part VI-Revenues &amp; Expenses'!$P$170</f>
        <v>67.24369088319088</v>
      </c>
      <c r="K44" s="2573"/>
      <c r="L44" s="2360"/>
      <c r="M44" s="2574" t="s">
        <v>2684</v>
      </c>
      <c r="N44" s="2574"/>
      <c r="O44" s="2360"/>
      <c r="P44" s="2360"/>
      <c r="Q44" s="2360"/>
      <c r="R44" s="2360"/>
      <c r="S44" s="2360"/>
      <c r="T44" s="336"/>
      <c r="V44" s="1029"/>
      <c r="W44" s="3825"/>
      <c r="X44" s="382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1103</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236025.35499999998</v>
      </c>
      <c r="F47" s="348">
        <f>G47/B44</f>
        <v>9.9999849592430454E-2</v>
      </c>
      <c r="G47" s="3819">
        <v>236025</v>
      </c>
      <c r="H47" s="3820"/>
      <c r="I47" s="293"/>
      <c r="J47" s="3819"/>
      <c r="K47" s="3820"/>
      <c r="L47" s="2364"/>
      <c r="M47" s="3819"/>
      <c r="N47" s="3820"/>
      <c r="O47" s="293"/>
      <c r="P47" s="3819">
        <v>236025</v>
      </c>
      <c r="Q47" s="3820"/>
      <c r="R47" s="293"/>
      <c r="S47" s="3819"/>
      <c r="T47" s="3820"/>
      <c r="V47" s="3802"/>
      <c r="W47" s="3803"/>
      <c r="X47" s="380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597</v>
      </c>
      <c r="B49" s="418" t="s">
        <v>2742</v>
      </c>
      <c r="H49" s="2352"/>
      <c r="I49" s="2352"/>
      <c r="J49" s="2555" t="s">
        <v>266</v>
      </c>
      <c r="K49" s="2556"/>
      <c r="L49" s="343"/>
      <c r="M49" s="2559" t="s">
        <v>478</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2605</v>
      </c>
      <c r="X50" s="2617"/>
    </row>
    <row r="51" spans="1:24" s="293" customFormat="1" ht="12" customHeight="1">
      <c r="B51" s="295" t="s">
        <v>703</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3547</v>
      </c>
      <c r="G52" s="3730">
        <v>50100</v>
      </c>
      <c r="H52" s="3731"/>
      <c r="J52" s="3730"/>
      <c r="K52" s="3731"/>
      <c r="L52" s="2364"/>
      <c r="M52" s="3730"/>
      <c r="N52" s="3731"/>
      <c r="P52" s="3739">
        <v>50100</v>
      </c>
      <c r="Q52" s="3740"/>
      <c r="S52" s="3730"/>
      <c r="T52" s="3731"/>
      <c r="V52" s="3827"/>
      <c r="W52" s="3803"/>
      <c r="X52" s="3804"/>
    </row>
    <row r="53" spans="1:24" s="293" customFormat="1" ht="12" customHeight="1">
      <c r="B53" s="293" t="s">
        <v>3548</v>
      </c>
      <c r="G53" s="3739">
        <v>202083</v>
      </c>
      <c r="H53" s="3740"/>
      <c r="J53" s="3739"/>
      <c r="K53" s="3740"/>
      <c r="L53" s="2364"/>
      <c r="M53" s="3739"/>
      <c r="N53" s="3740"/>
      <c r="P53" s="3739">
        <v>105083</v>
      </c>
      <c r="Q53" s="3740"/>
      <c r="S53" s="3739"/>
      <c r="T53" s="3740"/>
      <c r="V53" s="3827"/>
      <c r="W53" s="3803"/>
      <c r="X53" s="3804"/>
    </row>
    <row r="54" spans="1:24" s="293" customFormat="1" ht="12" customHeight="1">
      <c r="B54" s="293" t="s">
        <v>2285</v>
      </c>
      <c r="G54" s="3730"/>
      <c r="H54" s="3731"/>
      <c r="J54" s="3730"/>
      <c r="K54" s="3731"/>
      <c r="L54" s="2364"/>
      <c r="M54" s="3739"/>
      <c r="N54" s="3740"/>
      <c r="P54" s="3739"/>
      <c r="Q54" s="3740"/>
      <c r="S54" s="3739"/>
      <c r="T54" s="3740"/>
      <c r="V54" s="3827"/>
      <c r="W54" s="3803"/>
      <c r="X54" s="3804"/>
    </row>
    <row r="55" spans="1:24" s="293" customFormat="1" ht="12" customHeight="1">
      <c r="B55" s="293" t="s">
        <v>2286</v>
      </c>
      <c r="G55" s="3739"/>
      <c r="H55" s="3740"/>
      <c r="J55" s="3739"/>
      <c r="K55" s="3740"/>
      <c r="L55" s="2364"/>
      <c r="M55" s="3739"/>
      <c r="N55" s="3740"/>
      <c r="P55" s="3739"/>
      <c r="Q55" s="3740"/>
      <c r="S55" s="3739"/>
      <c r="T55" s="3740"/>
      <c r="V55" s="3827"/>
      <c r="W55" s="3803"/>
      <c r="X55" s="3804"/>
    </row>
    <row r="56" spans="1:24" s="293" customFormat="1" ht="12" customHeight="1">
      <c r="B56" s="293" t="s">
        <v>2287</v>
      </c>
      <c r="G56" s="3739">
        <v>5000</v>
      </c>
      <c r="H56" s="3740"/>
      <c r="J56" s="3739"/>
      <c r="K56" s="3740"/>
      <c r="L56" s="2364"/>
      <c r="M56" s="3739"/>
      <c r="N56" s="3740"/>
      <c r="P56" s="3739">
        <v>5000</v>
      </c>
      <c r="Q56" s="3740"/>
      <c r="S56" s="3739"/>
      <c r="T56" s="3740"/>
      <c r="V56" s="3827"/>
      <c r="W56" s="3803"/>
      <c r="X56" s="3804"/>
    </row>
    <row r="57" spans="1:24" s="293" customFormat="1" ht="12" customHeight="1">
      <c r="B57" s="293" t="s">
        <v>2608</v>
      </c>
      <c r="G57" s="3739">
        <v>15000</v>
      </c>
      <c r="H57" s="3740"/>
      <c r="J57" s="3739"/>
      <c r="K57" s="3740"/>
      <c r="L57" s="2364"/>
      <c r="M57" s="3739"/>
      <c r="N57" s="3740"/>
      <c r="P57" s="3739">
        <v>15000</v>
      </c>
      <c r="Q57" s="3740"/>
      <c r="S57" s="3739"/>
      <c r="T57" s="3740"/>
      <c r="V57" s="3827"/>
      <c r="W57" s="3803"/>
      <c r="X57" s="3804"/>
    </row>
    <row r="58" spans="1:24" s="293" customFormat="1" ht="12" customHeight="1">
      <c r="B58" s="293" t="s">
        <v>704</v>
      </c>
      <c r="G58" s="3739">
        <v>10000</v>
      </c>
      <c r="H58" s="3740"/>
      <c r="J58" s="3739"/>
      <c r="K58" s="3740"/>
      <c r="L58" s="2364"/>
      <c r="M58" s="3739"/>
      <c r="N58" s="3740"/>
      <c r="P58" s="3739">
        <v>10000</v>
      </c>
      <c r="Q58" s="3740"/>
      <c r="S58" s="3739"/>
      <c r="T58" s="3740"/>
      <c r="V58" s="3827"/>
      <c r="W58" s="3803"/>
      <c r="X58" s="3804"/>
    </row>
    <row r="59" spans="1:24" s="293" customFormat="1" ht="12" customHeight="1">
      <c r="B59" s="293" t="s">
        <v>2288</v>
      </c>
      <c r="G59" s="3739">
        <v>16000</v>
      </c>
      <c r="H59" s="3740"/>
      <c r="J59" s="3739"/>
      <c r="K59" s="3740"/>
      <c r="L59" s="2364"/>
      <c r="M59" s="3739"/>
      <c r="N59" s="3740"/>
      <c r="P59" s="3739">
        <v>16000</v>
      </c>
      <c r="Q59" s="3740"/>
      <c r="S59" s="3739"/>
      <c r="T59" s="3740"/>
      <c r="V59" s="3827"/>
      <c r="W59" s="3803"/>
      <c r="X59" s="3804"/>
    </row>
    <row r="60" spans="1:24" s="293" customFormat="1" ht="12" customHeight="1">
      <c r="B60" s="293" t="s">
        <v>1249</v>
      </c>
      <c r="G60" s="3739">
        <v>20413</v>
      </c>
      <c r="H60" s="3740"/>
      <c r="J60" s="3739"/>
      <c r="K60" s="3740"/>
      <c r="L60" s="2364"/>
      <c r="M60" s="3739"/>
      <c r="N60" s="3740"/>
      <c r="P60" s="3739">
        <v>20413</v>
      </c>
      <c r="Q60" s="3740"/>
      <c r="S60" s="3739"/>
      <c r="T60" s="3740"/>
      <c r="V60" s="3827"/>
      <c r="W60" s="3803"/>
      <c r="X60" s="3804"/>
    </row>
    <row r="61" spans="1:24" s="293" customFormat="1" ht="12" customHeight="1">
      <c r="B61" s="350" t="s">
        <v>1130</v>
      </c>
      <c r="D61" s="348"/>
      <c r="E61" s="348"/>
      <c r="F61" s="349"/>
      <c r="G61" s="3739">
        <v>30000</v>
      </c>
      <c r="H61" s="3740"/>
      <c r="I61" s="311"/>
      <c r="J61" s="3739"/>
      <c r="K61" s="3740"/>
      <c r="L61" s="2364"/>
      <c r="M61" s="3739"/>
      <c r="N61" s="3740"/>
      <c r="P61" s="3739">
        <v>30000</v>
      </c>
      <c r="Q61" s="3740"/>
      <c r="S61" s="3739"/>
      <c r="T61" s="3740"/>
      <c r="V61" s="3827"/>
      <c r="W61" s="3803"/>
      <c r="X61" s="3804"/>
    </row>
    <row r="62" spans="1:24" s="293" customFormat="1" ht="12" customHeight="1">
      <c r="A62" s="370" t="str">
        <f>IF(AND(G62&gt;0,OR(C62="",C62="&lt;Enter detailed description here; use Comments section if needed&gt;")),"X","")</f>
        <v/>
      </c>
      <c r="B62" s="293" t="s">
        <v>722</v>
      </c>
      <c r="C62" s="3828" t="s">
        <v>3529</v>
      </c>
      <c r="D62" s="3828"/>
      <c r="E62" s="3828"/>
      <c r="F62" s="3829"/>
      <c r="G62" s="3739"/>
      <c r="H62" s="3740"/>
      <c r="J62" s="3739"/>
      <c r="K62" s="3740"/>
      <c r="L62" s="2364"/>
      <c r="M62" s="3739"/>
      <c r="N62" s="3740"/>
      <c r="P62" s="3739"/>
      <c r="Q62" s="3740"/>
      <c r="S62" s="3739"/>
      <c r="T62" s="3740"/>
      <c r="U62" s="369" t="str">
        <f>IF(AND(G62&gt;0,OR(C62="",C62="&lt;Enter detailed description here; use Comments section if needed&gt;")),"NO DESCRIPTION PROVIDED - please enter detailed description in Other box at left; use Comments section below if needed.","")</f>
        <v/>
      </c>
      <c r="V62" s="3827"/>
      <c r="W62" s="3803"/>
      <c r="X62" s="3804"/>
    </row>
    <row r="63" spans="1:24" s="293" customFormat="1" ht="12" customHeight="1" thickBot="1">
      <c r="A63" s="370" t="str">
        <f>IF(AND(G63&gt;0,OR(C63="",C63="&lt;Enter detailed description here; use Comments section if needed&gt;")),"X","")</f>
        <v/>
      </c>
      <c r="B63" s="293" t="s">
        <v>722</v>
      </c>
      <c r="C63" s="3830" t="s">
        <v>3529</v>
      </c>
      <c r="D63" s="3830"/>
      <c r="E63" s="3830"/>
      <c r="F63" s="3831"/>
      <c r="G63" s="3748"/>
      <c r="H63" s="3749"/>
      <c r="J63" s="3748"/>
      <c r="K63" s="3749"/>
      <c r="L63" s="2364"/>
      <c r="M63" s="3748"/>
      <c r="N63" s="3749"/>
      <c r="P63" s="3748"/>
      <c r="Q63" s="3749"/>
      <c r="S63" s="3748"/>
      <c r="T63" s="3749"/>
      <c r="U63" s="369" t="str">
        <f>IF(AND(G63&gt;0,OR(C63="",C63="&lt;Enter detailed description here; use Comments section if needed&gt;")),"NO DESCRIPTION PROVIDED - please enter detailed description in Other box at left; use Comments section below if needed.","")</f>
        <v/>
      </c>
      <c r="V63" s="3827"/>
      <c r="W63" s="3810"/>
      <c r="X63" s="3811"/>
    </row>
    <row r="64" spans="1:24" s="293" customFormat="1" ht="12" customHeight="1" thickTop="1">
      <c r="F64" s="344" t="s">
        <v>187</v>
      </c>
      <c r="G64" s="2565">
        <f>SUM(G52:H63)</f>
        <v>348596</v>
      </c>
      <c r="H64" s="2566"/>
      <c r="J64" s="2565">
        <f>SUM(J52:K63)</f>
        <v>0</v>
      </c>
      <c r="K64" s="2566"/>
      <c r="L64" s="346"/>
      <c r="M64" s="2565">
        <f>SUM(M52:N63)</f>
        <v>0</v>
      </c>
      <c r="N64" s="2566"/>
      <c r="P64" s="2565">
        <f>SUM(P52:Q63)</f>
        <v>251596</v>
      </c>
      <c r="Q64" s="2566"/>
      <c r="S64" s="2565">
        <f>SUM(S52:T63)</f>
        <v>0</v>
      </c>
      <c r="T64" s="2566"/>
      <c r="V64" s="3832">
        <f>SUM(V52:V63)</f>
        <v>0</v>
      </c>
      <c r="W64" s="3813"/>
      <c r="X64" s="381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30">
        <v>350000</v>
      </c>
      <c r="H66" s="3731"/>
      <c r="J66" s="3730"/>
      <c r="K66" s="3731"/>
      <c r="L66" s="2364"/>
      <c r="M66" s="3730"/>
      <c r="N66" s="3731"/>
      <c r="P66" s="3730">
        <v>350000</v>
      </c>
      <c r="Q66" s="3731"/>
      <c r="S66" s="3730"/>
      <c r="T66" s="3731"/>
      <c r="V66" s="3802"/>
      <c r="W66" s="3803"/>
      <c r="X66" s="3804"/>
    </row>
    <row r="67" spans="1:24" s="293" customFormat="1" ht="12" customHeight="1">
      <c r="B67" s="293" t="s">
        <v>469</v>
      </c>
      <c r="G67" s="3739">
        <v>50000</v>
      </c>
      <c r="H67" s="3740"/>
      <c r="J67" s="3739"/>
      <c r="K67" s="3740"/>
      <c r="L67" s="2364"/>
      <c r="M67" s="3739"/>
      <c r="N67" s="3740"/>
      <c r="P67" s="3739">
        <v>50000</v>
      </c>
      <c r="Q67" s="3740"/>
      <c r="S67" s="3739"/>
      <c r="T67" s="3740"/>
      <c r="V67" s="3802"/>
      <c r="W67" s="3803"/>
      <c r="X67" s="3804"/>
    </row>
    <row r="68" spans="1:24" s="293" customFormat="1" ht="12" customHeight="1">
      <c r="B68" s="293" t="s">
        <v>1104</v>
      </c>
      <c r="D68" s="305" t="s">
        <v>3630</v>
      </c>
      <c r="E68" s="1021">
        <f>'DCA Underwriting Assumptions'!R80</f>
        <v>20000</v>
      </c>
      <c r="F68" s="1022" t="str">
        <f>IF(G68&gt;E68,"CHECK!!!","")</f>
        <v/>
      </c>
      <c r="G68" s="3739">
        <v>20000</v>
      </c>
      <c r="H68" s="3740"/>
      <c r="J68" s="3739"/>
      <c r="K68" s="3740"/>
      <c r="L68" s="2364"/>
      <c r="M68" s="3739"/>
      <c r="N68" s="3740"/>
      <c r="P68" s="3739">
        <v>20000</v>
      </c>
      <c r="Q68" s="3740"/>
      <c r="S68" s="3739"/>
      <c r="T68" s="3740"/>
      <c r="V68" s="3802"/>
      <c r="W68" s="3803"/>
      <c r="X68" s="3804"/>
    </row>
    <row r="69" spans="1:24" s="293" customFormat="1" ht="12" customHeight="1">
      <c r="B69" s="293" t="s">
        <v>1105</v>
      </c>
      <c r="G69" s="3739">
        <v>15000</v>
      </c>
      <c r="H69" s="3740"/>
      <c r="J69" s="3739"/>
      <c r="K69" s="3740"/>
      <c r="L69" s="2364"/>
      <c r="M69" s="3739"/>
      <c r="N69" s="3740"/>
      <c r="P69" s="3739">
        <v>15000</v>
      </c>
      <c r="Q69" s="3740"/>
      <c r="S69" s="3739"/>
      <c r="T69" s="3740"/>
      <c r="V69" s="3802"/>
      <c r="W69" s="3803"/>
      <c r="X69" s="3804"/>
    </row>
    <row r="70" spans="1:24" s="293" customFormat="1" ht="12" customHeight="1">
      <c r="B70" s="293" t="s">
        <v>1106</v>
      </c>
      <c r="G70" s="3739">
        <v>15000</v>
      </c>
      <c r="H70" s="3740"/>
      <c r="J70" s="3739"/>
      <c r="K70" s="3740"/>
      <c r="L70" s="2364"/>
      <c r="M70" s="3739"/>
      <c r="N70" s="3740"/>
      <c r="P70" s="3739">
        <v>15000</v>
      </c>
      <c r="Q70" s="3740"/>
      <c r="S70" s="3739"/>
      <c r="T70" s="3740"/>
      <c r="V70" s="3802"/>
      <c r="W70" s="3803"/>
      <c r="X70" s="3804"/>
    </row>
    <row r="71" spans="1:24" s="293" customFormat="1" ht="12" customHeight="1">
      <c r="B71" s="293" t="s">
        <v>1107</v>
      </c>
      <c r="G71" s="3739">
        <v>20000</v>
      </c>
      <c r="H71" s="3740"/>
      <c r="J71" s="3739"/>
      <c r="K71" s="3740"/>
      <c r="L71" s="2364"/>
      <c r="M71" s="3739"/>
      <c r="N71" s="3740"/>
      <c r="P71" s="3739">
        <v>20000</v>
      </c>
      <c r="Q71" s="3740"/>
      <c r="S71" s="3739"/>
      <c r="T71" s="3740"/>
      <c r="V71" s="3802"/>
      <c r="W71" s="3803"/>
      <c r="X71" s="3804"/>
    </row>
    <row r="72" spans="1:24" s="293" customFormat="1" ht="12" customHeight="1">
      <c r="B72" s="293" t="s">
        <v>470</v>
      </c>
      <c r="G72" s="3739">
        <v>50000</v>
      </c>
      <c r="H72" s="3740"/>
      <c r="J72" s="3739"/>
      <c r="K72" s="3740"/>
      <c r="L72" s="2364"/>
      <c r="M72" s="3739"/>
      <c r="N72" s="3740"/>
      <c r="P72" s="3739">
        <v>50000</v>
      </c>
      <c r="Q72" s="3740"/>
      <c r="S72" s="3739"/>
      <c r="T72" s="3740"/>
      <c r="V72" s="3802"/>
      <c r="W72" s="3803"/>
      <c r="X72" s="3804"/>
    </row>
    <row r="73" spans="1:24" s="293" customFormat="1" ht="12" customHeight="1">
      <c r="B73" s="293" t="s">
        <v>471</v>
      </c>
      <c r="G73" s="3739">
        <v>25000</v>
      </c>
      <c r="H73" s="3740"/>
      <c r="J73" s="3739"/>
      <c r="K73" s="3740"/>
      <c r="L73" s="2364"/>
      <c r="M73" s="3739"/>
      <c r="N73" s="3740"/>
      <c r="P73" s="3739">
        <v>25000</v>
      </c>
      <c r="Q73" s="3740"/>
      <c r="S73" s="3739"/>
      <c r="T73" s="3740"/>
      <c r="V73" s="3802"/>
      <c r="W73" s="3803"/>
      <c r="X73" s="3804"/>
    </row>
    <row r="74" spans="1:24" s="293" customFormat="1" ht="12" customHeight="1">
      <c r="B74" s="293" t="s">
        <v>1999</v>
      </c>
      <c r="G74" s="3739">
        <v>20000</v>
      </c>
      <c r="H74" s="3740"/>
      <c r="J74" s="3739"/>
      <c r="K74" s="3740"/>
      <c r="L74" s="2364"/>
      <c r="M74" s="3739"/>
      <c r="N74" s="3740"/>
      <c r="P74" s="3739">
        <v>20000</v>
      </c>
      <c r="Q74" s="3740"/>
      <c r="S74" s="3739"/>
      <c r="T74" s="3740"/>
      <c r="V74" s="3802"/>
      <c r="W74" s="3803"/>
      <c r="X74" s="3804"/>
    </row>
    <row r="75" spans="1:24" s="293" customFormat="1" ht="12" customHeight="1">
      <c r="B75" s="293" t="s">
        <v>1250</v>
      </c>
      <c r="G75" s="3739">
        <v>5000</v>
      </c>
      <c r="H75" s="3740"/>
      <c r="J75" s="3739"/>
      <c r="K75" s="3740"/>
      <c r="L75" s="2364"/>
      <c r="M75" s="3739"/>
      <c r="N75" s="3740"/>
      <c r="P75" s="3739">
        <v>5000</v>
      </c>
      <c r="Q75" s="3740"/>
      <c r="S75" s="3739"/>
      <c r="T75" s="3740"/>
      <c r="V75" s="3802"/>
      <c r="W75" s="3803"/>
      <c r="X75" s="3804"/>
    </row>
    <row r="76" spans="1:24" s="293" customFormat="1" ht="12" customHeight="1" thickBot="1">
      <c r="A76" s="370" t="str">
        <f>IF(AND(G76&gt;0,OR(C76="",C76="&lt;Enter detailed description here; use Comments section if needed&gt;")),"X","")</f>
        <v/>
      </c>
      <c r="B76" s="293" t="s">
        <v>722</v>
      </c>
      <c r="C76" s="3805" t="s">
        <v>3529</v>
      </c>
      <c r="D76" s="3805"/>
      <c r="E76" s="3805"/>
      <c r="F76" s="3806"/>
      <c r="G76" s="3748"/>
      <c r="H76" s="3749"/>
      <c r="J76" s="3748"/>
      <c r="K76" s="3749"/>
      <c r="L76" s="2364"/>
      <c r="M76" s="3748"/>
      <c r="N76" s="3749"/>
      <c r="P76" s="3748"/>
      <c r="Q76" s="3749"/>
      <c r="S76" s="3748"/>
      <c r="T76" s="3749"/>
      <c r="U76" s="369" t="str">
        <f>IF(AND(G76&gt;0,OR(C76="",C76="&lt;Enter detailed description here; use Comments section if needed&gt;")),"NO DESCRIPTION PROVIDED - please enter detailed description in Other box at left; use Comments section below if needed.","")</f>
        <v/>
      </c>
      <c r="V76" s="3802"/>
      <c r="W76" s="3810"/>
      <c r="X76" s="3811"/>
    </row>
    <row r="77" spans="1:24" s="293" customFormat="1" ht="12" customHeight="1" thickTop="1">
      <c r="F77" s="344" t="s">
        <v>187</v>
      </c>
      <c r="G77" s="2565">
        <f>SUM(G66:H76)</f>
        <v>570000</v>
      </c>
      <c r="H77" s="2566"/>
      <c r="J77" s="2565">
        <f>SUM(J66:K76)</f>
        <v>0</v>
      </c>
      <c r="K77" s="2566"/>
      <c r="L77" s="346"/>
      <c r="M77" s="2565">
        <f>SUM(M66:N76)</f>
        <v>0</v>
      </c>
      <c r="N77" s="2566"/>
      <c r="P77" s="2565">
        <f>SUM(P66:Q76)</f>
        <v>570000</v>
      </c>
      <c r="Q77" s="2566"/>
      <c r="S77" s="2565">
        <f>SUM(S66:T76)</f>
        <v>0</v>
      </c>
      <c r="T77" s="2566"/>
      <c r="V77" s="3812">
        <f>SUM(V66:V76)</f>
        <v>0</v>
      </c>
      <c r="W77" s="3813"/>
      <c r="X77" s="3814"/>
    </row>
    <row r="78" spans="1:24" ht="12" customHeight="1">
      <c r="A78" s="293"/>
      <c r="B78" s="295" t="s">
        <v>1242</v>
      </c>
      <c r="C78" s="293"/>
      <c r="D78" s="866" t="s">
        <v>3549</v>
      </c>
      <c r="E78" s="943">
        <f>G83/'Part VI-Revenues &amp; Expenses'!$P$67</f>
        <v>350</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1243</v>
      </c>
      <c r="G79" s="3730">
        <v>14000</v>
      </c>
      <c r="H79" s="3731"/>
      <c r="J79" s="3730"/>
      <c r="K79" s="3731"/>
      <c r="L79" s="2364"/>
      <c r="M79" s="3730"/>
      <c r="N79" s="3731"/>
      <c r="P79" s="3730">
        <v>14000</v>
      </c>
      <c r="Q79" s="3731"/>
      <c r="S79" s="3730"/>
      <c r="T79" s="3731"/>
      <c r="V79" s="3802"/>
      <c r="W79" s="3803"/>
      <c r="X79" s="3804"/>
    </row>
    <row r="80" spans="1:24" s="293" customFormat="1" ht="12" customHeight="1">
      <c r="B80" s="293" t="s">
        <v>1244</v>
      </c>
      <c r="G80" s="3739"/>
      <c r="H80" s="3740"/>
      <c r="J80" s="3739"/>
      <c r="K80" s="3740"/>
      <c r="L80" s="2364"/>
      <c r="M80" s="3739"/>
      <c r="N80" s="3740"/>
      <c r="P80" s="3739"/>
      <c r="Q80" s="3740"/>
      <c r="S80" s="3739"/>
      <c r="T80" s="3740"/>
      <c r="V80" s="3802"/>
      <c r="W80" s="3803"/>
      <c r="X80" s="3804"/>
    </row>
    <row r="81" spans="1:24" s="293" customFormat="1" ht="12" customHeight="1">
      <c r="B81" s="293" t="s">
        <v>1245</v>
      </c>
      <c r="D81" s="352" t="s">
        <v>1375</v>
      </c>
      <c r="E81" s="3833"/>
      <c r="G81" s="3739"/>
      <c r="H81" s="3740"/>
      <c r="I81" s="311"/>
      <c r="J81" s="3739"/>
      <c r="K81" s="3740"/>
      <c r="L81" s="2364"/>
      <c r="M81" s="3739"/>
      <c r="N81" s="3740"/>
      <c r="P81" s="3739"/>
      <c r="Q81" s="3740"/>
      <c r="S81" s="3739"/>
      <c r="T81" s="3740"/>
      <c r="V81" s="3802"/>
      <c r="W81" s="3803"/>
      <c r="X81" s="3804"/>
    </row>
    <row r="82" spans="1:24" s="293" customFormat="1" ht="12" customHeight="1" thickBot="1">
      <c r="B82" s="293" t="s">
        <v>1246</v>
      </c>
      <c r="D82" s="352" t="s">
        <v>1375</v>
      </c>
      <c r="E82" s="3834"/>
      <c r="G82" s="3748"/>
      <c r="H82" s="3749"/>
      <c r="I82" s="311"/>
      <c r="J82" s="3748"/>
      <c r="K82" s="3749"/>
      <c r="L82" s="2364"/>
      <c r="M82" s="3748"/>
      <c r="N82" s="3749"/>
      <c r="P82" s="3748"/>
      <c r="Q82" s="3749"/>
      <c r="S82" s="3748"/>
      <c r="T82" s="3749"/>
      <c r="V82" s="3802"/>
      <c r="W82" s="3810"/>
      <c r="X82" s="3811"/>
    </row>
    <row r="83" spans="1:24" s="293" customFormat="1" ht="12" customHeight="1" thickTop="1">
      <c r="F83" s="344" t="s">
        <v>187</v>
      </c>
      <c r="G83" s="2565">
        <f>SUM(G79:H82)</f>
        <v>14000</v>
      </c>
      <c r="H83" s="2566"/>
      <c r="J83" s="2565">
        <f>SUM(J79:K82)</f>
        <v>0</v>
      </c>
      <c r="K83" s="2566"/>
      <c r="L83" s="346"/>
      <c r="M83" s="2565">
        <f>SUM(M79:N82)</f>
        <v>0</v>
      </c>
      <c r="N83" s="2566"/>
      <c r="P83" s="2565">
        <f>SUM(P79:Q82)</f>
        <v>14000</v>
      </c>
      <c r="Q83" s="2566"/>
      <c r="S83" s="2565">
        <f>SUM(S79:T82)</f>
        <v>0</v>
      </c>
      <c r="T83" s="2566"/>
      <c r="V83" s="3812">
        <f>SUM(V79:V82)</f>
        <v>0</v>
      </c>
      <c r="W83" s="3813"/>
      <c r="X83" s="3814"/>
    </row>
    <row r="84" spans="1:24" s="293" customFormat="1" ht="12" customHeight="1">
      <c r="B84" s="295" t="s">
        <v>705</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1247</v>
      </c>
      <c r="G85" s="3730">
        <v>3500</v>
      </c>
      <c r="H85" s="3731"/>
      <c r="J85" s="2581"/>
      <c r="K85" s="2581"/>
      <c r="L85" s="2364"/>
      <c r="M85" s="2581"/>
      <c r="N85" s="2581"/>
      <c r="P85" s="2581"/>
      <c r="Q85" s="2581"/>
      <c r="S85" s="3730"/>
      <c r="T85" s="3731"/>
      <c r="V85" s="3802"/>
      <c r="W85" s="3803"/>
      <c r="X85" s="3804"/>
    </row>
    <row r="86" spans="1:24" s="293" customFormat="1" ht="12" customHeight="1">
      <c r="B86" s="293" t="s">
        <v>1248</v>
      </c>
      <c r="G86" s="3739">
        <v>10000</v>
      </c>
      <c r="H86" s="3740"/>
      <c r="J86" s="2581"/>
      <c r="K86" s="2581"/>
      <c r="L86" s="2364"/>
      <c r="M86" s="2581"/>
      <c r="N86" s="2581"/>
      <c r="P86" s="2581"/>
      <c r="Q86" s="2581"/>
      <c r="S86" s="3739"/>
      <c r="T86" s="3740"/>
      <c r="V86" s="3802"/>
      <c r="W86" s="3803"/>
      <c r="X86" s="3804"/>
    </row>
    <row r="87" spans="1:24" s="293" customFormat="1" ht="12" customHeight="1">
      <c r="B87" s="293" t="s">
        <v>1249</v>
      </c>
      <c r="G87" s="3739">
        <v>10000</v>
      </c>
      <c r="H87" s="3740"/>
      <c r="J87" s="2581"/>
      <c r="K87" s="2581"/>
      <c r="L87" s="2364"/>
      <c r="M87" s="2581"/>
      <c r="N87" s="2581"/>
      <c r="P87" s="2581"/>
      <c r="Q87" s="2581"/>
      <c r="S87" s="3739"/>
      <c r="T87" s="3740"/>
      <c r="V87" s="3802"/>
      <c r="W87" s="3803"/>
      <c r="X87" s="3804"/>
    </row>
    <row r="88" spans="1:24" s="293" customFormat="1" ht="12" customHeight="1">
      <c r="B88" s="293" t="s">
        <v>1251</v>
      </c>
      <c r="G88" s="3739"/>
      <c r="H88" s="3740"/>
      <c r="J88" s="2581"/>
      <c r="K88" s="2581"/>
      <c r="L88" s="2364"/>
      <c r="M88" s="2581"/>
      <c r="N88" s="2581"/>
      <c r="P88" s="2581"/>
      <c r="Q88" s="2581"/>
      <c r="S88" s="3739"/>
      <c r="T88" s="3740"/>
      <c r="V88" s="3802"/>
      <c r="W88" s="3803"/>
      <c r="X88" s="3804"/>
    </row>
    <row r="89" spans="1:24" s="293" customFormat="1" ht="12" customHeight="1">
      <c r="B89" s="293" t="s">
        <v>2238</v>
      </c>
      <c r="G89" s="3739"/>
      <c r="H89" s="3740"/>
      <c r="J89" s="2581"/>
      <c r="K89" s="2581"/>
      <c r="L89" s="2364"/>
      <c r="M89" s="2581"/>
      <c r="N89" s="2581"/>
      <c r="P89" s="2581"/>
      <c r="Q89" s="2581"/>
      <c r="S89" s="3739"/>
      <c r="T89" s="3740"/>
      <c r="V89" s="3802"/>
      <c r="W89" s="3803"/>
      <c r="X89" s="3804"/>
    </row>
    <row r="90" spans="1:24" s="293" customFormat="1" ht="12" customHeight="1" thickBot="1">
      <c r="A90" s="370" t="str">
        <f>IF(AND(G90&gt;0,OR(C90="",C90="&lt;Enter detailed description here; use Comments section if needed&gt;")),"X","")</f>
        <v/>
      </c>
      <c r="B90" s="293" t="s">
        <v>722</v>
      </c>
      <c r="C90" s="3805" t="s">
        <v>3529</v>
      </c>
      <c r="D90" s="3805"/>
      <c r="E90" s="3805"/>
      <c r="F90" s="3806"/>
      <c r="G90" s="3748"/>
      <c r="H90" s="3749"/>
      <c r="J90" s="2581"/>
      <c r="K90" s="2581"/>
      <c r="L90" s="2364"/>
      <c r="M90" s="2581"/>
      <c r="N90" s="2581"/>
      <c r="P90" s="2581"/>
      <c r="Q90" s="2581"/>
      <c r="S90" s="3748"/>
      <c r="T90" s="3749"/>
      <c r="U90" s="369" t="str">
        <f>IF(AND(G90&gt;0,OR(C90="",C90="&lt;Enter detailed description here; use Comments section if needed&gt;")),"NO DESCRIPTION PROVIDED - please enter detailed description in Other box at left; use Comments section below if needed.","")</f>
        <v/>
      </c>
      <c r="V90" s="3802"/>
      <c r="W90" s="3810"/>
      <c r="X90" s="3811"/>
    </row>
    <row r="91" spans="1:24" s="293" customFormat="1" ht="12" customHeight="1" thickTop="1">
      <c r="F91" s="344" t="s">
        <v>187</v>
      </c>
      <c r="G91" s="2565">
        <f>SUM(G85:H90)</f>
        <v>23500</v>
      </c>
      <c r="H91" s="2566"/>
      <c r="J91" s="2581"/>
      <c r="K91" s="2581"/>
      <c r="L91" s="346"/>
      <c r="M91" s="2581"/>
      <c r="N91" s="2581"/>
      <c r="P91" s="2581"/>
      <c r="Q91" s="2581"/>
      <c r="S91" s="2565">
        <f>SUM(S85:T90)</f>
        <v>0</v>
      </c>
      <c r="T91" s="2566"/>
      <c r="V91" s="3812">
        <f>SUM(V85:V90)</f>
        <v>0</v>
      </c>
      <c r="W91" s="3813"/>
      <c r="X91" s="381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597</v>
      </c>
      <c r="B93" s="418" t="s">
        <v>2741</v>
      </c>
      <c r="H93" s="2352"/>
      <c r="I93" s="2352"/>
      <c r="J93" s="2555" t="s">
        <v>266</v>
      </c>
      <c r="K93" s="2556"/>
      <c r="L93" s="343"/>
      <c r="M93" s="2559" t="s">
        <v>478</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2605</v>
      </c>
      <c r="X94" s="330"/>
    </row>
    <row r="95" spans="1:24" s="293" customFormat="1" ht="13.35" customHeight="1">
      <c r="B95" s="295" t="s">
        <v>706</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30"/>
      <c r="H96" s="3731"/>
      <c r="J96" s="346"/>
      <c r="K96" s="346"/>
      <c r="L96" s="2364"/>
      <c r="M96" s="346"/>
      <c r="N96" s="346"/>
      <c r="P96" s="346"/>
      <c r="Q96" s="346"/>
      <c r="S96" s="3730"/>
      <c r="T96" s="3731"/>
      <c r="V96" s="3802"/>
      <c r="W96" s="3803"/>
      <c r="X96" s="380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39">
        <v>6500</v>
      </c>
      <c r="H97" s="3740"/>
      <c r="J97" s="346"/>
      <c r="K97" s="346"/>
      <c r="L97" s="353"/>
      <c r="M97" s="346"/>
      <c r="N97" s="346"/>
      <c r="P97" s="346"/>
      <c r="Q97" s="346"/>
      <c r="S97" s="3739"/>
      <c r="T97" s="3740"/>
      <c r="V97" s="3802"/>
      <c r="W97" s="3803"/>
      <c r="X97" s="3804"/>
    </row>
    <row r="98" spans="1:37" s="293" customFormat="1" ht="12.6" customHeight="1">
      <c r="B98" s="293" t="s">
        <v>3698</v>
      </c>
      <c r="G98" s="3739">
        <v>1000</v>
      </c>
      <c r="H98" s="3740"/>
      <c r="J98" s="346"/>
      <c r="K98" s="346"/>
      <c r="L98" s="353"/>
      <c r="M98" s="346"/>
      <c r="N98" s="346"/>
      <c r="O98" s="2352"/>
      <c r="P98" s="346"/>
      <c r="Q98" s="346"/>
      <c r="S98" s="3739"/>
      <c r="T98" s="3740"/>
      <c r="V98" s="3802"/>
      <c r="W98" s="3803"/>
      <c r="X98" s="3804"/>
    </row>
    <row r="99" spans="1:37" s="293" customFormat="1" ht="12.6" customHeight="1">
      <c r="B99" s="293" t="s">
        <v>504</v>
      </c>
      <c r="E99" s="2582">
        <f>ROUNDUP('DCA Underwriting Assumptions'!$Q$92*J184,0)</f>
        <v>30000</v>
      </c>
      <c r="F99" s="2583"/>
      <c r="G99" s="3739">
        <v>30000</v>
      </c>
      <c r="H99" s="3740"/>
      <c r="J99" s="944" t="str">
        <f>IF(E99&gt;G99,"WARNING!  LIHTC Allocation Fee proposed is below minimum required.","")</f>
        <v/>
      </c>
      <c r="K99" s="346"/>
      <c r="L99" s="2364"/>
      <c r="M99" s="346"/>
      <c r="N99" s="346"/>
      <c r="O99" s="2352"/>
      <c r="P99" s="346"/>
      <c r="Q99" s="346"/>
      <c r="S99" s="3739"/>
      <c r="T99" s="3740"/>
      <c r="V99" s="3802"/>
      <c r="W99" s="3803"/>
      <c r="X99" s="3804"/>
    </row>
    <row r="100" spans="1:37" s="293" customFormat="1" ht="12.6" customHeight="1">
      <c r="B100" s="293" t="s">
        <v>734</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32000</v>
      </c>
      <c r="F100" s="2583"/>
      <c r="G100" s="3739">
        <v>32000</v>
      </c>
      <c r="H100" s="3740"/>
      <c r="J100" s="944" t="str">
        <f>IF(E100&gt;G100,"WARNING!  LIHTC Compliance Fee proposed is below minimum required.","")</f>
        <v/>
      </c>
      <c r="K100" s="270"/>
      <c r="L100" s="270"/>
      <c r="M100" s="270"/>
      <c r="N100" s="270"/>
      <c r="O100" s="270"/>
      <c r="P100" s="270"/>
      <c r="Q100" s="270"/>
      <c r="S100" s="3739"/>
      <c r="T100" s="3740"/>
      <c r="V100" s="3802"/>
      <c r="W100" s="3803"/>
      <c r="X100" s="3804"/>
    </row>
    <row r="101" spans="1:37" s="293" customFormat="1" ht="12.6" customHeight="1">
      <c r="B101" s="293" t="s">
        <v>3877</v>
      </c>
      <c r="F101" s="1164">
        <f>ROUNDUP('DCA Underwriting Assumptions'!$Q$94,0)</f>
        <v>3000</v>
      </c>
      <c r="G101" s="3739"/>
      <c r="H101" s="3740"/>
      <c r="J101" s="270"/>
      <c r="K101" s="270"/>
      <c r="L101" s="270"/>
      <c r="M101" s="270"/>
      <c r="N101" s="270"/>
      <c r="O101" s="270"/>
      <c r="P101" s="270"/>
      <c r="Q101" s="270"/>
      <c r="S101" s="3739"/>
      <c r="T101" s="3740"/>
      <c r="V101" s="3802"/>
      <c r="W101" s="3803"/>
      <c r="X101" s="3804"/>
    </row>
    <row r="102" spans="1:37" s="293" customFormat="1" ht="12.6" customHeight="1">
      <c r="B102" s="293" t="s">
        <v>3878</v>
      </c>
      <c r="F102" s="1164">
        <f>ROUNDUP('DCA Underwriting Assumptions'!$Q$128,0)</f>
        <v>3000</v>
      </c>
      <c r="G102" s="3739">
        <v>3000</v>
      </c>
      <c r="H102" s="3740"/>
      <c r="J102" s="270"/>
      <c r="K102" s="270"/>
      <c r="L102" s="270"/>
      <c r="M102" s="270"/>
      <c r="N102" s="270"/>
      <c r="O102" s="270"/>
      <c r="P102" s="270"/>
      <c r="Q102" s="270"/>
      <c r="S102" s="3739"/>
      <c r="T102" s="3740"/>
      <c r="V102" s="3802"/>
      <c r="W102" s="3803"/>
      <c r="X102" s="3804"/>
    </row>
    <row r="103" spans="1:37" s="293" customFormat="1" ht="12.6" customHeight="1">
      <c r="A103" s="370" t="str">
        <f>IF(AND(G103&gt;0,OR(C103="",C103="&lt;Enter detailed description here; use Comments section if needed&gt;")),"X","")</f>
        <v/>
      </c>
      <c r="B103" s="293" t="s">
        <v>722</v>
      </c>
      <c r="C103" s="3828" t="s">
        <v>3529</v>
      </c>
      <c r="D103" s="3828"/>
      <c r="E103" s="3828"/>
      <c r="F103" s="3829"/>
      <c r="G103" s="3739"/>
      <c r="H103" s="3740"/>
      <c r="J103" s="270"/>
      <c r="K103" s="270"/>
      <c r="L103" s="270"/>
      <c r="M103" s="270"/>
      <c r="N103" s="270"/>
      <c r="O103" s="270"/>
      <c r="P103" s="270"/>
      <c r="Q103" s="270"/>
      <c r="S103" s="3739"/>
      <c r="T103" s="3740"/>
      <c r="U103" s="369" t="str">
        <f>IF(AND(G103&gt;0,OR(C103="",C103="&lt;Enter detailed description here; use Comments section if needed&gt;")),"NO DESCRIPTION PROVIDED - please enter detailed description in Other box at left; use Comments section below if needed.","")</f>
        <v/>
      </c>
      <c r="V103" s="3802"/>
      <c r="W103" s="3803"/>
      <c r="X103" s="3804"/>
    </row>
    <row r="104" spans="1:37" s="293" customFormat="1" ht="12.6" customHeight="1" thickBot="1">
      <c r="A104" s="370" t="str">
        <f>IF(AND(G104&gt;0,OR(C104="",C104="&lt;Enter detailed description here; use Comments section if needed&gt;")),"X","")</f>
        <v/>
      </c>
      <c r="B104" s="293" t="s">
        <v>722</v>
      </c>
      <c r="C104" s="3830" t="s">
        <v>3529</v>
      </c>
      <c r="D104" s="3830"/>
      <c r="E104" s="3830"/>
      <c r="F104" s="3831"/>
      <c r="G104" s="3748"/>
      <c r="H104" s="3749"/>
      <c r="J104" s="270"/>
      <c r="K104" s="270"/>
      <c r="L104" s="270"/>
      <c r="M104" s="270"/>
      <c r="N104" s="270"/>
      <c r="O104" s="270"/>
      <c r="P104" s="270"/>
      <c r="Q104" s="270"/>
      <c r="S104" s="3748"/>
      <c r="T104" s="3749"/>
      <c r="U104" s="369" t="str">
        <f>IF(AND(G104&gt;0,OR(C104="",C104="&lt;Enter detailed description here; use Comments section if needed&gt;")),"NO DESCRIPTION PROVIDED - please enter detailed description in Other box at left; use Comments section below if needed.","")</f>
        <v/>
      </c>
      <c r="V104" s="3802"/>
      <c r="W104" s="3810"/>
      <c r="X104" s="3811"/>
    </row>
    <row r="105" spans="1:37" s="293" customFormat="1" ht="12.6" customHeight="1" thickTop="1">
      <c r="F105" s="344" t="s">
        <v>187</v>
      </c>
      <c r="G105" s="2565">
        <f>SUM(G96:H104)</f>
        <v>72500</v>
      </c>
      <c r="H105" s="2566"/>
      <c r="J105" s="346"/>
      <c r="K105" s="346"/>
      <c r="L105" s="2364"/>
      <c r="M105" s="346"/>
      <c r="N105" s="346"/>
      <c r="P105" s="346"/>
      <c r="Q105" s="346"/>
      <c r="S105" s="2565">
        <f>SUM(S96:T104)</f>
        <v>0</v>
      </c>
      <c r="T105" s="2566"/>
      <c r="V105" s="3812">
        <f>SUM(V96:V104)</f>
        <v>0</v>
      </c>
      <c r="W105" s="3835"/>
      <c r="X105" s="3836"/>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30">
        <v>25000</v>
      </c>
      <c r="H107" s="3731"/>
      <c r="J107" s="2581"/>
      <c r="K107" s="2581"/>
      <c r="L107" s="2364"/>
      <c r="M107" s="2581"/>
      <c r="N107" s="2581"/>
      <c r="O107" s="2352"/>
      <c r="P107" s="2581"/>
      <c r="Q107" s="2581"/>
      <c r="S107" s="3730"/>
      <c r="T107" s="3731"/>
      <c r="V107" s="3802"/>
      <c r="W107" s="3803"/>
      <c r="X107" s="3804"/>
    </row>
    <row r="108" spans="1:37" s="293" customFormat="1" ht="12.6" customHeight="1">
      <c r="B108" s="293" t="s">
        <v>275</v>
      </c>
      <c r="G108" s="3739">
        <v>5000</v>
      </c>
      <c r="H108" s="3740"/>
      <c r="J108" s="2581"/>
      <c r="K108" s="2581"/>
      <c r="L108" s="2364"/>
      <c r="M108" s="2581"/>
      <c r="N108" s="2581"/>
      <c r="O108" s="2352"/>
      <c r="P108" s="2581"/>
      <c r="Q108" s="2581"/>
      <c r="S108" s="3739"/>
      <c r="T108" s="3740"/>
      <c r="V108" s="3802"/>
      <c r="W108" s="3803"/>
      <c r="X108" s="3804"/>
    </row>
    <row r="109" spans="1:37" s="293" customFormat="1" ht="12.6" customHeight="1">
      <c r="B109" s="293" t="s">
        <v>2322</v>
      </c>
      <c r="G109" s="3739">
        <v>25000</v>
      </c>
      <c r="H109" s="3740"/>
      <c r="J109" s="2581"/>
      <c r="K109" s="2581"/>
      <c r="L109" s="2364"/>
      <c r="M109" s="2581"/>
      <c r="N109" s="2581"/>
      <c r="O109" s="2352"/>
      <c r="P109" s="2581"/>
      <c r="Q109" s="2581"/>
      <c r="S109" s="3739"/>
      <c r="T109" s="3740"/>
      <c r="V109" s="3802"/>
      <c r="W109" s="3803"/>
      <c r="X109" s="3804"/>
    </row>
    <row r="110" spans="1:37" s="293" customFormat="1" ht="12.6" customHeight="1" thickBot="1">
      <c r="A110" s="370" t="str">
        <f>IF(AND(G110&gt;0,OR(C110="",C110="&lt;Enter detailed description here; use Comments section if needed&gt;")),"X","")</f>
        <v/>
      </c>
      <c r="B110" s="293" t="s">
        <v>722</v>
      </c>
      <c r="C110" s="3805" t="s">
        <v>3529</v>
      </c>
      <c r="D110" s="3805"/>
      <c r="E110" s="3805"/>
      <c r="F110" s="3806"/>
      <c r="G110" s="3748"/>
      <c r="H110" s="3749"/>
      <c r="J110" s="2581"/>
      <c r="K110" s="2581"/>
      <c r="L110" s="2364"/>
      <c r="M110" s="2581"/>
      <c r="N110" s="2581"/>
      <c r="O110" s="2352"/>
      <c r="P110" s="2581"/>
      <c r="Q110" s="2581"/>
      <c r="S110" s="3748"/>
      <c r="T110" s="3749"/>
      <c r="U110" s="369" t="str">
        <f>IF(AND(G110&gt;0,OR(C110="",C110="&lt;Enter detailed description here; use Comments section if needed&gt;")),"NO DESCRIPTION PROVIDED - please enter detailed description in Other box at left; use Comments section below if needed.","")</f>
        <v/>
      </c>
      <c r="V110" s="3802"/>
      <c r="W110" s="3810"/>
      <c r="X110" s="3811"/>
    </row>
    <row r="111" spans="1:37" s="293" customFormat="1" ht="12.6" customHeight="1" thickTop="1">
      <c r="F111" s="344" t="s">
        <v>187</v>
      </c>
      <c r="G111" s="2565">
        <f>SUM(G107:H110)</f>
        <v>55000</v>
      </c>
      <c r="H111" s="2566"/>
      <c r="J111" s="2581"/>
      <c r="K111" s="2581"/>
      <c r="L111" s="2364"/>
      <c r="M111" s="2581"/>
      <c r="N111" s="2581"/>
      <c r="O111" s="2352"/>
      <c r="P111" s="2581"/>
      <c r="Q111" s="2581"/>
      <c r="S111" s="2565">
        <f>SUM(S107:T110)</f>
        <v>0</v>
      </c>
      <c r="T111" s="2566"/>
      <c r="V111" s="3812">
        <f>SUM(V107:V110)</f>
        <v>0</v>
      </c>
      <c r="W111" s="3813"/>
      <c r="X111" s="3814"/>
      <c r="AC111" s="3837" t="s">
        <v>4507</v>
      </c>
      <c r="AD111" s="3837" t="s">
        <v>4508</v>
      </c>
      <c r="AE111" s="3838" t="s">
        <v>4513</v>
      </c>
      <c r="AF111" s="2550"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39" t="s">
        <v>4495</v>
      </c>
      <c r="Z112" s="1566"/>
      <c r="AA112" s="277" t="s">
        <v>4504</v>
      </c>
      <c r="AB112" s="277" t="s">
        <v>4505</v>
      </c>
      <c r="AC112" s="3840"/>
      <c r="AD112" s="3840"/>
      <c r="AE112" s="3841"/>
      <c r="AF112" s="2551"/>
      <c r="AI112" s="27"/>
      <c r="AK112" s="427"/>
    </row>
    <row r="113" spans="1:37" s="293" customFormat="1" ht="12.6" customHeight="1">
      <c r="B113" s="293" t="s">
        <v>1812</v>
      </c>
      <c r="F113" s="396">
        <f>IF($G$118=0,0,G113/$G$118)</f>
        <v>0</v>
      </c>
      <c r="G113" s="3842"/>
      <c r="H113" s="3842"/>
      <c r="J113" s="3843"/>
      <c r="K113" s="3844"/>
      <c r="L113" s="345"/>
      <c r="M113" s="3843"/>
      <c r="N113" s="3844"/>
      <c r="P113" s="3843"/>
      <c r="Q113" s="3844"/>
      <c r="S113" s="3843"/>
      <c r="T113" s="3844"/>
      <c r="V113" s="3802"/>
      <c r="W113" s="3803"/>
      <c r="X113" s="3804"/>
      <c r="Y113" s="158"/>
      <c r="Z113" s="3845">
        <v>0.09</v>
      </c>
      <c r="AA113" s="3846">
        <f>'DCA Underwriting Assumptions'!$J$104</f>
        <v>1</v>
      </c>
      <c r="AB113" s="3846">
        <f>'DCA Underwriting Assumptions'!$K$104</f>
        <v>50</v>
      </c>
      <c r="AC113" s="3847">
        <f>'DCA Underwriting Assumptions'!$Q$104</f>
        <v>25000</v>
      </c>
      <c r="AD113" s="3847">
        <f>AB113*AC113</f>
        <v>1250000</v>
      </c>
      <c r="AE113" s="3847">
        <f>IF('Part VI-Revenues &amp; Expenses'!$P$67&lt;AA114,'Part VI-Revenues &amp; Expenses'!$P$67*'Part IV-A-Uses of Funds'!AC113,AB113*AC113)</f>
        <v>1000000</v>
      </c>
      <c r="AF113" s="3848">
        <f>SUM(AE113:AE115)</f>
        <v>1000000</v>
      </c>
      <c r="AI113" s="27"/>
    </row>
    <row r="114" spans="1:37" s="293" customFormat="1" ht="12.6" customHeight="1">
      <c r="B114" s="293" t="s">
        <v>3838</v>
      </c>
      <c r="F114" s="3849"/>
      <c r="V114" s="3802"/>
      <c r="W114" s="3803"/>
      <c r="X114" s="3804"/>
      <c r="Y114" s="158"/>
      <c r="Z114" s="120"/>
      <c r="AA114" s="3850">
        <f>'DCA Underwriting Assumptions'!$J$105</f>
        <v>51</v>
      </c>
      <c r="AB114" s="3850">
        <f>'DCA Underwriting Assumptions'!$K$105</f>
        <v>70</v>
      </c>
      <c r="AC114" s="3851">
        <f>'DCA Underwriting Assumptions'!$Q$105</f>
        <v>20000</v>
      </c>
      <c r="AD114" s="3851">
        <f>(AB114-AB113)*AC114</f>
        <v>400000</v>
      </c>
      <c r="AE114" s="3851">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52"/>
      <c r="AI114" s="27"/>
    </row>
    <row r="115" spans="1:37" s="293" customFormat="1" ht="12.6" customHeight="1">
      <c r="B115" s="293" t="s">
        <v>1813</v>
      </c>
      <c r="F115" s="396">
        <f>IF($G$118=0,0,G115/$G$118)</f>
        <v>0</v>
      </c>
      <c r="G115" s="3730"/>
      <c r="H115" s="3731"/>
      <c r="J115" s="3730"/>
      <c r="K115" s="3731"/>
      <c r="L115" s="2364"/>
      <c r="M115" s="3730"/>
      <c r="N115" s="3731"/>
      <c r="P115" s="3730"/>
      <c r="Q115" s="3731"/>
      <c r="S115" s="3730"/>
      <c r="T115" s="3731"/>
      <c r="V115" s="3802"/>
      <c r="W115" s="3803"/>
      <c r="X115" s="3804"/>
      <c r="Y115" s="158"/>
      <c r="Z115" s="120"/>
      <c r="AA115" s="3853">
        <f>'DCA Underwriting Assumptions'!$J$106</f>
        <v>71</v>
      </c>
      <c r="AB115" s="3854"/>
      <c r="AC115" s="3855">
        <f>'DCA Underwriting Assumptions'!$Q$106</f>
        <v>15000</v>
      </c>
      <c r="AD115" s="3855">
        <f>AF121-AD114-AD113</f>
        <v>350000</v>
      </c>
      <c r="AE115" s="3855">
        <f>MIN(AD115,IF('Part VI-Revenues &amp; Expenses'!$P$67&gt;AB114,('Part VI-Revenues &amp; Expenses'!$P$67-AB114)*AC115,0))</f>
        <v>0</v>
      </c>
      <c r="AF115" s="3856"/>
      <c r="AI115" s="27"/>
    </row>
    <row r="116" spans="1:37" s="293" customFormat="1" ht="12.6" customHeight="1">
      <c r="B116" s="293" t="s">
        <v>3464</v>
      </c>
      <c r="F116" s="396">
        <f>IF($G$118=0,0,G116/$G$118)</f>
        <v>0</v>
      </c>
      <c r="G116" s="3739"/>
      <c r="H116" s="3740"/>
      <c r="J116" s="3739"/>
      <c r="K116" s="3740"/>
      <c r="L116" s="2364"/>
      <c r="M116" s="3739"/>
      <c r="N116" s="3740"/>
      <c r="P116" s="3739"/>
      <c r="Q116" s="3740"/>
      <c r="S116" s="3739"/>
      <c r="T116" s="3740"/>
      <c r="V116" s="3802"/>
      <c r="W116" s="3803"/>
      <c r="X116" s="3804"/>
      <c r="Y116" s="27"/>
      <c r="Z116" s="3845">
        <v>0.04</v>
      </c>
      <c r="AA116" s="3857">
        <f>'DCA Underwriting Assumptions'!$J$107</f>
        <v>1</v>
      </c>
      <c r="AB116" s="3857">
        <f>'DCA Underwriting Assumptions'!$K$107</f>
        <v>100</v>
      </c>
      <c r="AC116" s="3847">
        <f>'DCA Underwriting Assumptions'!$Q$107</f>
        <v>18000</v>
      </c>
      <c r="AD116" s="3847">
        <f>AB116*AC116</f>
        <v>1800000</v>
      </c>
      <c r="AE116" s="3847">
        <f>IF('Part VI-Revenues &amp; Expenses'!$P$67&lt;AA117,'Part VI-Revenues &amp; Expenses'!$P$67*'Part IV-A-Uses of Funds'!AC116,AB116*AC116)</f>
        <v>720000</v>
      </c>
      <c r="AF116" s="3848">
        <f>SUM(AE116:AE118)</f>
        <v>720000</v>
      </c>
      <c r="AG116" s="825">
        <f>51*AC116</f>
        <v>918000</v>
      </c>
      <c r="AI116" s="27"/>
    </row>
    <row r="117" spans="1:37" s="293" customFormat="1" ht="12.6" customHeight="1" thickBot="1">
      <c r="B117" s="293" t="s">
        <v>1805</v>
      </c>
      <c r="F117" s="396">
        <f>IF($G$118=0,0,G117/$G$118)</f>
        <v>1</v>
      </c>
      <c r="G117" s="3748">
        <v>500000</v>
      </c>
      <c r="H117" s="3749"/>
      <c r="J117" s="3748"/>
      <c r="K117" s="3749"/>
      <c r="L117" s="2364"/>
      <c r="M117" s="3748">
        <v>103000</v>
      </c>
      <c r="N117" s="3749"/>
      <c r="P117" s="3808">
        <v>397000</v>
      </c>
      <c r="Q117" s="3809"/>
      <c r="S117" s="3748"/>
      <c r="T117" s="3749"/>
      <c r="V117" s="3802"/>
      <c r="W117" s="3810"/>
      <c r="X117" s="3811"/>
      <c r="Y117" s="27"/>
      <c r="Z117" s="80"/>
      <c r="AA117" s="3850">
        <f>'DCA Underwriting Assumptions'!$J$108</f>
        <v>101</v>
      </c>
      <c r="AB117" s="3850">
        <f>'DCA Underwriting Assumptions'!$K$108</f>
        <v>130</v>
      </c>
      <c r="AC117" s="3851">
        <f>'DCA Underwriting Assumptions'!$Q$108</f>
        <v>15500</v>
      </c>
      <c r="AD117" s="3851">
        <f>(AB117-AB116)*AC117</f>
        <v>465000</v>
      </c>
      <c r="AE117" s="385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52"/>
      <c r="AG117" s="825"/>
      <c r="AI117" s="27"/>
    </row>
    <row r="118" spans="1:37" s="293" customFormat="1" ht="12.6" customHeight="1" thickTop="1">
      <c r="A118" s="1587" t="str">
        <f>IF(G118&gt;E118,"DF over limit!  Round down/Enter nbr.","")</f>
        <v/>
      </c>
      <c r="B118" s="1586"/>
      <c r="D118" s="582" t="s">
        <v>4506</v>
      </c>
      <c r="E118" s="1588">
        <f>IF(E112="9%",AF113,IF(E112="4%",AF116,"Enter app type!"))</f>
        <v>1000000</v>
      </c>
      <c r="F118" s="344" t="s">
        <v>187</v>
      </c>
      <c r="G118" s="2584">
        <f>SUM(G113:H117)</f>
        <v>500000</v>
      </c>
      <c r="H118" s="2585"/>
      <c r="J118" s="2565">
        <f>SUM(J113:K117)</f>
        <v>0</v>
      </c>
      <c r="K118" s="2566"/>
      <c r="L118" s="2364"/>
      <c r="M118" s="2565">
        <f>SUM(M113:N117)</f>
        <v>103000</v>
      </c>
      <c r="N118" s="2566"/>
      <c r="P118" s="2565">
        <f>SUM(P113:Q117)</f>
        <v>397000</v>
      </c>
      <c r="Q118" s="2566"/>
      <c r="S118" s="2565">
        <f>SUM(S113:T117)</f>
        <v>0</v>
      </c>
      <c r="T118" s="2566"/>
      <c r="V118" s="3812">
        <f>SUM(V113:V117)</f>
        <v>0</v>
      </c>
      <c r="W118" s="3813"/>
      <c r="X118" s="3814"/>
      <c r="Y118" s="27"/>
      <c r="Z118" s="80"/>
      <c r="AA118" s="3853">
        <f>'DCA Underwriting Assumptions'!$J$109</f>
        <v>131</v>
      </c>
      <c r="AB118" s="3854"/>
      <c r="AC118" s="3855">
        <f>'DCA Underwriting Assumptions'!$Q$109</f>
        <v>13000</v>
      </c>
      <c r="AD118" s="3855">
        <f>AF122-AD117-AD116</f>
        <v>1235000</v>
      </c>
      <c r="AE118" s="3855">
        <f>MIN(AD118,IF('Part VI-Revenues &amp; Expenses'!$P$67&gt;AB117,('Part VI-Revenues &amp; Expenses'!$P$67-AB117)*AC118,0))</f>
        <v>0</v>
      </c>
      <c r="AF118" s="3856"/>
      <c r="AG118" s="825"/>
      <c r="AI118" s="27"/>
    </row>
    <row r="119" spans="1:37" s="293" customFormat="1" ht="13.35" customHeight="1">
      <c r="B119" s="295" t="s">
        <v>1281</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30">
        <v>15000</v>
      </c>
      <c r="H120" s="3731"/>
      <c r="J120" s="354"/>
      <c r="K120" s="354"/>
      <c r="L120" s="354"/>
      <c r="M120" s="354"/>
      <c r="N120" s="354"/>
      <c r="P120" s="354"/>
      <c r="Q120" s="354"/>
      <c r="S120" s="3730"/>
      <c r="T120" s="3731"/>
      <c r="V120" s="3802"/>
      <c r="W120" s="3803"/>
      <c r="X120" s="3804"/>
      <c r="Y120" s="1566" t="s">
        <v>4497</v>
      </c>
      <c r="Z120" s="1585"/>
      <c r="AB120" s="433"/>
      <c r="AC120" s="27"/>
      <c r="AD120" s="27"/>
      <c r="AF120" s="27"/>
      <c r="AG120" s="27"/>
      <c r="AH120" s="27"/>
      <c r="AI120" s="27"/>
      <c r="AJ120" s="27"/>
      <c r="AK120" s="27"/>
    </row>
    <row r="121" spans="1:37" s="293" customFormat="1" ht="12.6" customHeight="1">
      <c r="B121" s="293" t="s">
        <v>1502</v>
      </c>
      <c r="F121" s="452">
        <f>+'Part VI-Revenues &amp; Expenses'!$Q$227*('DCA Underwriting Assumptions'!$Q$127/12)</f>
        <v>37752</v>
      </c>
      <c r="G121" s="3739">
        <v>37754</v>
      </c>
      <c r="H121" s="3740"/>
      <c r="J121" s="946" t="str">
        <f>IF(E121&gt;G121,"WARNING! Rent-Up Reserves proposed is below minimum - add comment.","")</f>
        <v/>
      </c>
      <c r="K121" s="946"/>
      <c r="L121" s="2364"/>
      <c r="M121" s="920"/>
      <c r="N121" s="920"/>
      <c r="O121" s="2352"/>
      <c r="P121" s="920"/>
      <c r="Q121" s="920"/>
      <c r="R121" s="2352"/>
      <c r="S121" s="3739"/>
      <c r="T121" s="3740"/>
      <c r="V121" s="3802"/>
      <c r="W121" s="3803"/>
      <c r="X121" s="3804"/>
      <c r="Y121" s="27"/>
      <c r="Z121" s="3858">
        <v>0.09</v>
      </c>
      <c r="AB121" s="1566"/>
      <c r="AD121" s="27"/>
      <c r="AF121" s="3859">
        <f>'DCA Underwriting Assumptions'!$Q$112</f>
        <v>2000000</v>
      </c>
      <c r="AG121" s="27"/>
      <c r="AH121" s="27"/>
      <c r="AI121" s="27"/>
    </row>
    <row r="122" spans="1:37" s="293" customFormat="1" ht="12.6" customHeight="1">
      <c r="B122" s="293" t="s">
        <v>659</v>
      </c>
      <c r="F122" s="452">
        <f>'Part VI-Revenues &amp; Expenses'!$Q$227*('DCA Underwriting Assumptions'!$Q$126/12)+('Part VII-Pro Forma'!$B$25+'Part VII-Pro Forma'!$B$26+'Part VII-Pro Forma'!$B$27+'Part VII-Pro Forma'!$B$28)*'DCA Underwriting Assumptions'!$Q$125/(-12)</f>
        <v>86572.647549288376</v>
      </c>
      <c r="G122" s="3739">
        <f>F122</f>
        <v>86572.647549288376</v>
      </c>
      <c r="H122" s="3740"/>
      <c r="J122" s="946" t="str">
        <f>IF(E122&gt;G122,"WARNING! ODR proposed is below minimum - add comment.","")</f>
        <v/>
      </c>
      <c r="K122" s="353"/>
      <c r="L122" s="353"/>
      <c r="M122" s="353"/>
      <c r="N122" s="353"/>
      <c r="O122" s="2352"/>
      <c r="P122" s="353"/>
      <c r="Q122" s="353"/>
      <c r="R122" s="2352"/>
      <c r="S122" s="3739"/>
      <c r="T122" s="3740"/>
      <c r="V122" s="3802"/>
      <c r="W122" s="3803"/>
      <c r="X122" s="3804"/>
      <c r="Y122" s="27"/>
      <c r="Z122" s="3858">
        <v>0.04</v>
      </c>
      <c r="AB122" s="1566"/>
      <c r="AD122" s="27"/>
      <c r="AF122" s="3859">
        <f>'DCA Underwriting Assumptions'!$Q$113</f>
        <v>3500000</v>
      </c>
      <c r="AG122" s="27"/>
      <c r="AH122" s="27"/>
      <c r="AI122" s="27"/>
    </row>
    <row r="123" spans="1:37" s="293" customFormat="1" ht="12.6" customHeight="1">
      <c r="B123" s="293" t="s">
        <v>1217</v>
      </c>
      <c r="G123" s="3739">
        <v>14000</v>
      </c>
      <c r="H123" s="3740"/>
      <c r="J123" s="354"/>
      <c r="K123" s="354"/>
      <c r="L123" s="354"/>
      <c r="M123" s="354"/>
      <c r="N123" s="354"/>
      <c r="P123" s="354"/>
      <c r="Q123" s="354"/>
      <c r="S123" s="3739"/>
      <c r="T123" s="3740"/>
      <c r="V123" s="3802"/>
      <c r="W123" s="3803"/>
      <c r="X123" s="3804"/>
    </row>
    <row r="124" spans="1:37" s="293" customFormat="1" ht="12.6" customHeight="1">
      <c r="B124" s="293" t="s">
        <v>1218</v>
      </c>
      <c r="E124" s="821" t="s">
        <v>3432</v>
      </c>
      <c r="F124" s="452">
        <f>IF('Part VI-Revenues &amp; Expenses'!$P$67=0,0,G124/'Part VI-Revenues &amp; Expenses'!$P$67)</f>
        <v>1875</v>
      </c>
      <c r="G124" s="3739">
        <v>75000</v>
      </c>
      <c r="H124" s="3740"/>
      <c r="J124" s="3739"/>
      <c r="K124" s="3740"/>
      <c r="L124" s="2364"/>
      <c r="M124" s="3730"/>
      <c r="N124" s="3731"/>
      <c r="P124" s="3739">
        <v>75000</v>
      </c>
      <c r="Q124" s="3740"/>
      <c r="S124" s="3739"/>
      <c r="T124" s="3740"/>
      <c r="V124" s="3802"/>
      <c r="W124" s="3803"/>
      <c r="X124" s="3804"/>
    </row>
    <row r="125" spans="1:37" s="293" customFormat="1" ht="12.6" customHeight="1" thickBot="1">
      <c r="A125" s="370" t="str">
        <f>IF(AND(G125&gt;0,OR(C125="",C125="&lt;Enter detailed description here; use Comments section if needed&gt;")),"X","")</f>
        <v/>
      </c>
      <c r="B125" s="293" t="s">
        <v>722</v>
      </c>
      <c r="C125" s="3805" t="s">
        <v>3529</v>
      </c>
      <c r="D125" s="3805"/>
      <c r="E125" s="3805"/>
      <c r="F125" s="3806"/>
      <c r="G125" s="3748"/>
      <c r="H125" s="3749"/>
      <c r="J125" s="3808"/>
      <c r="K125" s="3809"/>
      <c r="L125" s="2364"/>
      <c r="M125" s="3748"/>
      <c r="N125" s="3749"/>
      <c r="P125" s="3748"/>
      <c r="Q125" s="3749"/>
      <c r="S125" s="3748"/>
      <c r="T125" s="3749"/>
      <c r="U125" s="369" t="str">
        <f>IF(AND(G125&gt;0,OR(C125="",C125="&lt;Enter detailed description here; use Comments section if needed&gt;")),"NO DESCRIPTION PROVIDED - please enter detailed description in Other box at left; use Comments section below if needed.","")</f>
        <v/>
      </c>
      <c r="V125" s="3802"/>
      <c r="W125" s="3810"/>
      <c r="X125" s="3811"/>
    </row>
    <row r="126" spans="1:37" s="293" customFormat="1" ht="12.6" customHeight="1" thickTop="1">
      <c r="B126" s="355"/>
      <c r="F126" s="344" t="s">
        <v>187</v>
      </c>
      <c r="G126" s="2565">
        <f>SUM(G120:H125)</f>
        <v>228326.64754928838</v>
      </c>
      <c r="H126" s="2566"/>
      <c r="J126" s="2565">
        <f>SUM(J124:K125)</f>
        <v>0</v>
      </c>
      <c r="K126" s="2566"/>
      <c r="L126" s="2364"/>
      <c r="M126" s="2565">
        <f>SUM(M124:N125)</f>
        <v>0</v>
      </c>
      <c r="N126" s="2566"/>
      <c r="P126" s="2565">
        <f>SUM(P124:Q125)</f>
        <v>75000</v>
      </c>
      <c r="Q126" s="2566"/>
      <c r="S126" s="2565">
        <f>SUM(S120:T125)</f>
        <v>0</v>
      </c>
      <c r="T126" s="2566"/>
      <c r="V126" s="3812">
        <f>SUM(V120:V125)</f>
        <v>0</v>
      </c>
      <c r="W126" s="3813"/>
      <c r="X126" s="3814"/>
    </row>
    <row r="127" spans="1:37" s="293" customFormat="1" ht="13.35" customHeight="1">
      <c r="B127" s="295" t="s">
        <v>592</v>
      </c>
      <c r="C127" s="234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593</v>
      </c>
      <c r="C128" s="2347"/>
      <c r="G128" s="3730">
        <v>50000</v>
      </c>
      <c r="H128" s="3731"/>
      <c r="J128" s="3730"/>
      <c r="K128" s="3731"/>
      <c r="L128" s="345"/>
      <c r="M128" s="3730"/>
      <c r="N128" s="3731"/>
      <c r="P128" s="3730">
        <v>50000</v>
      </c>
      <c r="Q128" s="3731"/>
      <c r="S128" s="3730"/>
      <c r="T128" s="3731"/>
      <c r="V128" s="3802"/>
      <c r="W128" s="3803"/>
      <c r="X128" s="3804"/>
    </row>
    <row r="129" spans="1:24" s="293" customFormat="1" ht="12.6" customHeight="1" thickBot="1">
      <c r="A129" s="370" t="str">
        <f>IF(AND(G129&gt;0,OR(C129="",C129="&lt;Enter detailed description here; use Comments section if needed&gt;")),"X","")</f>
        <v/>
      </c>
      <c r="B129" s="293" t="s">
        <v>722</v>
      </c>
      <c r="C129" s="3805" t="s">
        <v>3529</v>
      </c>
      <c r="D129" s="3805"/>
      <c r="E129" s="3805"/>
      <c r="F129" s="3806"/>
      <c r="G129" s="3748"/>
      <c r="H129" s="3749"/>
      <c r="J129" s="3748"/>
      <c r="K129" s="3749"/>
      <c r="L129" s="2364"/>
      <c r="M129" s="3748"/>
      <c r="N129" s="3749"/>
      <c r="P129" s="3748"/>
      <c r="Q129" s="3749"/>
      <c r="S129" s="3748"/>
      <c r="T129" s="3749"/>
      <c r="U129" s="369" t="str">
        <f>IF(AND(G129&gt;0,OR(C129="",C129="&lt;Enter detailed description here; use Comments section if needed&gt;")),"NO DESCRIPTION PROVIDED - please enter detailed description in Other box at left; use Comments section below if needed.","")</f>
        <v/>
      </c>
      <c r="V129" s="3802"/>
      <c r="W129" s="3810"/>
      <c r="X129" s="3811"/>
    </row>
    <row r="130" spans="1:24" s="293" customFormat="1" ht="12.6" customHeight="1" thickTop="1">
      <c r="C130" s="2347"/>
      <c r="F130" s="344" t="s">
        <v>187</v>
      </c>
      <c r="G130" s="2565">
        <f>SUM(G128:H129)</f>
        <v>50000</v>
      </c>
      <c r="H130" s="2566"/>
      <c r="J130" s="2565">
        <f>SUM(J128:K129)</f>
        <v>0</v>
      </c>
      <c r="K130" s="2566"/>
      <c r="L130" s="2364"/>
      <c r="M130" s="2565">
        <f>SUM(M128:N129)</f>
        <v>0</v>
      </c>
      <c r="N130" s="2566"/>
      <c r="P130" s="2565">
        <f>SUM(P128:Q129)</f>
        <v>50000</v>
      </c>
      <c r="Q130" s="2566"/>
      <c r="S130" s="2565">
        <f>SUM(S128:T129)</f>
        <v>0</v>
      </c>
      <c r="T130" s="2566"/>
      <c r="V130" s="3812">
        <f>SUM(V128:V129)</f>
        <v>0</v>
      </c>
      <c r="W130" s="3813"/>
      <c r="X130" s="3814"/>
    </row>
    <row r="131" spans="1:24" s="293" customFormat="1" ht="3" customHeight="1" thickBot="1">
      <c r="C131" s="2347"/>
      <c r="H131" s="351"/>
      <c r="I131" s="351"/>
      <c r="L131" s="2352"/>
      <c r="V131" s="1029"/>
      <c r="W131" s="3860"/>
      <c r="X131" s="3861"/>
    </row>
    <row r="132" spans="1:24" s="293" customFormat="1" ht="14.1" customHeight="1" thickBot="1">
      <c r="B132" s="298" t="s">
        <v>2676</v>
      </c>
      <c r="E132" s="821"/>
      <c r="F132" s="1589"/>
      <c r="G132" s="2586">
        <f>G17+G23+G27+G33+G38+G41+G47+G64+G77+G83+G91+G105+G111+G118+G126+G130</f>
        <v>5691701.1975492882</v>
      </c>
      <c r="H132" s="2587"/>
      <c r="J132" s="2586">
        <f>J17+J23+J27+J33+J38+J41+J47+J64+J77+J83+J91+J105+J111+J118+J126+J130</f>
        <v>0</v>
      </c>
      <c r="K132" s="2587"/>
      <c r="M132" s="2586">
        <f>M17+M23+M27+M33+M38+M41+M47+M64+M77+M83+M91+M105+M111+M118+M126+M130</f>
        <v>1153000</v>
      </c>
      <c r="N132" s="2587"/>
      <c r="P132" s="2586">
        <f>P17+P23+P27+P33+P38+P41+P47+P64+P77+P83+P91+P105+P111+P118+P126+P130</f>
        <v>4037373.5</v>
      </c>
      <c r="Q132" s="2587"/>
      <c r="S132" s="2586">
        <f>S17+S23+S27+S33+S38+S41+S47+S64+S77+S83+S91+S105+S111+S118+S126+S130</f>
        <v>0</v>
      </c>
      <c r="T132" s="2587"/>
      <c r="V132" s="3862">
        <f>V17+V23+V27+V33+V38+V41+V47+V64+V77+V83+V91+V105+V111+V118+V126+V130</f>
        <v>0</v>
      </c>
      <c r="W132" s="3863"/>
      <c r="X132" s="3814"/>
    </row>
    <row r="133" spans="1:24" s="293" customFormat="1" ht="3" customHeight="1">
      <c r="C133" s="2347"/>
      <c r="H133" s="351"/>
      <c r="I133" s="351"/>
      <c r="L133" s="2352"/>
      <c r="V133" s="1029"/>
    </row>
    <row r="134" spans="1:24" s="293" customFormat="1" ht="14.1" customHeight="1">
      <c r="B134" s="490" t="s">
        <v>2673</v>
      </c>
      <c r="C134" s="488"/>
      <c r="D134" s="2588">
        <f>IF('Part VI-Revenues &amp; Expenses'!$P$67=0,0,G132/'Part VI-Revenues &amp; Expenses'!$P$67)</f>
        <v>142292.52993873222</v>
      </c>
      <c r="E134" s="2588"/>
      <c r="F134" s="489" t="s">
        <v>2672</v>
      </c>
      <c r="G134" s="2589">
        <f>IF('Part I-Project Information'!$P$75=0,0,G132/'Part I-Project Information'!$P$75)</f>
        <v>149.38848287530939</v>
      </c>
      <c r="H134" s="2590"/>
      <c r="I134" s="356"/>
      <c r="V134" s="1029"/>
    </row>
    <row r="135" spans="1:24" s="293" customFormat="1" ht="3" customHeight="1">
      <c r="I135" s="356"/>
      <c r="L135" s="356"/>
      <c r="V135" s="1029"/>
    </row>
    <row r="136" spans="1:24" s="293" customFormat="1" ht="3.6" customHeight="1" thickBot="1">
      <c r="D136" s="2347"/>
      <c r="E136" s="2347"/>
      <c r="I136" s="351"/>
      <c r="J136" s="351"/>
      <c r="K136" s="357"/>
      <c r="L136" s="2344"/>
      <c r="P136" s="2352"/>
      <c r="V136" s="1029"/>
    </row>
    <row r="137" spans="1:24" s="293" customFormat="1" ht="26.1" customHeight="1">
      <c r="A137" s="418" t="s">
        <v>721</v>
      </c>
      <c r="B137" s="420" t="s">
        <v>1397</v>
      </c>
      <c r="C137" s="841"/>
      <c r="D137" s="2364"/>
      <c r="E137" s="2364"/>
      <c r="F137" s="2364"/>
      <c r="G137" s="2352"/>
      <c r="H137" s="2352"/>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1994</v>
      </c>
      <c r="D138" s="2364"/>
      <c r="E138" s="2364"/>
      <c r="I138" s="358"/>
      <c r="J138" s="2557"/>
      <c r="K138" s="2558"/>
      <c r="L138" s="841"/>
      <c r="M138" s="2557"/>
      <c r="N138" s="2558"/>
      <c r="P138" s="2557"/>
      <c r="Q138" s="2558"/>
      <c r="V138" s="1029"/>
      <c r="W138" s="293" t="str">
        <f>B138</f>
        <v>Subtractions From Eligible Basis</v>
      </c>
      <c r="X138" s="330"/>
    </row>
    <row r="139" spans="1:24" s="293" customFormat="1" ht="6" customHeight="1">
      <c r="D139" s="2347"/>
      <c r="E139" s="2347"/>
      <c r="I139" s="351"/>
      <c r="J139" s="351"/>
      <c r="K139" s="357"/>
      <c r="L139" s="2344"/>
      <c r="P139" s="2352"/>
      <c r="V139" s="1029"/>
    </row>
    <row r="140" spans="1:24" s="293" customFormat="1" ht="14.1" customHeight="1">
      <c r="B140" s="2347" t="s">
        <v>141</v>
      </c>
      <c r="D140" s="2352"/>
      <c r="E140" s="2352"/>
      <c r="F140" s="2352"/>
      <c r="G140" s="2352"/>
      <c r="H140" s="2352"/>
      <c r="I140" s="358"/>
      <c r="J140" s="3864"/>
      <c r="K140" s="3865"/>
      <c r="P140" s="3864"/>
      <c r="Q140" s="3865"/>
      <c r="V140" s="3802"/>
      <c r="W140" s="3803"/>
      <c r="X140" s="3804"/>
    </row>
    <row r="141" spans="1:24" s="293" customFormat="1" ht="14.1" customHeight="1">
      <c r="B141" s="2352" t="s">
        <v>2100</v>
      </c>
      <c r="D141" s="2352"/>
      <c r="E141" s="2352"/>
      <c r="F141" s="2352"/>
      <c r="G141" s="2352"/>
      <c r="H141" s="2352"/>
      <c r="I141" s="358"/>
      <c r="J141" s="3866"/>
      <c r="K141" s="3867"/>
      <c r="P141" s="3866"/>
      <c r="Q141" s="3867"/>
      <c r="V141" s="3802"/>
      <c r="W141" s="3803"/>
      <c r="X141" s="3804"/>
    </row>
    <row r="142" spans="1:24" s="293" customFormat="1" ht="14.1" customHeight="1">
      <c r="B142" s="2352" t="s">
        <v>1815</v>
      </c>
      <c r="D142" s="2352"/>
      <c r="E142" s="2352"/>
      <c r="I142" s="358"/>
      <c r="J142" s="3866"/>
      <c r="K142" s="3867"/>
      <c r="P142" s="3866"/>
      <c r="Q142" s="3867"/>
      <c r="V142" s="3802"/>
      <c r="W142" s="3803"/>
      <c r="X142" s="3804"/>
    </row>
    <row r="143" spans="1:24" s="293" customFormat="1" ht="14.1" customHeight="1">
      <c r="B143" s="2352" t="s">
        <v>1816</v>
      </c>
      <c r="D143" s="2352"/>
      <c r="E143" s="2352"/>
      <c r="I143" s="358"/>
      <c r="J143" s="3866"/>
      <c r="K143" s="3867"/>
      <c r="P143" s="3866"/>
      <c r="Q143" s="3867"/>
      <c r="V143" s="3802"/>
      <c r="W143" s="3803"/>
      <c r="X143" s="3804"/>
    </row>
    <row r="144" spans="1:24" s="293" customFormat="1" ht="14.1" customHeight="1">
      <c r="B144" s="2352" t="s">
        <v>249</v>
      </c>
      <c r="D144" s="2352"/>
      <c r="E144" s="2352"/>
      <c r="I144" s="358"/>
      <c r="J144" s="3866"/>
      <c r="K144" s="3867"/>
      <c r="P144" s="3866"/>
      <c r="Q144" s="3867"/>
      <c r="V144" s="3802"/>
      <c r="W144" s="3803"/>
      <c r="X144" s="3804"/>
    </row>
    <row r="145" spans="1:24" s="293" customFormat="1" ht="14.1" customHeight="1" thickBot="1">
      <c r="B145" s="2352" t="s">
        <v>1567</v>
      </c>
      <c r="C145" s="3868" t="s">
        <v>2351</v>
      </c>
      <c r="D145" s="3868"/>
      <c r="E145" s="3868"/>
      <c r="F145" s="3868"/>
      <c r="G145" s="3868"/>
      <c r="H145" s="3868"/>
      <c r="I145" s="3869"/>
      <c r="J145" s="3870"/>
      <c r="K145" s="3871"/>
      <c r="P145" s="3870"/>
      <c r="Q145" s="3871"/>
      <c r="V145" s="3802"/>
      <c r="W145" s="3810"/>
      <c r="X145" s="3811"/>
    </row>
    <row r="146" spans="1:24" s="293" customFormat="1" ht="14.1" customHeight="1" thickBot="1">
      <c r="B146" s="303" t="s">
        <v>1817</v>
      </c>
      <c r="C146" s="306"/>
      <c r="J146" s="2524">
        <f>SUM(J140:K145)</f>
        <v>0</v>
      </c>
      <c r="K146" s="2525"/>
      <c r="P146" s="2524">
        <f>SUM(P140:Q145)</f>
        <v>0</v>
      </c>
      <c r="Q146" s="2525"/>
      <c r="V146" s="3812">
        <f>SUM(V140:V145)</f>
        <v>0</v>
      </c>
      <c r="W146" s="3813"/>
      <c r="X146" s="3814"/>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1745</v>
      </c>
      <c r="J149" s="2542">
        <f>J132</f>
        <v>0</v>
      </c>
      <c r="K149" s="2543"/>
      <c r="M149" s="2544">
        <f>M132</f>
        <v>1153000</v>
      </c>
      <c r="N149" s="2545"/>
      <c r="P149" s="2542">
        <f>P132</f>
        <v>4037373.5</v>
      </c>
      <c r="Q149" s="2543"/>
      <c r="R149" s="2620" t="s">
        <v>4227</v>
      </c>
      <c r="S149" s="2621"/>
      <c r="T149" s="2621"/>
      <c r="V149" s="3802"/>
      <c r="W149" s="3803"/>
      <c r="X149" s="3804"/>
    </row>
    <row r="150" spans="1:24" s="293" customFormat="1" ht="14.1" customHeight="1">
      <c r="B150" s="293" t="s">
        <v>2162</v>
      </c>
      <c r="J150" s="2547">
        <f>J146</f>
        <v>0</v>
      </c>
      <c r="K150" s="2548"/>
      <c r="M150" s="2549"/>
      <c r="N150" s="2549"/>
      <c r="P150" s="2547">
        <f>P146</f>
        <v>0</v>
      </c>
      <c r="Q150" s="2548"/>
      <c r="R150" s="2620"/>
      <c r="S150" s="2621"/>
      <c r="T150" s="2621"/>
      <c r="U150" s="1405"/>
      <c r="V150" s="3802"/>
      <c r="W150" s="3803"/>
      <c r="X150" s="3804"/>
    </row>
    <row r="151" spans="1:24" s="293" customFormat="1" ht="14.1" customHeight="1">
      <c r="B151" s="293" t="s">
        <v>2163</v>
      </c>
      <c r="J151" s="2547">
        <f>J149-J150</f>
        <v>0</v>
      </c>
      <c r="K151" s="2548"/>
      <c r="M151" s="2547">
        <f>M149</f>
        <v>1153000</v>
      </c>
      <c r="N151" s="2548"/>
      <c r="P151" s="2547">
        <f>P149-P150</f>
        <v>4037373.5</v>
      </c>
      <c r="Q151" s="2548"/>
      <c r="R151" s="2620"/>
      <c r="S151" s="2621"/>
      <c r="T151" s="2621"/>
      <c r="U151" s="1405"/>
      <c r="V151" s="3802"/>
      <c r="W151" s="3803"/>
      <c r="X151" s="3804"/>
    </row>
    <row r="152" spans="1:24" s="293" customFormat="1" ht="14.1" customHeight="1">
      <c r="B152" s="293" t="s">
        <v>1453</v>
      </c>
      <c r="G152" s="2361" t="s">
        <v>1671</v>
      </c>
      <c r="H152" s="3447" t="s">
        <v>1726</v>
      </c>
      <c r="I152" s="3448"/>
      <c r="J152" s="3872">
        <v>1</v>
      </c>
      <c r="K152" s="3873"/>
      <c r="M152" s="2591"/>
      <c r="N152" s="2591"/>
      <c r="P152" s="3872">
        <v>1</v>
      </c>
      <c r="Q152" s="3873"/>
      <c r="R152" s="3874" t="s">
        <v>3519</v>
      </c>
      <c r="S152" s="3875"/>
      <c r="T152" s="3876"/>
      <c r="U152" s="1406"/>
      <c r="V152" s="3802"/>
      <c r="W152" s="3803"/>
      <c r="X152" s="3804"/>
    </row>
    <row r="153" spans="1:24" s="293" customFormat="1" ht="14.1" customHeight="1">
      <c r="B153" s="293" t="s">
        <v>2004</v>
      </c>
      <c r="J153" s="2547">
        <f>J151*J152</f>
        <v>0</v>
      </c>
      <c r="K153" s="2548"/>
      <c r="M153" s="2547">
        <f>+M151</f>
        <v>1153000</v>
      </c>
      <c r="N153" s="2548"/>
      <c r="P153" s="2547">
        <f>P151*P152</f>
        <v>4037373.5</v>
      </c>
      <c r="Q153" s="2548"/>
      <c r="R153" s="3877"/>
      <c r="S153" s="3878"/>
      <c r="T153" s="3879"/>
      <c r="U153" s="1406"/>
      <c r="V153" s="3802"/>
      <c r="W153" s="3803"/>
      <c r="X153" s="3804"/>
    </row>
    <row r="154" spans="1:24" s="293" customFormat="1" ht="14.1" customHeight="1">
      <c r="B154" s="293" t="s">
        <v>2473</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880"/>
      <c r="S154" s="3881"/>
      <c r="T154" s="3882"/>
      <c r="V154" s="3802"/>
      <c r="W154" s="3803"/>
      <c r="X154" s="3804"/>
    </row>
    <row r="155" spans="1:24" s="293" customFormat="1" ht="14.1" customHeight="1">
      <c r="B155" s="293" t="s">
        <v>1995</v>
      </c>
      <c r="J155" s="2547">
        <f>J153*J154</f>
        <v>0</v>
      </c>
      <c r="K155" s="2548"/>
      <c r="M155" s="2547">
        <f>M153*M154</f>
        <v>1153000</v>
      </c>
      <c r="N155" s="2548"/>
      <c r="P155" s="2547">
        <f>P153*P154</f>
        <v>4037373.5</v>
      </c>
      <c r="Q155" s="2548"/>
      <c r="V155" s="3802"/>
      <c r="W155" s="3803"/>
      <c r="X155" s="3804"/>
    </row>
    <row r="156" spans="1:24" s="293" customFormat="1" ht="14.1" customHeight="1">
      <c r="B156" s="293" t="s">
        <v>1996</v>
      </c>
      <c r="J156" s="3872">
        <v>0.09</v>
      </c>
      <c r="K156" s="3873"/>
      <c r="M156" s="3872">
        <v>0.09</v>
      </c>
      <c r="N156" s="3873"/>
      <c r="P156" s="3872">
        <v>0.09</v>
      </c>
      <c r="Q156" s="3873"/>
      <c r="V156" s="3802"/>
      <c r="W156" s="3803"/>
      <c r="X156" s="3804"/>
    </row>
    <row r="157" spans="1:24" s="293" customFormat="1" ht="14.1" customHeight="1" thickBot="1">
      <c r="B157" s="293" t="s">
        <v>2474</v>
      </c>
      <c r="J157" s="2594">
        <f>J155*J156</f>
        <v>0</v>
      </c>
      <c r="K157" s="2595"/>
      <c r="M157" s="2594">
        <f>M155*M156</f>
        <v>103770</v>
      </c>
      <c r="N157" s="2595"/>
      <c r="P157" s="2594">
        <f>P155*P156</f>
        <v>363363.61499999999</v>
      </c>
      <c r="Q157" s="2595"/>
      <c r="V157" s="3883"/>
      <c r="W157" s="3810"/>
      <c r="X157" s="3811"/>
    </row>
    <row r="158" spans="1:24" s="293" customFormat="1" ht="14.1" customHeight="1" thickBot="1">
      <c r="B158" s="295" t="s">
        <v>1395</v>
      </c>
      <c r="J158" s="2524">
        <f>ROUNDDOWN(J157+M157+P157,0)</f>
        <v>467133</v>
      </c>
      <c r="K158" s="2546"/>
      <c r="L158" s="2546"/>
      <c r="M158" s="2546"/>
      <c r="N158" s="2546"/>
      <c r="O158" s="2546"/>
      <c r="P158" s="2546"/>
      <c r="Q158" s="2525"/>
      <c r="V158" s="3812"/>
      <c r="W158" s="3835"/>
      <c r="X158" s="3836"/>
    </row>
    <row r="159" spans="1:24" s="293" customFormat="1" ht="6" customHeight="1">
      <c r="B159" s="359"/>
      <c r="L159" s="360"/>
      <c r="M159" s="360"/>
      <c r="N159" s="360"/>
      <c r="O159" s="360"/>
      <c r="V159" s="1029"/>
    </row>
    <row r="160" spans="1:24" s="293" customFormat="1" ht="14.1" customHeight="1">
      <c r="A160" s="419" t="s">
        <v>723</v>
      </c>
      <c r="B160" s="419" t="s">
        <v>1398</v>
      </c>
      <c r="H160" s="351"/>
      <c r="I160" s="351"/>
      <c r="L160" s="2352"/>
      <c r="M160" s="467"/>
      <c r="N160" s="2352"/>
      <c r="O160" s="2352"/>
      <c r="P160" s="2352"/>
      <c r="Q160" s="2352"/>
      <c r="R160" s="2352"/>
      <c r="S160" s="2352"/>
      <c r="T160" s="2352"/>
      <c r="V160" s="1029"/>
    </row>
    <row r="161" spans="2:24" s="168" customFormat="1" ht="3" customHeight="1">
      <c r="H161" s="3884"/>
      <c r="I161" s="3884"/>
      <c r="M161" s="535"/>
      <c r="O161" s="3885"/>
      <c r="P161" s="3885"/>
      <c r="Q161" s="3885"/>
      <c r="R161" s="3885"/>
      <c r="S161" s="3885"/>
      <c r="T161" s="3885"/>
      <c r="U161" s="3885"/>
      <c r="V161" s="3885"/>
    </row>
    <row r="162" spans="2:24" s="168" customFormat="1" ht="14.1" customHeight="1">
      <c r="B162" s="3886" t="s">
        <v>4522</v>
      </c>
      <c r="H162" s="3884"/>
      <c r="I162" s="3884"/>
      <c r="M162" s="535"/>
      <c r="O162" s="3887"/>
      <c r="P162" s="3887"/>
      <c r="Q162" s="3887"/>
      <c r="R162" s="3887"/>
      <c r="S162" s="3887"/>
      <c r="T162" s="3887"/>
      <c r="U162" s="3887"/>
      <c r="V162" s="3887"/>
    </row>
    <row r="163" spans="2:24" s="168" customFormat="1" ht="15" customHeight="1">
      <c r="B163" s="168" t="s">
        <v>4524</v>
      </c>
      <c r="J163" s="3888">
        <f>G132</f>
        <v>5691701.1975492882</v>
      </c>
      <c r="K163" s="3889"/>
      <c r="L163" s="3890"/>
      <c r="V163" s="3891"/>
      <c r="W163" s="3892"/>
    </row>
    <row r="164" spans="2:24" s="168" customFormat="1" ht="13.5" customHeight="1">
      <c r="B164" s="168" t="s">
        <v>4526</v>
      </c>
      <c r="J164" s="3888">
        <f>'Part IV-A-Uses of Funds'!$G$83+'Part IV-A-Uses of Funds'!$G$105+SUM('Part IV-A-Uses of Funds'!$G$121:$H$123)</f>
        <v>224826.64754928838</v>
      </c>
      <c r="K164" s="3889"/>
      <c r="L164" s="3890"/>
      <c r="V164" s="3891"/>
      <c r="W164" s="3892"/>
    </row>
    <row r="165" spans="2:24" s="168" customFormat="1" ht="13.5" customHeight="1">
      <c r="B165" s="3893" t="s">
        <v>4525</v>
      </c>
      <c r="J165" s="3888">
        <f>J163-J164</f>
        <v>5466874.5499999998</v>
      </c>
      <c r="K165" s="3889"/>
      <c r="L165" s="3890"/>
      <c r="M165" s="2618" t="str">
        <f>IF(J165&lt;=J166, "","Exceeds Project Cost Limit!   Needs Cost Limit waiver.")</f>
        <v/>
      </c>
      <c r="N165" s="2618"/>
      <c r="O165" s="2618"/>
      <c r="P165" s="2618"/>
      <c r="Q165" s="2618"/>
      <c r="R165" s="2618"/>
      <c r="S165" s="2618"/>
      <c r="T165" s="2618"/>
      <c r="V165" s="3891"/>
      <c r="W165" s="3892"/>
    </row>
    <row r="166" spans="2:24" s="168" customFormat="1" ht="13.5" customHeight="1">
      <c r="B166" s="3894" t="s">
        <v>2677</v>
      </c>
      <c r="C166" s="3893"/>
      <c r="D166" s="3893"/>
      <c r="J166" s="3888">
        <f>'Part VIII-Threshold Criteria'!$P$63</f>
        <v>8974025.1999999993</v>
      </c>
      <c r="K166" s="3889"/>
      <c r="L166" s="3890"/>
      <c r="V166" s="3891"/>
      <c r="W166" s="3892"/>
    </row>
    <row r="167" spans="2:24" s="168" customFormat="1" ht="3" customHeight="1">
      <c r="B167" s="3894"/>
      <c r="C167" s="3893"/>
      <c r="D167" s="3893"/>
      <c r="J167" s="3895"/>
      <c r="K167" s="3895"/>
      <c r="L167" s="3895"/>
      <c r="V167" s="3891"/>
      <c r="W167" s="3892"/>
    </row>
    <row r="168" spans="2:24" s="293" customFormat="1" ht="15" customHeight="1" thickBot="1">
      <c r="B168" s="295" t="s">
        <v>170</v>
      </c>
      <c r="O168" s="2352"/>
      <c r="P168" s="2352"/>
      <c r="Q168" s="2352"/>
      <c r="R168" s="2352"/>
      <c r="S168" s="2352"/>
      <c r="T168" s="2352"/>
      <c r="V168" s="1029"/>
      <c r="W168" s="419" t="str">
        <f>B160</f>
        <v>TAX CREDIT CALCULATION - GAP METHOD</v>
      </c>
    </row>
    <row r="169" spans="2:24" s="293" customFormat="1" ht="15" customHeight="1">
      <c r="B169" s="168" t="s">
        <v>4527</v>
      </c>
      <c r="J169" s="3896">
        <f>MIN(J163,J166+J164)</f>
        <v>5691701.1975492882</v>
      </c>
      <c r="K169" s="3897"/>
      <c r="L169" s="3898"/>
      <c r="M169" s="2602" t="s">
        <v>4550</v>
      </c>
      <c r="N169" s="2615"/>
      <c r="O169" s="2615"/>
      <c r="P169" s="2615"/>
      <c r="Q169" s="2615"/>
      <c r="R169" s="2603"/>
      <c r="S169" s="2602" t="s">
        <v>3497</v>
      </c>
      <c r="T169" s="2603"/>
      <c r="V169" s="3802"/>
      <c r="W169" s="3803"/>
      <c r="X169" s="3804"/>
    </row>
    <row r="170" spans="2:24" s="293" customFormat="1" ht="14.1" customHeight="1">
      <c r="B170" s="293" t="s">
        <v>258</v>
      </c>
      <c r="J170" s="2547">
        <f>'Part III-Sources of Funds'!$I$58-'Part III-Sources of Funds'!$I$42-'Part III-Sources of Funds'!$I$43-'Part III-Sources of Funds'!$I$49-'Part III-Sources of Funds'!$I$50</f>
        <v>375000</v>
      </c>
      <c r="K170" s="2549"/>
      <c r="L170" s="2606"/>
      <c r="M170" s="2604"/>
      <c r="N170" s="2616"/>
      <c r="O170" s="2616"/>
      <c r="P170" s="2616"/>
      <c r="Q170" s="2616"/>
      <c r="R170" s="2605"/>
      <c r="S170" s="2604"/>
      <c r="T170" s="2605"/>
      <c r="V170" s="3802"/>
      <c r="W170" s="3803"/>
      <c r="X170" s="3804"/>
    </row>
    <row r="171" spans="2:24" s="293" customFormat="1" ht="14.1" customHeight="1">
      <c r="B171" s="293" t="s">
        <v>2174</v>
      </c>
      <c r="J171" s="2547">
        <f>+J169-J170</f>
        <v>5316701.1975492882</v>
      </c>
      <c r="K171" s="2549"/>
      <c r="L171" s="2606"/>
      <c r="M171" s="2604"/>
      <c r="N171" s="2616"/>
      <c r="O171" s="2616"/>
      <c r="P171" s="2616"/>
      <c r="Q171" s="2616"/>
      <c r="R171" s="2605"/>
      <c r="S171" s="2604"/>
      <c r="T171" s="2605"/>
      <c r="V171" s="3802"/>
      <c r="W171" s="3803"/>
      <c r="X171" s="3804"/>
    </row>
    <row r="172" spans="2:24" s="293" customFormat="1" ht="14.1" customHeight="1" thickBot="1">
      <c r="B172" s="293" t="s">
        <v>1259</v>
      </c>
      <c r="J172" s="2611" t="str">
        <f>"/ 10"</f>
        <v>/ 10</v>
      </c>
      <c r="K172" s="2611"/>
      <c r="L172" s="2611"/>
      <c r="M172" s="2607" t="s">
        <v>2659</v>
      </c>
      <c r="N172" s="2608"/>
      <c r="O172" s="2609">
        <f>'Part III-Sources of Funds'!$I$42</f>
        <v>0</v>
      </c>
      <c r="P172" s="2609"/>
      <c r="Q172" s="2609"/>
      <c r="R172" s="2610"/>
      <c r="S172" s="406" t="s">
        <v>1622</v>
      </c>
      <c r="T172" s="3899"/>
      <c r="V172" s="3802"/>
      <c r="W172" s="3803"/>
      <c r="X172" s="3804"/>
    </row>
    <row r="173" spans="2:24" s="293" customFormat="1" ht="14.1" customHeight="1">
      <c r="B173" s="293" t="s">
        <v>1260</v>
      </c>
      <c r="J173" s="2547">
        <f>J171/10</f>
        <v>531670.11975492886</v>
      </c>
      <c r="K173" s="2549"/>
      <c r="L173" s="2548"/>
      <c r="M173" s="2352"/>
      <c r="N173" s="464"/>
      <c r="O173" s="464"/>
      <c r="P173" s="464"/>
      <c r="Q173" s="464"/>
      <c r="R173" s="464"/>
      <c r="V173" s="1029"/>
      <c r="W173" s="3803"/>
      <c r="X173" s="3804"/>
    </row>
    <row r="174" spans="2:24" s="293" customFormat="1" ht="14.1" customHeight="1">
      <c r="M174" s="311"/>
      <c r="N174" s="2409" t="s">
        <v>1261</v>
      </c>
      <c r="O174" s="2409"/>
      <c r="Q174" s="2409" t="s">
        <v>1753</v>
      </c>
      <c r="R174" s="2409"/>
      <c r="V174" s="3802"/>
      <c r="W174" s="3803"/>
      <c r="X174" s="3804"/>
    </row>
    <row r="175" spans="2:24" s="293" customFormat="1" ht="14.1" customHeight="1" thickBot="1">
      <c r="B175" s="293" t="s">
        <v>1452</v>
      </c>
      <c r="J175" s="2596">
        <f>N175+Q175</f>
        <v>1.4100000000000001</v>
      </c>
      <c r="K175" s="2597"/>
      <c r="L175" s="2598"/>
      <c r="M175" s="2361" t="s">
        <v>1262</v>
      </c>
      <c r="N175" s="3900">
        <v>0.88</v>
      </c>
      <c r="O175" s="3901"/>
      <c r="P175" s="2361" t="s">
        <v>594</v>
      </c>
      <c r="Q175" s="3900">
        <v>0.53</v>
      </c>
      <c r="R175" s="3901"/>
      <c r="V175" s="3802"/>
      <c r="W175" s="3803"/>
      <c r="X175" s="3804"/>
    </row>
    <row r="176" spans="2:24" s="293" customFormat="1" ht="14.1" customHeight="1" thickBot="1">
      <c r="B176" s="295" t="s">
        <v>1396</v>
      </c>
      <c r="J176" s="2524">
        <f>ROUNDDOWN(IF(J175=0,"",J173/J175),0)</f>
        <v>377071</v>
      </c>
      <c r="K176" s="2546"/>
      <c r="L176" s="2525"/>
      <c r="M176" s="311"/>
      <c r="N176" s="2352"/>
      <c r="O176" s="2352"/>
      <c r="V176" s="3802"/>
      <c r="W176" s="3803"/>
      <c r="X176" s="3804"/>
    </row>
    <row r="177" spans="1:24" s="293" customFormat="1" ht="6" customHeight="1">
      <c r="J177" s="361"/>
      <c r="K177" s="361"/>
      <c r="L177" s="361"/>
      <c r="M177" s="311"/>
      <c r="N177" s="2355"/>
      <c r="O177" s="2355"/>
      <c r="V177" s="1029"/>
      <c r="W177" s="3803"/>
      <c r="X177" s="3804"/>
    </row>
    <row r="178" spans="1:24" s="293" customFormat="1" ht="14.1" customHeight="1">
      <c r="A178" s="419" t="s">
        <v>1747</v>
      </c>
      <c r="B178" s="419" t="s">
        <v>4523</v>
      </c>
      <c r="H178" s="351"/>
      <c r="I178" s="351"/>
      <c r="L178" s="2352"/>
      <c r="M178" s="467"/>
      <c r="N178" s="2352"/>
      <c r="O178" s="2352"/>
      <c r="P178" s="2352"/>
      <c r="Q178" s="2352"/>
      <c r="R178" s="2352"/>
      <c r="S178" s="2352"/>
      <c r="T178" s="2352"/>
      <c r="V178" s="1029"/>
    </row>
    <row r="179" spans="1:24" s="168" customFormat="1" ht="3" customHeight="1">
      <c r="H179" s="3884"/>
      <c r="I179" s="3884"/>
      <c r="M179" s="535"/>
      <c r="O179" s="3885"/>
      <c r="P179" s="3885"/>
      <c r="Q179" s="3885"/>
      <c r="R179" s="3885"/>
      <c r="S179" s="3885"/>
      <c r="T179" s="3885"/>
      <c r="U179" s="3885"/>
      <c r="V179" s="3885"/>
    </row>
    <row r="180" spans="1:24" s="293" customFormat="1" ht="16.350000000000001" customHeight="1">
      <c r="B180" s="295" t="s">
        <v>4801</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377071</v>
      </c>
      <c r="K180" s="2600"/>
      <c r="L180" s="2601"/>
      <c r="M180" s="311"/>
      <c r="N180" s="2355"/>
      <c r="O180" s="2355"/>
      <c r="V180" s="3802"/>
      <c r="W180" s="3803"/>
      <c r="X180" s="3804"/>
    </row>
    <row r="181" spans="1:24" s="293" customFormat="1" ht="3" customHeight="1">
      <c r="J181" s="361"/>
      <c r="K181" s="361"/>
      <c r="L181" s="361"/>
      <c r="M181" s="311"/>
      <c r="N181" s="2355"/>
      <c r="O181" s="2355"/>
      <c r="V181" s="1029"/>
      <c r="W181" s="3860"/>
      <c r="X181" s="3861"/>
    </row>
    <row r="182" spans="1:24" s="293" customFormat="1" ht="16.350000000000001" customHeight="1">
      <c r="B182" s="295" t="s">
        <v>4802</v>
      </c>
      <c r="J182" s="3902">
        <v>375000</v>
      </c>
      <c r="K182" s="3903"/>
      <c r="L182" s="3904"/>
      <c r="M182" s="362" t="str">
        <f>IF(J180=0,"",IF(J182&gt;J180,"ALLOCATION CANNOT EXCEED MAXIMUM - REVISE REQUEST (Try Round Down)!",""))</f>
        <v/>
      </c>
      <c r="N182" s="2355"/>
      <c r="O182" s="2355"/>
      <c r="V182" s="3802"/>
      <c r="W182" s="3803"/>
      <c r="X182" s="3804"/>
    </row>
    <row r="183" spans="1:24" s="293" customFormat="1" ht="3" customHeight="1">
      <c r="J183" s="361"/>
      <c r="K183" s="361"/>
      <c r="L183" s="361"/>
      <c r="M183" s="311"/>
      <c r="N183" s="2355"/>
      <c r="O183" s="2355"/>
      <c r="V183" s="1029"/>
      <c r="W183" s="3860"/>
      <c r="X183" s="3861"/>
    </row>
    <row r="184" spans="1:24" s="293" customFormat="1" ht="16.350000000000001" customHeight="1">
      <c r="A184" s="419"/>
      <c r="B184" s="419" t="s">
        <v>4803</v>
      </c>
      <c r="D184" s="311"/>
      <c r="E184" s="311"/>
      <c r="F184" s="2344"/>
      <c r="J184" s="2612">
        <f>IF(J182="",0,+MIN(J180,J182))</f>
        <v>375000</v>
      </c>
      <c r="K184" s="2613"/>
      <c r="L184" s="2614"/>
      <c r="N184" s="3905"/>
      <c r="O184" s="3905"/>
      <c r="P184" s="3905"/>
      <c r="Q184" s="3905"/>
      <c r="R184" s="3905"/>
      <c r="S184" s="3905"/>
      <c r="T184" s="3905"/>
      <c r="V184" s="3802"/>
      <c r="W184" s="3803"/>
      <c r="X184" s="3804"/>
    </row>
    <row r="185" spans="1:24" ht="3" customHeight="1"/>
    <row r="186" spans="1:24" ht="6" customHeight="1"/>
    <row r="187" spans="1:24" ht="12" customHeight="1">
      <c r="A187" s="295" t="s">
        <v>1749</v>
      </c>
      <c r="B187" s="319" t="s">
        <v>554</v>
      </c>
      <c r="N187" s="295" t="s">
        <v>515</v>
      </c>
      <c r="O187" s="295" t="s">
        <v>77</v>
      </c>
    </row>
    <row r="188" spans="1:24" ht="352.5" customHeight="1">
      <c r="A188" s="3800" t="s">
        <v>7096</v>
      </c>
      <c r="B188" s="3800"/>
      <c r="C188" s="3800"/>
      <c r="D188" s="3800"/>
      <c r="E188" s="3800"/>
      <c r="F188" s="3800"/>
      <c r="G188" s="3800"/>
      <c r="H188" s="3800"/>
      <c r="I188" s="3800"/>
      <c r="J188" s="3800"/>
      <c r="K188" s="3800"/>
      <c r="L188" s="3800"/>
      <c r="M188" s="3800"/>
      <c r="N188" s="3906"/>
      <c r="O188" s="3906"/>
      <c r="P188" s="3906"/>
      <c r="Q188" s="3906"/>
      <c r="R188" s="3906"/>
      <c r="S188" s="3906"/>
      <c r="T188" s="3906"/>
      <c r="V188" s="924"/>
      <c r="W188" s="2514" t="s">
        <v>2612</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rkJfl56+/RGpYkbooX+nEz7dz1KTy9au3WSYAHS9gwdZduTUh5lXIpBzLdSLhvJFYdQYyydLWDOUCyBlLSqzlQ==" saltValue="RWNUpzKqf9tGSG4n3ibEy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7" priority="19" stopIfTrue="1" operator="greaterThan">
      <formula>$J$180</formula>
    </cfRule>
  </conditionalFormatting>
  <conditionalFormatting sqref="G34">
    <cfRule type="cellIs" priority="20" stopIfTrue="1" operator="equal">
      <formula>"""Exceeds the limit! Re-check amounts."""</formula>
    </cfRule>
  </conditionalFormatting>
  <conditionalFormatting sqref="M35:N35 P35:Q35">
    <cfRule type="cellIs" dxfId="186" priority="18" operator="greaterThan">
      <formula>$G$35</formula>
    </cfRule>
  </conditionalFormatting>
  <conditionalFormatting sqref="M36:N37 P36:Q37">
    <cfRule type="cellIs" dxfId="185" priority="17" operator="greaterThan">
      <formula>$G$37</formula>
    </cfRule>
  </conditionalFormatting>
  <conditionalFormatting sqref="G35">
    <cfRule type="cellIs" dxfId="184" priority="21" stopIfTrue="1" operator="greaterThan">
      <formula>$E35</formula>
    </cfRule>
  </conditionalFormatting>
  <conditionalFormatting sqref="G36">
    <cfRule type="cellIs" dxfId="183" priority="22" stopIfTrue="1" operator="greaterThan">
      <formula>$E$36</formula>
    </cfRule>
  </conditionalFormatting>
  <conditionalFormatting sqref="G37">
    <cfRule type="cellIs" dxfId="182" priority="23" operator="greaterThan">
      <formula>$E$37</formula>
    </cfRule>
  </conditionalFormatting>
  <conditionalFormatting sqref="M165:T165">
    <cfRule type="cellIs" dxfId="181" priority="12" operator="equal">
      <formula>"Exceeds Project Cost Limit!   Needs Cost Limit waiver."</formula>
    </cfRule>
    <cfRule type="cellIs" dxfId="180" priority="16" operator="equal">
      <formula>"QAP Cost Limit TDC exceeds Project Cost Limit!"</formula>
    </cfRule>
  </conditionalFormatting>
  <conditionalFormatting sqref="O161:V162">
    <cfRule type="cellIs" dxfId="179" priority="15" operator="equal">
      <formula>"QAP Cost Limit TDC exceeds Project Cost Limit!"</formula>
    </cfRule>
  </conditionalFormatting>
  <conditionalFormatting sqref="O179:V179">
    <cfRule type="cellIs" dxfId="178" priority="13" operator="equal">
      <formula>"QAP Cost Limit TDC exceeds Project Cost Limit!"</formula>
    </cfRule>
  </conditionalFormatting>
  <conditionalFormatting sqref="J35">
    <cfRule type="cellIs" dxfId="177" priority="1" stopIfTrue="1" operator="greaterThan">
      <formula>$E35</formula>
    </cfRule>
  </conditionalFormatting>
  <conditionalFormatting sqref="J36">
    <cfRule type="cellIs" dxfId="176" priority="2" stopIfTrue="1" operator="greaterThan">
      <formula>$E$36</formula>
    </cfRule>
  </conditionalFormatting>
  <conditionalFormatting sqref="J37">
    <cfRule type="cellIs" dxfId="175"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82" zoomScaleNormal="100" workbookViewId="0">
      <selection activeCell="A82"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2020-050 - Twin Oaks Commons  -  Ludowici  -  Long,  County</v>
      </c>
      <c r="B1" s="2623"/>
      <c r="C1" s="2623"/>
      <c r="D1" s="2623"/>
      <c r="E1" s="2623"/>
      <c r="F1" s="2623"/>
      <c r="G1" s="2623"/>
      <c r="H1" s="2623"/>
      <c r="I1" s="900"/>
      <c r="J1" s="900"/>
      <c r="K1" s="900"/>
      <c r="L1" s="900"/>
      <c r="M1" s="900"/>
      <c r="N1" s="900"/>
    </row>
    <row r="2" spans="1:14" ht="9" customHeight="1"/>
    <row r="3" spans="1:14" ht="57" customHeight="1">
      <c r="A3" s="3907" t="s">
        <v>3531</v>
      </c>
      <c r="B3" s="3908"/>
      <c r="C3" s="3908"/>
      <c r="D3" s="3908"/>
      <c r="E3" s="3908"/>
      <c r="F3" s="3908"/>
      <c r="G3" s="3908"/>
      <c r="H3" s="3909"/>
    </row>
    <row r="4" spans="1:14" ht="6" customHeight="1"/>
    <row r="5" spans="1:14" ht="38.25" customHeight="1">
      <c r="A5" s="2624" t="s">
        <v>3621</v>
      </c>
      <c r="B5" s="2624"/>
      <c r="C5" s="2624"/>
      <c r="D5" s="2624"/>
      <c r="F5" s="901" t="s">
        <v>3522</v>
      </c>
      <c r="G5" s="537"/>
      <c r="H5" s="901" t="s">
        <v>3523</v>
      </c>
    </row>
    <row r="6" spans="1:14" ht="6.75" customHeight="1">
      <c r="A6" s="537"/>
      <c r="B6" s="537"/>
      <c r="C6" s="537"/>
      <c r="D6" s="537"/>
    </row>
    <row r="7" spans="1:14" s="3910" customFormat="1" ht="4.5" customHeight="1">
      <c r="A7" s="902"/>
      <c r="B7" s="902"/>
      <c r="C7" s="902"/>
      <c r="D7" s="902"/>
      <c r="E7" s="902"/>
      <c r="F7" s="902"/>
      <c r="G7" s="902"/>
    </row>
    <row r="8" spans="1:14" s="3910" customFormat="1">
      <c r="A8" s="911" t="s">
        <v>99</v>
      </c>
      <c r="B8" s="903"/>
      <c r="C8" s="903"/>
      <c r="D8" s="903"/>
      <c r="E8" s="903"/>
      <c r="F8" s="903"/>
      <c r="G8" s="903"/>
      <c r="H8" s="903"/>
    </row>
    <row r="9" spans="1:14" s="3910" customFormat="1" ht="41.25" customHeight="1">
      <c r="A9" s="2625" t="str">
        <f>'Part IV-A-Uses of Funds'!$C$14</f>
        <v>&lt;&lt; Enter description here; provide detail &amp; justification in tab Part IV-b &gt;&gt;</v>
      </c>
      <c r="B9" s="2626"/>
      <c r="C9" s="2626"/>
      <c r="D9" s="2627"/>
      <c r="F9" s="3911"/>
      <c r="G9" s="903"/>
      <c r="H9" s="3911"/>
    </row>
    <row r="10" spans="1:14" s="3910" customFormat="1" ht="41.25" customHeight="1">
      <c r="A10" s="2628"/>
      <c r="B10" s="2629"/>
      <c r="C10" s="2629"/>
      <c r="D10" s="2630"/>
      <c r="F10" s="3912"/>
      <c r="G10" s="903"/>
      <c r="H10" s="3912"/>
    </row>
    <row r="11" spans="1:14" s="3910" customFormat="1" ht="4.5" customHeight="1">
      <c r="F11" s="3912"/>
      <c r="G11" s="903"/>
      <c r="H11" s="3912"/>
    </row>
    <row r="12" spans="1:14" s="3910" customFormat="1" ht="15" customHeight="1">
      <c r="A12" s="910" t="s">
        <v>3525</v>
      </c>
      <c r="B12" s="909">
        <f>'Part IV-A-Uses of Funds'!$G$14</f>
        <v>0</v>
      </c>
      <c r="C12" s="910" t="s">
        <v>1745</v>
      </c>
      <c r="D12" s="909">
        <f>'Part IV-A-Uses of Funds'!$J$14+'Part IV-A-Uses of Funds'!$M$14+'Part IV-A-Uses of Funds'!$P$14</f>
        <v>0</v>
      </c>
      <c r="F12" s="3912"/>
      <c r="G12" s="903"/>
      <c r="H12" s="3912"/>
    </row>
    <row r="13" spans="1:14" s="3910" customFormat="1" ht="6" customHeight="1">
      <c r="A13" s="903"/>
      <c r="B13" s="904"/>
      <c r="C13" s="903"/>
      <c r="D13" s="903"/>
      <c r="F13" s="3912"/>
      <c r="G13" s="905"/>
      <c r="H13" s="3912"/>
    </row>
    <row r="14" spans="1:14" s="3910" customFormat="1" ht="41.25" customHeight="1">
      <c r="A14" s="2625" t="str">
        <f>'Part IV-A-Uses of Funds'!$C$15</f>
        <v>&lt;&lt; Enter description here; provide detail &amp; justification in tab Part IV-b &gt;&gt;</v>
      </c>
      <c r="B14" s="2626"/>
      <c r="C14" s="2626"/>
      <c r="D14" s="2627"/>
      <c r="F14" s="3912"/>
      <c r="G14" s="903"/>
      <c r="H14" s="3912"/>
    </row>
    <row r="15" spans="1:14" s="3910" customFormat="1" ht="41.25" customHeight="1">
      <c r="A15" s="2628"/>
      <c r="B15" s="2629"/>
      <c r="C15" s="2629"/>
      <c r="D15" s="2630"/>
      <c r="F15" s="3912"/>
      <c r="G15" s="903"/>
      <c r="H15" s="3912"/>
    </row>
    <row r="16" spans="1:14" s="3910" customFormat="1" ht="4.5" customHeight="1">
      <c r="F16" s="3912"/>
      <c r="G16" s="903"/>
      <c r="H16" s="3912"/>
    </row>
    <row r="17" spans="1:8" s="3910" customFormat="1" ht="15" customHeight="1">
      <c r="A17" s="910" t="s">
        <v>3525</v>
      </c>
      <c r="B17" s="909">
        <f>'Part IV-A-Uses of Funds'!$G$15</f>
        <v>0</v>
      </c>
      <c r="C17" s="910" t="s">
        <v>1745</v>
      </c>
      <c r="D17" s="909">
        <f>'Part IV-A-Uses of Funds'!$J$15+'Part IV-A-Uses of Funds'!$M$15+'Part IV-A-Uses of Funds'!$P$15</f>
        <v>0</v>
      </c>
      <c r="F17" s="3912"/>
      <c r="G17" s="903"/>
      <c r="H17" s="3912"/>
    </row>
    <row r="18" spans="1:8" s="3910" customFormat="1" ht="6" customHeight="1">
      <c r="A18" s="903"/>
      <c r="B18" s="904"/>
      <c r="C18" s="903"/>
      <c r="D18" s="903"/>
      <c r="F18" s="3912"/>
      <c r="G18" s="905"/>
      <c r="H18" s="3912"/>
    </row>
    <row r="19" spans="1:8" s="3910" customFormat="1" ht="41.25" customHeight="1">
      <c r="A19" s="2625" t="str">
        <f>'Part IV-A-Uses of Funds'!$C$16</f>
        <v>&lt;&lt; Enter description here; provide detail &amp; justification in tab Part IV-b &gt;&gt;</v>
      </c>
      <c r="B19" s="2626"/>
      <c r="C19" s="2626"/>
      <c r="D19" s="2627"/>
      <c r="F19" s="3912"/>
      <c r="G19" s="903"/>
      <c r="H19" s="3912"/>
    </row>
    <row r="20" spans="1:8" s="3910" customFormat="1" ht="41.25" customHeight="1">
      <c r="A20" s="2628"/>
      <c r="B20" s="2629"/>
      <c r="C20" s="2629"/>
      <c r="D20" s="2630"/>
      <c r="F20" s="3912"/>
      <c r="G20" s="903"/>
      <c r="H20" s="3912"/>
    </row>
    <row r="21" spans="1:8" s="3910" customFormat="1" ht="4.5" customHeight="1">
      <c r="F21" s="3912"/>
      <c r="G21" s="903"/>
      <c r="H21" s="3912"/>
    </row>
    <row r="22" spans="1:8" s="3910" customFormat="1" ht="15" customHeight="1">
      <c r="A22" s="910" t="s">
        <v>3525</v>
      </c>
      <c r="B22" s="909">
        <f>'Part IV-A-Uses of Funds'!$G$16</f>
        <v>0</v>
      </c>
      <c r="C22" s="910" t="s">
        <v>1745</v>
      </c>
      <c r="D22" s="909">
        <f>'Part IV-A-Uses of Funds'!$J$16+'Part IV-A-Uses of Funds'!$M$16+'Part IV-A-Uses of Funds'!$P$16</f>
        <v>0</v>
      </c>
      <c r="F22" s="3912"/>
      <c r="G22" s="903"/>
      <c r="H22" s="3912"/>
    </row>
    <row r="23" spans="1:8" s="3910" customFormat="1" ht="6" customHeight="1">
      <c r="A23" s="903"/>
      <c r="B23" s="904"/>
      <c r="C23" s="903"/>
      <c r="D23" s="903"/>
      <c r="F23" s="3913"/>
      <c r="G23" s="905"/>
      <c r="H23" s="3913"/>
    </row>
    <row r="24" spans="1:8" s="3910" customFormat="1">
      <c r="A24" s="911" t="s">
        <v>3524</v>
      </c>
      <c r="B24" s="903"/>
      <c r="C24" s="903"/>
      <c r="D24" s="903"/>
      <c r="E24" s="903"/>
      <c r="F24" s="903"/>
      <c r="G24" s="903"/>
    </row>
    <row r="25" spans="1:8" s="3910" customFormat="1" ht="41.25" customHeight="1">
      <c r="A25" s="2625" t="str">
        <f>'Part IV-A-Uses of Funds'!$C$41</f>
        <v>&lt;&lt; Enter description here; provide detail &amp; justification in tab Part IV-b &gt;&gt;</v>
      </c>
      <c r="B25" s="2626"/>
      <c r="C25" s="2626"/>
      <c r="D25" s="2627"/>
      <c r="E25" s="903"/>
      <c r="F25" s="3914"/>
      <c r="G25" s="903"/>
      <c r="H25" s="3914"/>
    </row>
    <row r="26" spans="1:8" s="3910" customFormat="1" ht="41.25" customHeight="1">
      <c r="A26" s="2628"/>
      <c r="B26" s="2629"/>
      <c r="C26" s="2629"/>
      <c r="D26" s="2630"/>
      <c r="E26" s="903"/>
      <c r="F26" s="3915"/>
      <c r="G26" s="903"/>
      <c r="H26" s="3915"/>
    </row>
    <row r="27" spans="1:8" s="3910" customFormat="1" ht="4.5" customHeight="1">
      <c r="A27" s="903"/>
      <c r="B27" s="903"/>
      <c r="C27" s="903"/>
      <c r="D27" s="903"/>
      <c r="E27" s="903"/>
      <c r="F27" s="3915"/>
      <c r="G27" s="903"/>
      <c r="H27" s="3915"/>
    </row>
    <row r="28" spans="1:8" s="3910" customFormat="1" ht="10.199999999999999">
      <c r="A28" s="910" t="s">
        <v>3525</v>
      </c>
      <c r="B28" s="909">
        <f>'Part IV-A-Uses of Funds'!$G$41</f>
        <v>0</v>
      </c>
      <c r="C28" s="910" t="s">
        <v>1745</v>
      </c>
      <c r="D28" s="909">
        <f>'Part IV-A-Uses of Funds'!$J$41+'Part IV-A-Uses of Funds'!$M$41+'Part IV-A-Uses of Funds'!$P$41</f>
        <v>0</v>
      </c>
      <c r="E28" s="903"/>
      <c r="F28" s="3915"/>
      <c r="G28" s="903"/>
      <c r="H28" s="3915"/>
    </row>
    <row r="29" spans="1:8" s="3910" customFormat="1" ht="6" customHeight="1">
      <c r="A29" s="903"/>
      <c r="B29" s="904"/>
      <c r="C29" s="903"/>
      <c r="D29" s="903"/>
      <c r="E29" s="903"/>
      <c r="F29" s="3916"/>
      <c r="G29" s="905"/>
      <c r="H29" s="3916"/>
    </row>
    <row r="30" spans="1:8" s="3910" customFormat="1">
      <c r="A30" s="911" t="s">
        <v>703</v>
      </c>
      <c r="B30" s="903"/>
      <c r="C30" s="903"/>
      <c r="D30" s="903"/>
      <c r="E30" s="903"/>
      <c r="F30" s="903"/>
      <c r="G30" s="903"/>
    </row>
    <row r="31" spans="1:8" s="3910" customFormat="1" ht="41.25" customHeight="1">
      <c r="A31" s="2631" t="str">
        <f>'Part IV-A-Uses of Funds'!$C$62</f>
        <v>&lt;&lt; Enter description here; provide detail &amp; justification in tab Part IV-b &gt;&gt;</v>
      </c>
      <c r="B31" s="2632"/>
      <c r="C31" s="2632"/>
      <c r="D31" s="2633"/>
      <c r="E31" s="903"/>
      <c r="F31" s="3911"/>
      <c r="G31" s="903"/>
      <c r="H31" s="3911"/>
    </row>
    <row r="32" spans="1:8" s="3910" customFormat="1" ht="41.25" customHeight="1">
      <c r="A32" s="2628"/>
      <c r="B32" s="2629"/>
      <c r="C32" s="2629"/>
      <c r="D32" s="2630"/>
      <c r="E32" s="903"/>
      <c r="F32" s="3912"/>
      <c r="G32" s="903"/>
      <c r="H32" s="3912"/>
    </row>
    <row r="33" spans="1:8" s="3910" customFormat="1" ht="4.5" customHeight="1">
      <c r="A33" s="903"/>
      <c r="B33" s="903"/>
      <c r="C33" s="903"/>
      <c r="D33" s="903"/>
      <c r="E33" s="903"/>
      <c r="F33" s="3912"/>
      <c r="G33" s="903"/>
      <c r="H33" s="3912"/>
    </row>
    <row r="34" spans="1:8" s="3910" customFormat="1" ht="14.25" customHeight="1">
      <c r="A34" s="910" t="s">
        <v>3525</v>
      </c>
      <c r="B34" s="909">
        <f>'Part IV-A-Uses of Funds'!$G$62</f>
        <v>0</v>
      </c>
      <c r="C34" s="910" t="s">
        <v>1745</v>
      </c>
      <c r="D34" s="909">
        <f>'Part IV-A-Uses of Funds'!$J$62+'Part IV-A-Uses of Funds'!$M$62+'Part IV-A-Uses of Funds'!$P$62</f>
        <v>0</v>
      </c>
      <c r="E34" s="903"/>
      <c r="F34" s="3912"/>
      <c r="G34" s="903"/>
      <c r="H34" s="3912"/>
    </row>
    <row r="35" spans="1:8" s="3910" customFormat="1" ht="6" customHeight="1">
      <c r="D35" s="903"/>
      <c r="E35" s="903"/>
      <c r="F35" s="3912"/>
      <c r="G35" s="905"/>
      <c r="H35" s="3912"/>
    </row>
    <row r="36" spans="1:8" s="3910" customFormat="1" ht="41.25" customHeight="1">
      <c r="A36" s="2631" t="str">
        <f>'Part IV-A-Uses of Funds'!$C$63</f>
        <v>&lt;&lt; Enter description here; provide detail &amp; justification in tab Part IV-b &gt;&gt;</v>
      </c>
      <c r="B36" s="2632"/>
      <c r="C36" s="2632"/>
      <c r="D36" s="2633"/>
      <c r="E36" s="903"/>
      <c r="F36" s="3912"/>
      <c r="G36" s="903"/>
      <c r="H36" s="3912"/>
    </row>
    <row r="37" spans="1:8" s="3910" customFormat="1" ht="41.25" customHeight="1">
      <c r="A37" s="2628"/>
      <c r="B37" s="2629"/>
      <c r="C37" s="2629"/>
      <c r="D37" s="2630"/>
      <c r="E37" s="903"/>
      <c r="F37" s="3912"/>
      <c r="G37" s="903"/>
      <c r="H37" s="3912"/>
    </row>
    <row r="38" spans="1:8" s="3910" customFormat="1" ht="4.5" customHeight="1">
      <c r="A38" s="903"/>
      <c r="B38" s="903"/>
      <c r="C38" s="903"/>
      <c r="D38" s="903"/>
      <c r="E38" s="903"/>
      <c r="F38" s="3912"/>
      <c r="G38" s="903"/>
      <c r="H38" s="3912"/>
    </row>
    <row r="39" spans="1:8" s="3910" customFormat="1" ht="14.25" customHeight="1">
      <c r="A39" s="910" t="s">
        <v>3525</v>
      </c>
      <c r="B39" s="909">
        <f>'Part IV-A-Uses of Funds'!$G$63</f>
        <v>0</v>
      </c>
      <c r="C39" s="910" t="s">
        <v>1745</v>
      </c>
      <c r="D39" s="909">
        <f>'Part IV-A-Uses of Funds'!$J$63+'Part IV-A-Uses of Funds'!$M$63+'Part IV-A-Uses of Funds'!$P$63</f>
        <v>0</v>
      </c>
      <c r="E39" s="903"/>
      <c r="F39" s="3912"/>
      <c r="G39" s="903"/>
      <c r="H39" s="3912"/>
    </row>
    <row r="40" spans="1:8" s="3910" customFormat="1" ht="6" customHeight="1">
      <c r="D40" s="903"/>
      <c r="E40" s="903"/>
      <c r="F40" s="3913"/>
      <c r="G40" s="905"/>
      <c r="H40" s="3913"/>
    </row>
    <row r="41" spans="1:8" s="3910" customFormat="1">
      <c r="A41" s="911" t="s">
        <v>467</v>
      </c>
      <c r="B41" s="903"/>
      <c r="C41" s="903"/>
      <c r="D41" s="903"/>
      <c r="E41" s="907"/>
      <c r="F41" s="907"/>
      <c r="G41" s="903"/>
    </row>
    <row r="42" spans="1:8" s="3910" customFormat="1" ht="41.25" customHeight="1">
      <c r="A42" s="2631" t="str">
        <f>'Part IV-A-Uses of Funds'!$C$76</f>
        <v>&lt;&lt; Enter description here; provide detail &amp; justification in tab Part IV-b &gt;&gt;</v>
      </c>
      <c r="B42" s="2632"/>
      <c r="C42" s="2632"/>
      <c r="D42" s="2633"/>
      <c r="F42" s="3914"/>
      <c r="G42" s="903"/>
      <c r="H42" s="3914"/>
    </row>
    <row r="43" spans="1:8" s="3910" customFormat="1" ht="41.25" customHeight="1">
      <c r="A43" s="2628"/>
      <c r="B43" s="2629"/>
      <c r="C43" s="2629"/>
      <c r="D43" s="2630"/>
      <c r="E43" s="903"/>
      <c r="F43" s="3915"/>
      <c r="G43" s="903"/>
      <c r="H43" s="3915"/>
    </row>
    <row r="44" spans="1:8" s="3910" customFormat="1" ht="4.5" customHeight="1">
      <c r="A44" s="903"/>
      <c r="B44" s="903"/>
      <c r="C44" s="903"/>
      <c r="D44" s="903"/>
      <c r="E44" s="903"/>
      <c r="F44" s="3915"/>
      <c r="G44" s="903"/>
      <c r="H44" s="3915"/>
    </row>
    <row r="45" spans="1:8" s="3910" customFormat="1" ht="13.5" customHeight="1">
      <c r="A45" s="910" t="s">
        <v>3525</v>
      </c>
      <c r="B45" s="909">
        <f>'Part IV-A-Uses of Funds'!$G$76</f>
        <v>0</v>
      </c>
      <c r="C45" s="910" t="s">
        <v>1745</v>
      </c>
      <c r="D45" s="909">
        <f>'Part IV-A-Uses of Funds'!$J$76+'Part IV-A-Uses of Funds'!$M$76+'Part IV-A-Uses of Funds'!$P$76</f>
        <v>0</v>
      </c>
      <c r="E45" s="903"/>
      <c r="F45" s="3915"/>
      <c r="G45" s="903"/>
      <c r="H45" s="3915"/>
    </row>
    <row r="46" spans="1:8" s="3910" customFormat="1" ht="6" customHeight="1">
      <c r="A46" s="903"/>
      <c r="B46" s="904"/>
      <c r="C46" s="903"/>
      <c r="D46" s="903"/>
      <c r="E46" s="903"/>
      <c r="F46" s="3916"/>
      <c r="G46" s="905"/>
      <c r="H46" s="3916"/>
    </row>
    <row r="47" spans="1:8" s="3910" customFormat="1">
      <c r="A47" s="911" t="s">
        <v>705</v>
      </c>
      <c r="B47" s="903"/>
      <c r="C47" s="903"/>
      <c r="D47" s="903"/>
      <c r="E47" s="903"/>
      <c r="F47" s="903"/>
      <c r="G47" s="903"/>
    </row>
    <row r="48" spans="1:8" s="3910" customFormat="1" ht="41.25" customHeight="1">
      <c r="A48" s="2631" t="str">
        <f>'Part IV-A-Uses of Funds'!$C$90</f>
        <v>&lt;&lt; Enter description here; provide detail &amp; justification in tab Part IV-b &gt;&gt;</v>
      </c>
      <c r="B48" s="2632"/>
      <c r="C48" s="2632"/>
      <c r="D48" s="2633"/>
      <c r="F48" s="3914"/>
      <c r="G48" s="903"/>
    </row>
    <row r="49" spans="1:7" s="3910" customFormat="1" ht="41.25" customHeight="1">
      <c r="A49" s="2628"/>
      <c r="B49" s="2629"/>
      <c r="C49" s="2629"/>
      <c r="D49" s="2630"/>
      <c r="E49" s="903"/>
      <c r="F49" s="3915"/>
      <c r="G49" s="903"/>
    </row>
    <row r="50" spans="1:7" s="3910" customFormat="1" ht="3" customHeight="1">
      <c r="A50" s="903"/>
      <c r="B50" s="903"/>
      <c r="C50" s="903"/>
      <c r="D50" s="903"/>
      <c r="E50" s="903"/>
      <c r="F50" s="3915"/>
      <c r="G50" s="903"/>
    </row>
    <row r="51" spans="1:7" s="3910" customFormat="1" ht="13.5" customHeight="1">
      <c r="A51" s="910" t="s">
        <v>3525</v>
      </c>
      <c r="B51" s="909">
        <f>'Part IV-A-Uses of Funds'!$G$90</f>
        <v>0</v>
      </c>
      <c r="C51" s="906"/>
      <c r="D51" s="906"/>
      <c r="E51" s="903"/>
      <c r="F51" s="3915"/>
      <c r="G51" s="903"/>
    </row>
    <row r="52" spans="1:7" s="3910" customFormat="1" ht="3.75" customHeight="1">
      <c r="A52" s="903"/>
      <c r="B52" s="903"/>
      <c r="C52" s="903"/>
      <c r="D52" s="903"/>
      <c r="E52" s="903"/>
      <c r="F52" s="3916"/>
      <c r="G52" s="905"/>
    </row>
    <row r="53" spans="1:7" s="3910" customFormat="1">
      <c r="A53" s="911" t="s">
        <v>3526</v>
      </c>
      <c r="B53" s="903"/>
      <c r="C53" s="903"/>
      <c r="D53" s="903"/>
      <c r="E53" s="903"/>
      <c r="F53" s="903"/>
      <c r="G53" s="903"/>
    </row>
    <row r="54" spans="1:7" s="3910" customFormat="1" ht="41.25" customHeight="1">
      <c r="A54" s="2631" t="str">
        <f>'Part IV-A-Uses of Funds'!$C$103</f>
        <v>&lt;&lt; Enter description here; provide detail &amp; justification in tab Part IV-b &gt;&gt;</v>
      </c>
      <c r="B54" s="2632"/>
      <c r="C54" s="2632"/>
      <c r="D54" s="2633"/>
      <c r="F54" s="3911"/>
      <c r="G54" s="903"/>
    </row>
    <row r="55" spans="1:7" s="3910" customFormat="1" ht="41.25" customHeight="1">
      <c r="A55" s="2628"/>
      <c r="B55" s="2629"/>
      <c r="C55" s="2629"/>
      <c r="D55" s="2630"/>
      <c r="E55" s="903"/>
      <c r="F55" s="3912"/>
      <c r="G55" s="903"/>
    </row>
    <row r="56" spans="1:7" s="3910" customFormat="1" ht="3" customHeight="1">
      <c r="A56" s="903"/>
      <c r="B56" s="903"/>
      <c r="C56" s="903"/>
      <c r="D56" s="903"/>
      <c r="E56" s="903"/>
      <c r="F56" s="3912"/>
      <c r="G56" s="903"/>
    </row>
    <row r="57" spans="1:7" s="3910" customFormat="1" ht="10.199999999999999">
      <c r="A57" s="910" t="s">
        <v>3525</v>
      </c>
      <c r="B57" s="909">
        <f>'Part IV-A-Uses of Funds'!$G$103</f>
        <v>0</v>
      </c>
      <c r="C57" s="906"/>
      <c r="D57" s="906"/>
      <c r="E57" s="903"/>
      <c r="F57" s="3912"/>
      <c r="G57" s="903"/>
    </row>
    <row r="58" spans="1:7" s="3910" customFormat="1" ht="3.75" customHeight="1">
      <c r="A58" s="902"/>
      <c r="B58" s="902"/>
      <c r="C58" s="902"/>
      <c r="D58" s="902"/>
      <c r="E58" s="902"/>
      <c r="F58" s="3912"/>
      <c r="G58" s="905"/>
    </row>
    <row r="59" spans="1:7" s="3910" customFormat="1" ht="41.25" customHeight="1">
      <c r="A59" s="2631" t="str">
        <f>'Part IV-A-Uses of Funds'!$C$104</f>
        <v>&lt;&lt; Enter description here; provide detail &amp; justification in tab Part IV-b &gt;&gt;</v>
      </c>
      <c r="B59" s="2632"/>
      <c r="C59" s="2632"/>
      <c r="D59" s="2633"/>
      <c r="F59" s="3912"/>
      <c r="G59" s="903"/>
    </row>
    <row r="60" spans="1:7" s="3910" customFormat="1" ht="41.25" customHeight="1">
      <c r="A60" s="2628"/>
      <c r="B60" s="2629"/>
      <c r="C60" s="2629"/>
      <c r="D60" s="2630"/>
      <c r="E60" s="903"/>
      <c r="F60" s="3912"/>
      <c r="G60" s="903"/>
    </row>
    <row r="61" spans="1:7" s="3910" customFormat="1" ht="3" customHeight="1">
      <c r="A61" s="903"/>
      <c r="B61" s="903"/>
      <c r="C61" s="903"/>
      <c r="D61" s="903"/>
      <c r="E61" s="903"/>
      <c r="F61" s="3912"/>
      <c r="G61" s="903"/>
    </row>
    <row r="62" spans="1:7" s="3910" customFormat="1" ht="10.199999999999999">
      <c r="A62" s="910" t="s">
        <v>3525</v>
      </c>
      <c r="B62" s="909">
        <f>'Part IV-A-Uses of Funds'!$G$104</f>
        <v>0</v>
      </c>
      <c r="C62" s="906"/>
      <c r="D62" s="906"/>
      <c r="E62" s="903"/>
      <c r="F62" s="3912"/>
      <c r="G62" s="903"/>
    </row>
    <row r="63" spans="1:7" s="3910" customFormat="1" ht="3.75" customHeight="1">
      <c r="A63" s="902"/>
      <c r="B63" s="902"/>
      <c r="C63" s="902"/>
      <c r="D63" s="902"/>
      <c r="E63" s="902"/>
      <c r="F63" s="3913"/>
      <c r="G63" s="905"/>
    </row>
    <row r="64" spans="1:7" s="3910" customFormat="1">
      <c r="A64" s="911" t="s">
        <v>3527</v>
      </c>
      <c r="B64" s="903"/>
      <c r="C64" s="903"/>
      <c r="D64" s="903"/>
      <c r="E64" s="903"/>
      <c r="F64" s="903"/>
      <c r="G64" s="903"/>
    </row>
    <row r="65" spans="1:8" s="3910" customFormat="1" ht="41.25" customHeight="1">
      <c r="A65" s="2631" t="str">
        <f>'Part IV-A-Uses of Funds'!$C$110</f>
        <v>&lt;&lt; Enter description here; provide detail &amp; justification in tab Part IV-b &gt;&gt;</v>
      </c>
      <c r="B65" s="2632"/>
      <c r="C65" s="2632"/>
      <c r="D65" s="2633"/>
      <c r="F65" s="3914"/>
      <c r="G65" s="903"/>
    </row>
    <row r="66" spans="1:8" s="3910" customFormat="1" ht="41.25" customHeight="1">
      <c r="A66" s="2628"/>
      <c r="B66" s="2629"/>
      <c r="C66" s="2629"/>
      <c r="D66" s="2630"/>
      <c r="E66" s="903"/>
      <c r="F66" s="3915"/>
      <c r="G66" s="903"/>
    </row>
    <row r="67" spans="1:8" s="3910" customFormat="1" ht="3" customHeight="1">
      <c r="A67" s="903"/>
      <c r="B67" s="903"/>
      <c r="C67" s="903"/>
      <c r="D67" s="903"/>
      <c r="E67" s="903"/>
      <c r="F67" s="3915"/>
      <c r="G67" s="903"/>
    </row>
    <row r="68" spans="1:8" s="3910" customFormat="1" ht="10.199999999999999">
      <c r="A68" s="910" t="s">
        <v>3525</v>
      </c>
      <c r="B68" s="909">
        <f>'Part IV-A-Uses of Funds'!$G$110</f>
        <v>0</v>
      </c>
      <c r="C68" s="906"/>
      <c r="D68" s="906"/>
      <c r="E68" s="903"/>
      <c r="F68" s="3915"/>
      <c r="G68" s="903"/>
    </row>
    <row r="69" spans="1:8" s="3910" customFormat="1" ht="3.75" customHeight="1">
      <c r="A69" s="903"/>
      <c r="B69" s="904"/>
      <c r="C69" s="903"/>
      <c r="D69" s="903"/>
      <c r="E69" s="903"/>
      <c r="F69" s="3916"/>
      <c r="G69" s="905"/>
    </row>
    <row r="70" spans="1:8" s="3910" customFormat="1">
      <c r="A70" s="911" t="s">
        <v>1281</v>
      </c>
      <c r="B70" s="903"/>
      <c r="C70" s="903"/>
      <c r="D70" s="903"/>
      <c r="E70" s="903"/>
      <c r="F70" s="903"/>
      <c r="G70" s="903"/>
    </row>
    <row r="71" spans="1:8" s="3910" customFormat="1" ht="41.25" customHeight="1">
      <c r="A71" s="2631" t="str">
        <f>'Part IV-A-Uses of Funds'!$C$125</f>
        <v>&lt;&lt; Enter description here; provide detail &amp; justification in tab Part IV-b &gt;&gt;</v>
      </c>
      <c r="B71" s="2632"/>
      <c r="C71" s="2632"/>
      <c r="D71" s="2633"/>
      <c r="F71" s="3914"/>
      <c r="G71" s="903"/>
      <c r="H71" s="3914"/>
    </row>
    <row r="72" spans="1:8" s="3910" customFormat="1" ht="41.25" customHeight="1">
      <c r="A72" s="2628"/>
      <c r="B72" s="2629"/>
      <c r="C72" s="2629"/>
      <c r="D72" s="2630"/>
      <c r="E72" s="903"/>
      <c r="F72" s="3915"/>
      <c r="G72" s="903"/>
      <c r="H72" s="3915"/>
    </row>
    <row r="73" spans="1:8" s="3910" customFormat="1" ht="4.5" customHeight="1">
      <c r="A73" s="903"/>
      <c r="B73" s="903"/>
      <c r="C73" s="903"/>
      <c r="D73" s="903"/>
      <c r="E73" s="903"/>
      <c r="F73" s="3915"/>
      <c r="G73" s="903"/>
      <c r="H73" s="3915"/>
    </row>
    <row r="74" spans="1:8" s="3910" customFormat="1" ht="12.75" customHeight="1">
      <c r="A74" s="910" t="s">
        <v>3525</v>
      </c>
      <c r="B74" s="909">
        <f>'Part IV-A-Uses of Funds'!$G$125</f>
        <v>0</v>
      </c>
      <c r="C74" s="910" t="s">
        <v>1745</v>
      </c>
      <c r="D74" s="909">
        <f>'Part IV-A-Uses of Funds'!$J$125+'Part IV-A-Uses of Funds'!$M$125+'Part IV-A-Uses of Funds'!$P$125</f>
        <v>0</v>
      </c>
      <c r="E74" s="903"/>
      <c r="F74" s="3915"/>
      <c r="G74" s="903"/>
      <c r="H74" s="3915"/>
    </row>
    <row r="75" spans="1:8" s="3910" customFormat="1" ht="6" customHeight="1">
      <c r="A75" s="903"/>
      <c r="B75" s="904"/>
      <c r="C75" s="903"/>
      <c r="D75" s="903"/>
      <c r="E75" s="903"/>
      <c r="F75" s="3916"/>
      <c r="G75" s="905"/>
      <c r="H75" s="3916"/>
    </row>
    <row r="76" spans="1:8" s="3910" customFormat="1">
      <c r="A76" s="911" t="s">
        <v>3528</v>
      </c>
      <c r="B76" s="904"/>
      <c r="C76" s="903"/>
      <c r="D76" s="903"/>
      <c r="E76" s="903"/>
      <c r="F76" s="903"/>
      <c r="G76" s="905"/>
    </row>
    <row r="77" spans="1:8" s="3910" customFormat="1" ht="41.25" customHeight="1">
      <c r="A77" s="2631" t="str">
        <f>'Part IV-A-Uses of Funds'!$C$129</f>
        <v>&lt;&lt; Enter description here; provide detail &amp; justification in tab Part IV-b &gt;&gt;</v>
      </c>
      <c r="B77" s="2632"/>
      <c r="C77" s="2632"/>
      <c r="D77" s="2633"/>
      <c r="F77" s="3914"/>
      <c r="G77" s="903"/>
      <c r="H77" s="3914"/>
    </row>
    <row r="78" spans="1:8" s="3910" customFormat="1" ht="41.25" customHeight="1">
      <c r="A78" s="2628"/>
      <c r="B78" s="2629"/>
      <c r="C78" s="2629"/>
      <c r="D78" s="2630"/>
      <c r="E78" s="903"/>
      <c r="F78" s="3915"/>
      <c r="G78" s="903"/>
      <c r="H78" s="3915"/>
    </row>
    <row r="79" spans="1:8" s="3910" customFormat="1" ht="4.5" customHeight="1">
      <c r="A79" s="903"/>
      <c r="B79" s="903"/>
      <c r="C79" s="903"/>
      <c r="D79" s="903"/>
      <c r="E79" s="903"/>
      <c r="F79" s="3915"/>
      <c r="G79" s="903"/>
      <c r="H79" s="3915"/>
    </row>
    <row r="80" spans="1:8" s="3910" customFormat="1" ht="12.75" customHeight="1">
      <c r="A80" s="910" t="s">
        <v>3525</v>
      </c>
      <c r="B80" s="909">
        <f>'Part IV-A-Uses of Funds'!$G$129</f>
        <v>0</v>
      </c>
      <c r="C80" s="910" t="s">
        <v>1745</v>
      </c>
      <c r="D80" s="909">
        <f>'Part IV-A-Uses of Funds'!$J$129+'Part IV-A-Uses of Funds'!$M$129+'Part IV-A-Uses of Funds'!$P$129</f>
        <v>0</v>
      </c>
      <c r="E80" s="908"/>
      <c r="F80" s="3915"/>
      <c r="G80" s="903"/>
      <c r="H80" s="3915"/>
    </row>
    <row r="81" spans="4:8" s="3910" customFormat="1" ht="6" customHeight="1">
      <c r="D81" s="3917"/>
      <c r="E81" s="3918"/>
      <c r="F81" s="3916"/>
      <c r="G81" s="905"/>
      <c r="H81" s="3916"/>
    </row>
    <row r="82" spans="4:8" s="3910" customFormat="1" ht="10.199999999999999"/>
    <row r="83" spans="4:8" s="3910" customFormat="1" ht="10.199999999999999"/>
    <row r="84" spans="4:8" s="3910" customFormat="1" ht="10.199999999999999"/>
    <row r="85" spans="4:8" s="3910" customFormat="1" ht="10.199999999999999"/>
    <row r="86" spans="4:8" s="3910" customFormat="1" ht="10.199999999999999"/>
    <row r="87" spans="4:8" s="3910" customFormat="1" ht="10.199999999999999"/>
    <row r="88" spans="4:8" s="3910" customFormat="1" ht="10.199999999999999"/>
    <row r="89" spans="4:8" s="3910" customFormat="1" ht="10.199999999999999"/>
    <row r="90" spans="4:8" s="3910" customFormat="1" ht="10.199999999999999"/>
    <row r="91" spans="4:8" s="3910" customFormat="1" ht="10.199999999999999"/>
    <row r="92" spans="4:8" s="3910" customFormat="1" ht="10.199999999999999"/>
  </sheetData>
  <sheetProtection algorithmName="SHA-512" hashValue="omoU1uR1qt/FQ+nGR0iq4nf+4b0PkXBz+KQwe7CO6UP6Tt24rFS8k+xaK7A3LfV7+yv1uqs41XFHl6bMzDKzSQ==" saltValue="8RCMijA/xIZuzqTFc4qun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1" zoomScale="150" zoomScaleNormal="150" workbookViewId="0">
      <selection activeCell="A11"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2020-050 Twin Oaks Commons, Ludowici, Long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4114</v>
      </c>
      <c r="I3" s="2370" t="str">
        <f>VLOOKUP('Part I-Project Information'!$J$39,'DCA Underwriting Assumptions'!$G$173:$H$332,2)</f>
        <v>South</v>
      </c>
    </row>
    <row r="4" spans="1:20" s="8" customFormat="1" ht="6" customHeight="1"/>
    <row r="5" spans="1:20">
      <c r="A5" s="251" t="s">
        <v>3608</v>
      </c>
    </row>
    <row r="6" spans="1:20" ht="6" customHeight="1">
      <c r="A6" s="8"/>
    </row>
    <row r="7" spans="1:20" s="8" customFormat="1">
      <c r="A7" s="13" t="s">
        <v>597</v>
      </c>
      <c r="B7" s="13" t="s">
        <v>2169</v>
      </c>
      <c r="F7" s="1" t="s">
        <v>2451</v>
      </c>
      <c r="G7" s="1"/>
      <c r="H7" s="1"/>
      <c r="I7" s="3919" t="s">
        <v>7044</v>
      </c>
      <c r="J7" s="3920"/>
      <c r="K7" s="3920"/>
      <c r="L7" s="3920"/>
      <c r="M7" s="3921"/>
    </row>
    <row r="8" spans="1:20" s="8" customFormat="1" ht="13.35" customHeight="1">
      <c r="A8" s="13"/>
      <c r="F8" s="1" t="s">
        <v>617</v>
      </c>
      <c r="G8" s="1"/>
      <c r="H8" s="33"/>
      <c r="I8" s="3922">
        <v>43831</v>
      </c>
      <c r="J8" s="3923"/>
      <c r="K8" s="6" t="s">
        <v>524</v>
      </c>
      <c r="L8" s="3924" t="s">
        <v>39</v>
      </c>
      <c r="M8" s="3925"/>
    </row>
    <row r="9" spans="1:20" s="8" customFormat="1" ht="4.5" customHeight="1">
      <c r="A9" s="13"/>
    </row>
    <row r="10" spans="1:20" s="13" customFormat="1">
      <c r="B10" s="245"/>
      <c r="C10" s="245"/>
      <c r="D10" s="245"/>
      <c r="E10" s="245"/>
      <c r="F10" s="2636" t="s">
        <v>591</v>
      </c>
      <c r="G10" s="2636"/>
      <c r="I10" s="2637" t="s">
        <v>196</v>
      </c>
      <c r="J10" s="2637"/>
      <c r="K10" s="2637"/>
      <c r="L10" s="2637"/>
      <c r="M10" s="2637"/>
    </row>
    <row r="11" spans="1:20" s="13" customFormat="1">
      <c r="B11" s="245" t="s">
        <v>777</v>
      </c>
      <c r="D11" s="245" t="s">
        <v>1565</v>
      </c>
      <c r="F11" s="2369" t="s">
        <v>623</v>
      </c>
      <c r="G11" s="2369" t="s">
        <v>1802</v>
      </c>
      <c r="I11" s="246" t="s">
        <v>550</v>
      </c>
      <c r="J11" s="247">
        <v>1</v>
      </c>
      <c r="K11" s="247">
        <v>2</v>
      </c>
      <c r="L11" s="247">
        <v>3</v>
      </c>
      <c r="M11" s="247">
        <v>4</v>
      </c>
    </row>
    <row r="12" spans="1:20" s="8" customFormat="1" ht="12" customHeight="1">
      <c r="B12" s="1539" t="s">
        <v>1804</v>
      </c>
      <c r="C12" s="1540"/>
      <c r="D12" s="3926" t="s">
        <v>1562</v>
      </c>
      <c r="E12" s="3927"/>
      <c r="F12" s="3928" t="s">
        <v>433</v>
      </c>
      <c r="G12" s="3928"/>
      <c r="H12" s="993"/>
      <c r="I12" s="3929"/>
      <c r="J12" s="3929">
        <v>13</v>
      </c>
      <c r="K12" s="3929">
        <v>16</v>
      </c>
      <c r="L12" s="3929">
        <v>20</v>
      </c>
      <c r="M12" s="3929"/>
      <c r="O12" s="2639" t="s">
        <v>3620</v>
      </c>
      <c r="P12" s="2639"/>
    </row>
    <row r="13" spans="1:20" s="8" customFormat="1" ht="12" customHeight="1">
      <c r="B13" s="1541" t="s">
        <v>1563</v>
      </c>
      <c r="C13" s="1542"/>
      <c r="D13" s="3930" t="s">
        <v>1562</v>
      </c>
      <c r="E13" s="3931"/>
      <c r="F13" s="3932" t="s">
        <v>433</v>
      </c>
      <c r="G13" s="3932"/>
      <c r="H13" s="992"/>
      <c r="I13" s="3933"/>
      <c r="J13" s="3933">
        <v>7</v>
      </c>
      <c r="K13" s="3933">
        <v>9</v>
      </c>
      <c r="L13" s="3934">
        <v>11</v>
      </c>
      <c r="M13" s="3934"/>
      <c r="O13" s="2639"/>
      <c r="P13" s="2639"/>
    </row>
    <row r="14" spans="1:20" s="8" customFormat="1" ht="12" customHeight="1">
      <c r="B14" s="1543" t="s">
        <v>1564</v>
      </c>
      <c r="C14" s="1544"/>
      <c r="D14" s="3930" t="s">
        <v>1562</v>
      </c>
      <c r="E14" s="3931"/>
      <c r="F14" s="3932" t="s">
        <v>433</v>
      </c>
      <c r="G14" s="3932"/>
      <c r="H14" s="248"/>
      <c r="I14" s="3933"/>
      <c r="J14" s="3933">
        <v>21</v>
      </c>
      <c r="K14" s="3933">
        <v>27</v>
      </c>
      <c r="L14" s="3934">
        <v>33</v>
      </c>
      <c r="M14" s="3934"/>
      <c r="O14" s="2639"/>
      <c r="P14" s="2639"/>
    </row>
    <row r="15" spans="1:20" s="8" customFormat="1" ht="12" customHeight="1">
      <c r="B15" s="1545" t="s">
        <v>458</v>
      </c>
      <c r="C15" s="1546"/>
      <c r="D15" s="1545" t="s">
        <v>1562</v>
      </c>
      <c r="E15" s="249"/>
      <c r="F15" s="3932" t="s">
        <v>433</v>
      </c>
      <c r="G15" s="3932"/>
      <c r="H15" s="991"/>
      <c r="I15" s="3933"/>
      <c r="J15" s="3933">
        <v>12</v>
      </c>
      <c r="K15" s="3933">
        <v>15</v>
      </c>
      <c r="L15" s="3934">
        <v>18</v>
      </c>
      <c r="M15" s="3934"/>
      <c r="O15" s="2639"/>
      <c r="P15" s="2639"/>
    </row>
    <row r="16" spans="1:20" s="8" customFormat="1" ht="12" customHeight="1">
      <c r="B16" s="1547" t="s">
        <v>3605</v>
      </c>
      <c r="C16" s="1542"/>
      <c r="D16" s="1541" t="s">
        <v>1562</v>
      </c>
      <c r="E16" s="990"/>
      <c r="F16" s="3932"/>
      <c r="G16" s="3932"/>
      <c r="H16" s="992"/>
      <c r="I16" s="3933"/>
      <c r="J16" s="3933"/>
      <c r="K16" s="3933"/>
      <c r="L16" s="3934"/>
      <c r="M16" s="3934"/>
      <c r="O16" s="2639"/>
      <c r="P16" s="2639"/>
    </row>
    <row r="17" spans="1:19" s="8" customFormat="1" ht="12" customHeight="1">
      <c r="B17" s="1547" t="s">
        <v>3606</v>
      </c>
      <c r="C17" s="1542"/>
      <c r="D17" s="1541" t="s">
        <v>1562</v>
      </c>
      <c r="E17" s="990"/>
      <c r="F17" s="3932"/>
      <c r="G17" s="3932"/>
      <c r="H17" s="992"/>
      <c r="I17" s="3933"/>
      <c r="J17" s="3933"/>
      <c r="K17" s="3933"/>
      <c r="L17" s="3934"/>
      <c r="M17" s="3934"/>
      <c r="O17" s="2639"/>
      <c r="P17" s="2639"/>
    </row>
    <row r="18" spans="1:19" s="8" customFormat="1" ht="12" customHeight="1">
      <c r="B18" s="1548" t="s">
        <v>3607</v>
      </c>
      <c r="C18" s="1544"/>
      <c r="D18" s="1543" t="s">
        <v>1562</v>
      </c>
      <c r="E18" s="990"/>
      <c r="F18" s="3932" t="s">
        <v>433</v>
      </c>
      <c r="G18" s="3932"/>
      <c r="H18" s="248"/>
      <c r="I18" s="3933"/>
      <c r="J18" s="3933">
        <v>14</v>
      </c>
      <c r="K18" s="3933">
        <v>18</v>
      </c>
      <c r="L18" s="3934">
        <v>23</v>
      </c>
      <c r="M18" s="3934"/>
      <c r="O18" s="2639"/>
      <c r="P18" s="2639"/>
    </row>
    <row r="19" spans="1:19" s="8" customFormat="1" ht="12" customHeight="1">
      <c r="B19" s="1545" t="s">
        <v>1342</v>
      </c>
      <c r="C19" s="1546"/>
      <c r="D19" s="1551" t="s">
        <v>3348</v>
      </c>
      <c r="E19" s="3935" t="s">
        <v>2883</v>
      </c>
      <c r="F19" s="3932"/>
      <c r="G19" s="3932" t="s">
        <v>433</v>
      </c>
      <c r="H19" s="991"/>
      <c r="I19" s="3933"/>
      <c r="J19" s="3933"/>
      <c r="K19" s="3933"/>
      <c r="L19" s="3934"/>
      <c r="M19" s="3934"/>
      <c r="O19" s="2639"/>
      <c r="P19" s="2639"/>
    </row>
    <row r="20" spans="1:19" s="8" customFormat="1" ht="12" customHeight="1">
      <c r="B20" s="1549" t="s">
        <v>1803</v>
      </c>
      <c r="C20" s="1550"/>
      <c r="D20" s="250"/>
      <c r="E20" s="222"/>
      <c r="F20" s="3932"/>
      <c r="G20" s="3932" t="s">
        <v>433</v>
      </c>
      <c r="H20" s="992"/>
      <c r="I20" s="3933"/>
      <c r="J20" s="3933"/>
      <c r="K20" s="3933"/>
      <c r="L20" s="3934"/>
      <c r="M20" s="3934"/>
      <c r="O20" s="2639"/>
      <c r="P20" s="2639"/>
    </row>
    <row r="21" spans="1:19" s="8" customFormat="1" ht="12" customHeight="1">
      <c r="B21" s="1549" t="s">
        <v>722</v>
      </c>
      <c r="C21" s="3083"/>
      <c r="D21" s="2951"/>
      <c r="E21" s="3084"/>
      <c r="F21" s="3936"/>
      <c r="G21" s="3936"/>
      <c r="H21" s="994"/>
      <c r="I21" s="3937"/>
      <c r="J21" s="3937"/>
      <c r="K21" s="3937"/>
      <c r="L21" s="3938"/>
      <c r="M21" s="3938"/>
      <c r="O21" s="2639"/>
      <c r="P21" s="2639"/>
    </row>
    <row r="22" spans="1:19" s="8" customFormat="1">
      <c r="B22" s="245" t="s">
        <v>997</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67</v>
      </c>
      <c r="K22" s="150">
        <f>IF(SUM(K12:K21)=0,0,IF(OR($D12="&lt;&lt;Select Fuel &gt;&gt;",$D13="&lt;&lt;Select Fuel &gt;&gt;",$D14="&lt;&lt;Select Fuel &gt;&gt;"),"Select Fuel",IF($E19="&lt;Select&gt;","Submeter?",SUM(K12:K21))))</f>
        <v>85</v>
      </c>
      <c r="L22" s="150">
        <f>IF(SUM(L12:L21)=0,0,IF(OR($D12="&lt;&lt;Select Fuel &gt;&gt;",$D13="&lt;&lt;Select Fuel &gt;&gt;",$D14="&lt;&lt;Select Fuel &gt;&gt;"),"Select Fuel",IF($E19="&lt;Select&gt;","Submeter?",SUM(L12:L21))))</f>
        <v>105</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939"/>
      <c r="J24" s="3920"/>
      <c r="K24" s="3920"/>
      <c r="L24" s="3920"/>
      <c r="M24" s="3921"/>
    </row>
    <row r="25" spans="1:19" s="8" customFormat="1" ht="13.35" customHeight="1">
      <c r="A25" s="13"/>
      <c r="B25" s="13"/>
      <c r="F25" s="1" t="s">
        <v>617</v>
      </c>
      <c r="G25" s="1"/>
      <c r="H25" s="33"/>
      <c r="I25" s="3922"/>
      <c r="J25" s="3923"/>
      <c r="K25" s="6" t="s">
        <v>524</v>
      </c>
      <c r="L25" s="3924"/>
      <c r="M25" s="3925"/>
    </row>
    <row r="26" spans="1:19" s="8" customFormat="1" ht="4.5" customHeight="1">
      <c r="A26" s="13"/>
    </row>
    <row r="27" spans="1:19" s="13" customFormat="1">
      <c r="B27" s="245"/>
      <c r="C27" s="245"/>
      <c r="D27" s="245"/>
      <c r="E27" s="245"/>
      <c r="F27" s="2636" t="s">
        <v>591</v>
      </c>
      <c r="G27" s="2636"/>
      <c r="I27" s="2637" t="s">
        <v>196</v>
      </c>
      <c r="J27" s="2637"/>
      <c r="K27" s="2637"/>
      <c r="L27" s="2637"/>
      <c r="M27" s="2637"/>
    </row>
    <row r="28" spans="1:19" s="13" customFormat="1">
      <c r="B28" s="245" t="s">
        <v>777</v>
      </c>
      <c r="D28" s="245" t="s">
        <v>1565</v>
      </c>
      <c r="F28" s="2369" t="s">
        <v>623</v>
      </c>
      <c r="G28" s="2369" t="s">
        <v>1802</v>
      </c>
      <c r="I28" s="246" t="s">
        <v>550</v>
      </c>
      <c r="J28" s="247">
        <v>1</v>
      </c>
      <c r="K28" s="247">
        <v>2</v>
      </c>
      <c r="L28" s="247">
        <v>3</v>
      </c>
      <c r="M28" s="247">
        <v>4</v>
      </c>
    </row>
    <row r="29" spans="1:19" s="8" customFormat="1" ht="12" customHeight="1">
      <c r="B29" s="1539" t="s">
        <v>1804</v>
      </c>
      <c r="C29" s="1540"/>
      <c r="D29" s="3926" t="s">
        <v>1773</v>
      </c>
      <c r="E29" s="3927"/>
      <c r="F29" s="3928"/>
      <c r="G29" s="3928"/>
      <c r="H29" s="993"/>
      <c r="I29" s="3929"/>
      <c r="J29" s="3929"/>
      <c r="K29" s="3929"/>
      <c r="L29" s="3929"/>
      <c r="M29" s="3929"/>
      <c r="O29" s="2639" t="s">
        <v>3620</v>
      </c>
      <c r="P29" s="2639"/>
    </row>
    <row r="30" spans="1:19" s="8" customFormat="1" ht="12" customHeight="1">
      <c r="B30" s="1541" t="s">
        <v>1563</v>
      </c>
      <c r="C30" s="1542"/>
      <c r="D30" s="3930" t="s">
        <v>1773</v>
      </c>
      <c r="E30" s="3931"/>
      <c r="F30" s="3932"/>
      <c r="G30" s="3932"/>
      <c r="H30" s="992"/>
      <c r="I30" s="3933"/>
      <c r="J30" s="3933"/>
      <c r="K30" s="3933"/>
      <c r="L30" s="3934"/>
      <c r="M30" s="3934"/>
      <c r="O30" s="2639"/>
      <c r="P30" s="2639"/>
    </row>
    <row r="31" spans="1:19" s="8" customFormat="1" ht="12" customHeight="1">
      <c r="B31" s="1543" t="s">
        <v>1564</v>
      </c>
      <c r="C31" s="1544"/>
      <c r="D31" s="3930" t="s">
        <v>1773</v>
      </c>
      <c r="E31" s="3931"/>
      <c r="F31" s="3932"/>
      <c r="G31" s="3932"/>
      <c r="H31" s="248"/>
      <c r="I31" s="3933"/>
      <c r="J31" s="3933"/>
      <c r="K31" s="3933"/>
      <c r="L31" s="3934"/>
      <c r="M31" s="3934"/>
      <c r="O31" s="2639"/>
      <c r="P31" s="2639"/>
    </row>
    <row r="32" spans="1:19" s="8" customFormat="1" ht="12" customHeight="1">
      <c r="B32" s="1545" t="s">
        <v>458</v>
      </c>
      <c r="C32" s="1546"/>
      <c r="D32" s="1545" t="s">
        <v>1562</v>
      </c>
      <c r="E32" s="249"/>
      <c r="F32" s="3932"/>
      <c r="G32" s="3932"/>
      <c r="H32" s="991"/>
      <c r="I32" s="3933"/>
      <c r="J32" s="3933"/>
      <c r="K32" s="3933"/>
      <c r="L32" s="3934"/>
      <c r="M32" s="3934"/>
      <c r="O32" s="2639"/>
      <c r="P32" s="2639"/>
    </row>
    <row r="33" spans="1:19" s="8" customFormat="1" ht="12" customHeight="1">
      <c r="B33" s="1547" t="s">
        <v>3605</v>
      </c>
      <c r="C33" s="1542"/>
      <c r="D33" s="1541" t="s">
        <v>1562</v>
      </c>
      <c r="E33" s="990"/>
      <c r="F33" s="3932"/>
      <c r="G33" s="3932"/>
      <c r="H33" s="992"/>
      <c r="I33" s="3933"/>
      <c r="J33" s="3933"/>
      <c r="K33" s="3933"/>
      <c r="L33" s="3934"/>
      <c r="M33" s="3934"/>
      <c r="O33" s="2639"/>
      <c r="P33" s="2639"/>
    </row>
    <row r="34" spans="1:19" s="8" customFormat="1" ht="12" customHeight="1">
      <c r="B34" s="1547" t="s">
        <v>3606</v>
      </c>
      <c r="C34" s="1542"/>
      <c r="D34" s="1541" t="s">
        <v>1562</v>
      </c>
      <c r="E34" s="990"/>
      <c r="F34" s="3932"/>
      <c r="G34" s="3932"/>
      <c r="H34" s="992"/>
      <c r="I34" s="3933"/>
      <c r="J34" s="3933"/>
      <c r="K34" s="3933"/>
      <c r="L34" s="3934"/>
      <c r="M34" s="3934"/>
      <c r="O34" s="2639"/>
      <c r="P34" s="2639"/>
    </row>
    <row r="35" spans="1:19" s="8" customFormat="1" ht="12" customHeight="1">
      <c r="B35" s="1548" t="s">
        <v>3607</v>
      </c>
      <c r="C35" s="1544"/>
      <c r="D35" s="1543" t="s">
        <v>1562</v>
      </c>
      <c r="E35" s="990"/>
      <c r="F35" s="3932"/>
      <c r="G35" s="3932"/>
      <c r="H35" s="248"/>
      <c r="I35" s="3933"/>
      <c r="J35" s="3933"/>
      <c r="K35" s="3933"/>
      <c r="L35" s="3934"/>
      <c r="M35" s="3934"/>
      <c r="O35" s="2639"/>
      <c r="P35" s="2639"/>
    </row>
    <row r="36" spans="1:19" s="8" customFormat="1" ht="12" customHeight="1">
      <c r="B36" s="1545" t="s">
        <v>1342</v>
      </c>
      <c r="C36" s="1546"/>
      <c r="D36" s="1551" t="s">
        <v>3348</v>
      </c>
      <c r="E36" s="3935" t="s">
        <v>197</v>
      </c>
      <c r="F36" s="3932"/>
      <c r="G36" s="3932"/>
      <c r="H36" s="991"/>
      <c r="I36" s="3933"/>
      <c r="J36" s="3933"/>
      <c r="K36" s="3933"/>
      <c r="L36" s="3934"/>
      <c r="M36" s="3934"/>
      <c r="O36" s="2639"/>
      <c r="P36" s="2639"/>
    </row>
    <row r="37" spans="1:19" s="8" customFormat="1" ht="12" customHeight="1">
      <c r="B37" s="1549" t="s">
        <v>1803</v>
      </c>
      <c r="C37" s="1550"/>
      <c r="D37" s="250"/>
      <c r="E37" s="222"/>
      <c r="F37" s="3932"/>
      <c r="G37" s="3932"/>
      <c r="H37" s="992"/>
      <c r="I37" s="3933"/>
      <c r="J37" s="3933"/>
      <c r="K37" s="3933"/>
      <c r="L37" s="3934"/>
      <c r="M37" s="3934"/>
      <c r="O37" s="2639"/>
      <c r="P37" s="2639"/>
    </row>
    <row r="38" spans="1:19" s="8" customFormat="1" ht="12" customHeight="1">
      <c r="B38" s="1549" t="s">
        <v>722</v>
      </c>
      <c r="C38" s="3083"/>
      <c r="D38" s="2951"/>
      <c r="E38" s="3084"/>
      <c r="F38" s="3936"/>
      <c r="G38" s="3936"/>
      <c r="H38" s="994"/>
      <c r="I38" s="3937"/>
      <c r="J38" s="3937"/>
      <c r="K38" s="3937"/>
      <c r="L38" s="3938"/>
      <c r="M38" s="3938"/>
      <c r="O38" s="2639"/>
      <c r="P38" s="2639"/>
    </row>
    <row r="39" spans="1:19" s="8" customFormat="1">
      <c r="B39" s="245" t="s">
        <v>997</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69"/>
      <c r="J41" s="2369"/>
      <c r="K41" s="2369"/>
      <c r="L41" s="2369"/>
      <c r="M41" s="2369"/>
    </row>
    <row r="42" spans="1:19" s="8" customFormat="1" ht="12" customHeight="1">
      <c r="A42" s="13"/>
      <c r="B42" s="13" t="s">
        <v>554</v>
      </c>
      <c r="M42" s="27"/>
      <c r="N42" s="27"/>
      <c r="O42" s="27"/>
      <c r="P42" s="27"/>
      <c r="Q42" s="27"/>
      <c r="R42" s="27"/>
      <c r="S42" s="27"/>
    </row>
    <row r="43" spans="1:19" s="8" customFormat="1" ht="24.75" customHeight="1">
      <c r="B43" s="3940" t="s">
        <v>7018</v>
      </c>
      <c r="C43" s="3941"/>
      <c r="D43" s="3941"/>
      <c r="E43" s="3941"/>
      <c r="F43" s="3941"/>
      <c r="G43" s="3941"/>
      <c r="H43" s="3941"/>
      <c r="I43" s="3941"/>
      <c r="J43" s="3941"/>
      <c r="K43" s="3941"/>
      <c r="L43" s="3941"/>
      <c r="M43" s="3942"/>
      <c r="N43" s="27"/>
      <c r="O43" s="2401" t="s">
        <v>2612</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1797</v>
      </c>
      <c r="M45" s="27"/>
      <c r="N45" s="27"/>
      <c r="O45" s="2401"/>
      <c r="P45" s="2401"/>
      <c r="Q45" s="2401"/>
      <c r="R45" s="2401"/>
      <c r="S45" s="2401"/>
    </row>
    <row r="46" spans="1:19" s="8" customFormat="1" ht="24.75" customHeight="1">
      <c r="B46" s="3943"/>
      <c r="C46" s="3944"/>
      <c r="D46" s="3944"/>
      <c r="E46" s="3944"/>
      <c r="F46" s="3944"/>
      <c r="G46" s="3944"/>
      <c r="H46" s="3944"/>
      <c r="I46" s="3944"/>
      <c r="J46" s="3944"/>
      <c r="K46" s="3944"/>
      <c r="L46" s="3944"/>
      <c r="M46" s="3945"/>
      <c r="N46" s="27"/>
      <c r="O46" s="2401"/>
      <c r="P46" s="2401"/>
      <c r="Q46" s="2401"/>
      <c r="R46" s="2401"/>
      <c r="S46" s="2401"/>
    </row>
  </sheetData>
  <sheetProtection algorithmName="SHA-512" hashValue="nMwuW975Vl1XqBakBBYrMNusq1RR16uOP/JKyb/Q49UlD9p42dleWiL6zOmRvihbN9SznY7/iAYw9Ff8fWqzrg==" saltValue="8ZYENbDCCGeEVGuLYA5kp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4" priority="8" operator="equal">
      <formula>"""&lt;&lt;Select Fuel &gt;&gt;"""</formula>
    </cfRule>
  </conditionalFormatting>
  <conditionalFormatting sqref="I22:M22">
    <cfRule type="cellIs" dxfId="173" priority="6" operator="equal">
      <formula>"Select Fuel"</formula>
    </cfRule>
    <cfRule type="cellIs" dxfId="172" priority="7" operator="equal">
      <formula>"&lt;&lt;Select Fuel &gt;&gt;"</formula>
    </cfRule>
  </conditionalFormatting>
  <conditionalFormatting sqref="J22:M22">
    <cfRule type="cellIs" dxfId="171" priority="5" operator="equal">
      <formula>"Select Fuel"</formula>
    </cfRule>
  </conditionalFormatting>
  <conditionalFormatting sqref="I39:M39">
    <cfRule type="cellIs" dxfId="170" priority="4" operator="equal">
      <formula>"""&lt;&lt;Select Fuel &gt;&gt;"""</formula>
    </cfRule>
  </conditionalFormatting>
  <conditionalFormatting sqref="I39:M39">
    <cfRule type="cellIs" dxfId="169" priority="2" operator="equal">
      <formula>"Select Fuel"</formula>
    </cfRule>
    <cfRule type="cellIs" dxfId="168" priority="3" operator="equal">
      <formula>"&lt;&lt;Select Fuel &gt;&gt;"</formula>
    </cfRule>
  </conditionalFormatting>
  <conditionalFormatting sqref="J39:M39">
    <cfRule type="cellIs" dxfId="16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2020-06-02T15:55:26Z</cp:lastPrinted>
  <dcterms:created xsi:type="dcterms:W3CDTF">2005-09-15T20:51:37Z</dcterms:created>
  <dcterms:modified xsi:type="dcterms:W3CDTF">2020-09-28T22:11:10Z</dcterms:modified>
</cp:coreProperties>
</file>