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5D9CD876-1FEA-4EFC-A68C-C4E1F23F0CF8}" xr6:coauthVersionLast="44" xr6:coauthVersionMax="44" xr10:uidLastSave="{00000000-0000-0000-0000-000000000000}"/>
  <workbookProtection workbookAlgorithmName="SHA-512" workbookHashValue="fW+aqS/oIXugp/f4nREhHN89rwcctzS9PRMDvaNYmnm01d0D/wGq5EFB+DzfcXzi0S1NBwTo+P5TwH33pGvNng==" workbookSaltValue="q3mOWZlqWyhit4qge7zJrg==" workbookSpinCount="100000" lockStructure="1"/>
  <bookViews>
    <workbookView xWindow="2352" yWindow="3828" windowWidth="20508"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S55"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K1822" i="94" s="1"/>
  <c r="I1822" i="94"/>
  <c r="J1821" i="94"/>
  <c r="I1821" i="94"/>
  <c r="J1820" i="94"/>
  <c r="I1820" i="94"/>
  <c r="J1819" i="94"/>
  <c r="I1819" i="94"/>
  <c r="J1818" i="94"/>
  <c r="K1818" i="94" s="1"/>
  <c r="M1818" i="94" s="1"/>
  <c r="I1818" i="94"/>
  <c r="H1827" i="94"/>
  <c r="G1827" i="94"/>
  <c r="H1826" i="94"/>
  <c r="G1826" i="94"/>
  <c r="H1825" i="94"/>
  <c r="G1825" i="94"/>
  <c r="H1824" i="94"/>
  <c r="K1824" i="94" s="1"/>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0" i="94"/>
  <c r="M1820" i="94" s="1"/>
  <c r="F1812" i="94"/>
  <c r="Q1783" i="94"/>
  <c r="Q1781" i="94"/>
  <c r="Q1780" i="94"/>
  <c r="Q1769" i="94"/>
  <c r="L1769" i="94"/>
  <c r="J1769" i="94"/>
  <c r="Q1754" i="94"/>
  <c r="Q1753" i="94"/>
  <c r="F1748" i="94"/>
  <c r="Q1746" i="94"/>
  <c r="J1730" i="94"/>
  <c r="Q1711" i="94"/>
  <c r="K1707" i="94"/>
  <c r="O1691" i="94"/>
  <c r="P1688" i="94" s="1"/>
  <c r="J1691" i="94"/>
  <c r="P1684" i="94" s="1"/>
  <c r="F1691" i="94"/>
  <c r="P1683" i="94"/>
  <c r="P1665" i="94"/>
  <c r="M1661" i="94"/>
  <c r="B1661" i="94"/>
  <c r="A1656" i="94"/>
  <c r="Q276" i="72"/>
  <c r="U1818" i="94" l="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H1746" i="94"/>
  <c r="L1774" i="94"/>
  <c r="I1841" i="94"/>
  <c r="K1836" i="94"/>
  <c r="Q1974" i="94"/>
  <c r="L1978" i="94"/>
  <c r="Q1981" i="94"/>
  <c r="R2070" i="94"/>
  <c r="L1869" i="94"/>
  <c r="Q1869"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K1342" i="94"/>
  <c r="H1342" i="94"/>
  <c r="I1342" i="94"/>
  <c r="F1342" i="94"/>
  <c r="N1218" i="94"/>
  <c r="N1222" i="94"/>
  <c r="N1223" i="94" s="1"/>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L979" i="94"/>
  <c r="K979" i="94"/>
  <c r="J979" i="94"/>
  <c r="I979" i="94"/>
  <c r="H979" i="94"/>
  <c r="L978" i="94"/>
  <c r="L980" i="94" s="1"/>
  <c r="K978" i="94"/>
  <c r="J978" i="94"/>
  <c r="I978" i="94"/>
  <c r="I980" i="94" s="1"/>
  <c r="H978" i="94"/>
  <c r="H980" i="94" s="1"/>
  <c r="Q974" i="94"/>
  <c r="P974" i="94"/>
  <c r="O974" i="94"/>
  <c r="N974" i="94"/>
  <c r="M974" i="94"/>
  <c r="M975" i="94" s="1"/>
  <c r="L974" i="94"/>
  <c r="K974" i="94"/>
  <c r="J974" i="94"/>
  <c r="J975" i="94" s="1"/>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N964" i="94"/>
  <c r="M964" i="94"/>
  <c r="L964" i="94"/>
  <c r="K964" i="94"/>
  <c r="J964" i="94"/>
  <c r="I964" i="94"/>
  <c r="H964" i="94"/>
  <c r="H966" i="94" s="1"/>
  <c r="Q961" i="94"/>
  <c r="P961" i="94"/>
  <c r="O961" i="94"/>
  <c r="N961" i="94"/>
  <c r="M961" i="94"/>
  <c r="L961" i="94"/>
  <c r="K961" i="94"/>
  <c r="J961" i="94"/>
  <c r="I961" i="94"/>
  <c r="H961" i="94"/>
  <c r="Q960" i="94"/>
  <c r="P960" i="94"/>
  <c r="O960" i="94"/>
  <c r="N960" i="94"/>
  <c r="M960" i="94"/>
  <c r="L960" i="94"/>
  <c r="L962" i="94" s="1"/>
  <c r="K960" i="94"/>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L951" i="94"/>
  <c r="L953" i="94" s="1"/>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JE781" i="94" s="1"/>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FZ783" i="94" s="1"/>
  <c r="K784" i="94"/>
  <c r="K785" i="94"/>
  <c r="K786" i="94"/>
  <c r="K787" i="94"/>
  <c r="K788" i="94"/>
  <c r="K789" i="94"/>
  <c r="K790" i="94"/>
  <c r="K791" i="94"/>
  <c r="K792" i="94"/>
  <c r="K793" i="94"/>
  <c r="K794" i="94"/>
  <c r="K795" i="94"/>
  <c r="K796" i="94"/>
  <c r="K797" i="94"/>
  <c r="K798" i="94"/>
  <c r="K799" i="94"/>
  <c r="DC799" i="94" s="1"/>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Q975" i="94"/>
  <c r="I975" i="94"/>
  <c r="S972" i="94"/>
  <c r="M971" i="94"/>
  <c r="K971" i="94"/>
  <c r="T968" i="94"/>
  <c r="Q966" i="94"/>
  <c r="I966" i="94"/>
  <c r="S963" i="94"/>
  <c r="Q962" i="94"/>
  <c r="M962" i="94"/>
  <c r="T959" i="94"/>
  <c r="Q957" i="94"/>
  <c r="I957" i="94"/>
  <c r="S954" i="94"/>
  <c r="N953" i="94"/>
  <c r="M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M786" i="94"/>
  <c r="MI786" i="94"/>
  <c r="ME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W786" i="94"/>
  <c r="HS786" i="94"/>
  <c r="HO786" i="94"/>
  <c r="HK786" i="94"/>
  <c r="HG786" i="94"/>
  <c r="HC786" i="94"/>
  <c r="GY786" i="94"/>
  <c r="GU786" i="94"/>
  <c r="GQ786" i="94"/>
  <c r="GM786" i="94"/>
  <c r="GI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HR779" i="94" l="1"/>
  <c r="HG795" i="94"/>
  <c r="MM783" i="94"/>
  <c r="H953" i="94"/>
  <c r="K953" i="94"/>
  <c r="I962" i="94"/>
  <c r="O962" i="94"/>
  <c r="M966" i="94"/>
  <c r="K966" i="94"/>
  <c r="Q971" i="94"/>
  <c r="O971" i="94"/>
  <c r="MY779" i="94"/>
  <c r="MQ779" i="94"/>
  <c r="MX779" i="94"/>
  <c r="MP779" i="94"/>
  <c r="MW779" i="94"/>
  <c r="MV779" i="94"/>
  <c r="MU779" i="94"/>
  <c r="MT779" i="94"/>
  <c r="MR779" i="94"/>
  <c r="MS779" i="94"/>
  <c r="H984" i="94"/>
  <c r="FX812" i="94"/>
  <c r="K962" i="94"/>
  <c r="O966" i="94"/>
  <c r="K980" i="94"/>
  <c r="I984" i="94"/>
  <c r="JW812" i="94"/>
  <c r="O953" i="94"/>
  <c r="AD561" i="94"/>
  <c r="MY816" i="94"/>
  <c r="MQ816" i="94"/>
  <c r="MX816" i="94"/>
  <c r="MP816" i="94"/>
  <c r="MW816" i="94"/>
  <c r="MV816" i="94"/>
  <c r="MR816" i="94"/>
  <c r="MU816" i="94"/>
  <c r="MT816" i="94"/>
  <c r="MS816" i="94"/>
  <c r="MS815" i="94"/>
  <c r="MR815" i="94"/>
  <c r="MY815" i="94"/>
  <c r="MQ815" i="94"/>
  <c r="MX815" i="94"/>
  <c r="MP815" i="94"/>
  <c r="MW815" i="94"/>
  <c r="MT815" i="94"/>
  <c r="MV815" i="94"/>
  <c r="MU815" i="94"/>
  <c r="MU814" i="94"/>
  <c r="MT814" i="94"/>
  <c r="MS814" i="94"/>
  <c r="MR814" i="94"/>
  <c r="MY814" i="94"/>
  <c r="MQ814" i="94"/>
  <c r="MX814" i="94"/>
  <c r="MP814" i="94"/>
  <c r="MW814" i="94"/>
  <c r="MV814" i="94"/>
  <c r="MW813" i="94"/>
  <c r="MV813" i="94"/>
  <c r="MX813" i="94"/>
  <c r="MU813" i="94"/>
  <c r="MP813" i="94"/>
  <c r="MT813" i="94"/>
  <c r="MS813" i="94"/>
  <c r="MR813" i="94"/>
  <c r="MY813" i="94"/>
  <c r="MQ813" i="94"/>
  <c r="MY812" i="94"/>
  <c r="MQ812" i="94"/>
  <c r="MX812" i="94"/>
  <c r="MP812" i="94"/>
  <c r="MW812" i="94"/>
  <c r="MV812" i="94"/>
  <c r="MU812" i="94"/>
  <c r="MT812" i="94"/>
  <c r="MR812" i="94"/>
  <c r="MS812" i="94"/>
  <c r="MS811" i="94"/>
  <c r="MR811" i="94"/>
  <c r="MT811" i="94"/>
  <c r="MY811" i="94"/>
  <c r="MQ811" i="94"/>
  <c r="MX811" i="94"/>
  <c r="MP811" i="94"/>
  <c r="MW811" i="94"/>
  <c r="MV811" i="94"/>
  <c r="MU811" i="94"/>
  <c r="MU810" i="94"/>
  <c r="MT810" i="94"/>
  <c r="MS810" i="94"/>
  <c r="MR810" i="94"/>
  <c r="MY810" i="94"/>
  <c r="MQ810" i="94"/>
  <c r="MX810" i="94"/>
  <c r="MP810" i="94"/>
  <c r="MW810" i="94"/>
  <c r="MV810" i="94"/>
  <c r="MW809" i="94"/>
  <c r="MV809" i="94"/>
  <c r="MX809" i="94"/>
  <c r="MU809" i="94"/>
  <c r="MT809" i="94"/>
  <c r="MS809" i="94"/>
  <c r="MR809" i="94"/>
  <c r="MY809" i="94"/>
  <c r="MQ809" i="94"/>
  <c r="MP809" i="94"/>
  <c r="MY808" i="94"/>
  <c r="MQ808" i="94"/>
  <c r="MX808" i="94"/>
  <c r="MP808" i="94"/>
  <c r="MR808" i="94"/>
  <c r="MW808" i="94"/>
  <c r="MV808" i="94"/>
  <c r="MU808" i="94"/>
  <c r="MT808" i="94"/>
  <c r="MS808" i="94"/>
  <c r="MS807" i="94"/>
  <c r="MR807" i="94"/>
  <c r="MY807" i="94"/>
  <c r="MQ807" i="94"/>
  <c r="MX807" i="94"/>
  <c r="MP807" i="94"/>
  <c r="MW807" i="94"/>
  <c r="MV807" i="94"/>
  <c r="MU807" i="94"/>
  <c r="MT807" i="94"/>
  <c r="MU806" i="94"/>
  <c r="MT806" i="94"/>
  <c r="MV806" i="94"/>
  <c r="MS806" i="94"/>
  <c r="MR806" i="94"/>
  <c r="MY806" i="94"/>
  <c r="MQ806" i="94"/>
  <c r="MX806" i="94"/>
  <c r="MP806" i="94"/>
  <c r="MW806" i="94"/>
  <c r="MW805" i="94"/>
  <c r="MV805" i="94"/>
  <c r="MP805" i="94"/>
  <c r="MU805" i="94"/>
  <c r="MT805" i="94"/>
  <c r="MS805" i="94"/>
  <c r="MR805" i="94"/>
  <c r="MY805" i="94"/>
  <c r="MQ805" i="94"/>
  <c r="MX805" i="94"/>
  <c r="MY804" i="94"/>
  <c r="MQ804" i="94"/>
  <c r="MX804" i="94"/>
  <c r="MP804" i="94"/>
  <c r="MW804" i="94"/>
  <c r="MV804" i="94"/>
  <c r="MU804" i="94"/>
  <c r="MT804" i="94"/>
  <c r="MS804" i="94"/>
  <c r="MR804" i="94"/>
  <c r="MS803" i="94"/>
  <c r="MR803" i="94"/>
  <c r="MT803" i="94"/>
  <c r="MY803" i="94"/>
  <c r="MQ803" i="94"/>
  <c r="MX803" i="94"/>
  <c r="MP803" i="94"/>
  <c r="MW803" i="94"/>
  <c r="MV803" i="94"/>
  <c r="MU803" i="94"/>
  <c r="MU802" i="94"/>
  <c r="MT802" i="94"/>
  <c r="MS802" i="94"/>
  <c r="MR802" i="94"/>
  <c r="MY802" i="94"/>
  <c r="MQ802" i="94"/>
  <c r="MX802" i="94"/>
  <c r="MP802" i="94"/>
  <c r="MW802" i="94"/>
  <c r="MV802" i="94"/>
  <c r="MW801" i="94"/>
  <c r="MV801" i="94"/>
  <c r="MX801" i="94"/>
  <c r="MU801" i="94"/>
  <c r="MT801" i="94"/>
  <c r="MS801" i="94"/>
  <c r="MR801" i="94"/>
  <c r="MY801" i="94"/>
  <c r="MQ801" i="94"/>
  <c r="MP801" i="94"/>
  <c r="MY800" i="94"/>
  <c r="MQ800" i="94"/>
  <c r="MX800" i="94"/>
  <c r="MP800" i="94"/>
  <c r="MR800" i="94"/>
  <c r="MW800" i="94"/>
  <c r="MV800" i="94"/>
  <c r="MU800" i="94"/>
  <c r="MT800" i="94"/>
  <c r="MS800" i="94"/>
  <c r="MS799" i="94"/>
  <c r="MR799" i="94"/>
  <c r="MY799" i="94"/>
  <c r="MQ799" i="94"/>
  <c r="MX799" i="94"/>
  <c r="MP799" i="94"/>
  <c r="MW799" i="94"/>
  <c r="MV799" i="94"/>
  <c r="MU799" i="94"/>
  <c r="MT799" i="94"/>
  <c r="MU798" i="94"/>
  <c r="MT798" i="94"/>
  <c r="MV798" i="94"/>
  <c r="MS798" i="94"/>
  <c r="MR798" i="94"/>
  <c r="MY798" i="94"/>
  <c r="MQ798" i="94"/>
  <c r="MX798" i="94"/>
  <c r="MP798" i="94"/>
  <c r="MW798" i="94"/>
  <c r="MW797" i="94"/>
  <c r="MV797" i="94"/>
  <c r="MU797" i="94"/>
  <c r="MX797" i="94"/>
  <c r="MT797" i="94"/>
  <c r="MS797" i="94"/>
  <c r="MR797" i="94"/>
  <c r="MP797" i="94"/>
  <c r="MY797" i="94"/>
  <c r="MQ797" i="94"/>
  <c r="MY796" i="94"/>
  <c r="MQ796" i="94"/>
  <c r="MX796" i="94"/>
  <c r="MP796" i="94"/>
  <c r="MW796" i="94"/>
  <c r="MV796" i="94"/>
  <c r="MU796" i="94"/>
  <c r="MT796" i="94"/>
  <c r="MS796" i="94"/>
  <c r="MR796" i="94"/>
  <c r="MS795" i="94"/>
  <c r="MR795" i="94"/>
  <c r="MT795" i="94"/>
  <c r="MY795" i="94"/>
  <c r="MQ795" i="94"/>
  <c r="MX795" i="94"/>
  <c r="MP795" i="94"/>
  <c r="MW795" i="94"/>
  <c r="MV795" i="94"/>
  <c r="MU795" i="94"/>
  <c r="MU785" i="94"/>
  <c r="MT785" i="94"/>
  <c r="MS785" i="94"/>
  <c r="MR785" i="94"/>
  <c r="MY785" i="94"/>
  <c r="MQ785" i="94"/>
  <c r="MX785" i="94"/>
  <c r="MP785" i="94"/>
  <c r="MW785" i="94"/>
  <c r="MV785" i="94"/>
  <c r="MW784" i="94"/>
  <c r="MV784" i="94"/>
  <c r="MU784" i="94"/>
  <c r="MT784" i="94"/>
  <c r="MP784" i="94"/>
  <c r="MS784" i="94"/>
  <c r="MX784" i="94"/>
  <c r="MR784" i="94"/>
  <c r="MY784" i="94"/>
  <c r="MQ784" i="94"/>
  <c r="MY783" i="94"/>
  <c r="MQ783" i="94"/>
  <c r="MX783" i="94"/>
  <c r="MP783" i="94"/>
  <c r="MR783" i="94"/>
  <c r="MW783" i="94"/>
  <c r="MV783" i="94"/>
  <c r="MU783" i="94"/>
  <c r="MT783" i="94"/>
  <c r="MS783" i="94"/>
  <c r="MS782" i="94"/>
  <c r="MR782" i="94"/>
  <c r="MY782" i="94"/>
  <c r="MQ782" i="94"/>
  <c r="MX782" i="94"/>
  <c r="MP782" i="94"/>
  <c r="MW782" i="94"/>
  <c r="MV782" i="94"/>
  <c r="MU782" i="94"/>
  <c r="MT782" i="94"/>
  <c r="MU781" i="94"/>
  <c r="MT781" i="94"/>
  <c r="MS781" i="94"/>
  <c r="MR781" i="94"/>
  <c r="MY781" i="94"/>
  <c r="MQ781" i="94"/>
  <c r="MX781" i="94"/>
  <c r="MP781" i="94"/>
  <c r="MW781" i="94"/>
  <c r="MV781" i="94"/>
  <c r="MW780" i="94"/>
  <c r="MV780" i="94"/>
  <c r="MX780" i="94"/>
  <c r="MU780" i="94"/>
  <c r="MT780" i="94"/>
  <c r="MS780" i="94"/>
  <c r="MR780" i="94"/>
  <c r="MY780" i="94"/>
  <c r="MQ780" i="94"/>
  <c r="MP780" i="94"/>
  <c r="ML786" i="94"/>
  <c r="GJ786" i="94"/>
  <c r="GN786" i="94"/>
  <c r="GR786" i="94"/>
  <c r="GV786" i="94"/>
  <c r="GZ786" i="94"/>
  <c r="HD786" i="94"/>
  <c r="HH786" i="94"/>
  <c r="HL786" i="94"/>
  <c r="HP786" i="94"/>
  <c r="HT786" i="94"/>
  <c r="HX786" i="94"/>
  <c r="MB786" i="94"/>
  <c r="MF786" i="94"/>
  <c r="MJ786" i="94"/>
  <c r="MN786" i="94"/>
  <c r="GG786" i="94"/>
  <c r="GK786" i="94"/>
  <c r="GO786" i="94"/>
  <c r="GS786" i="94"/>
  <c r="GW786" i="94"/>
  <c r="HA786" i="94"/>
  <c r="HE786" i="94"/>
  <c r="HI786" i="94"/>
  <c r="HM786" i="94"/>
  <c r="HQ786" i="94"/>
  <c r="HU786" i="94"/>
  <c r="HY786" i="94"/>
  <c r="MC786" i="94"/>
  <c r="MG786" i="94"/>
  <c r="MK786" i="94"/>
  <c r="MO786" i="94"/>
  <c r="GH786" i="94"/>
  <c r="GL786" i="94"/>
  <c r="GP786" i="94"/>
  <c r="GT786" i="94"/>
  <c r="GX786" i="94"/>
  <c r="HB786" i="94"/>
  <c r="HF786" i="94"/>
  <c r="HJ786" i="94"/>
  <c r="HN786" i="94"/>
  <c r="HR786" i="94"/>
  <c r="HV786" i="94"/>
  <c r="MD786" i="94"/>
  <c r="MH786" i="94"/>
  <c r="MY794" i="94"/>
  <c r="MU794" i="94"/>
  <c r="MQ794" i="94"/>
  <c r="MX794" i="94"/>
  <c r="MT794" i="94"/>
  <c r="MP794" i="94"/>
  <c r="MW794" i="94"/>
  <c r="MS794" i="94"/>
  <c r="MV794" i="94"/>
  <c r="MR794" i="94"/>
  <c r="MW793" i="94"/>
  <c r="MS793" i="94"/>
  <c r="MV793" i="94"/>
  <c r="MR793" i="94"/>
  <c r="MY793" i="94"/>
  <c r="MU793" i="94"/>
  <c r="MQ793" i="94"/>
  <c r="MX793" i="94"/>
  <c r="MT793" i="94"/>
  <c r="MP793" i="94"/>
  <c r="MY792" i="94"/>
  <c r="MU792" i="94"/>
  <c r="MQ792" i="94"/>
  <c r="MX792" i="94"/>
  <c r="MT792" i="94"/>
  <c r="MP792" i="94"/>
  <c r="MW792" i="94"/>
  <c r="MS792" i="94"/>
  <c r="MV792" i="94"/>
  <c r="MR792" i="94"/>
  <c r="MW791" i="94"/>
  <c r="MS791" i="94"/>
  <c r="MV791" i="94"/>
  <c r="MR791" i="94"/>
  <c r="MY791" i="94"/>
  <c r="MU791" i="94"/>
  <c r="MQ791" i="94"/>
  <c r="MX791" i="94"/>
  <c r="MT791" i="94"/>
  <c r="MP791" i="94"/>
  <c r="HS791" i="94"/>
  <c r="MY790" i="94"/>
  <c r="MU790" i="94"/>
  <c r="MQ790" i="94"/>
  <c r="MX790" i="94"/>
  <c r="MT790" i="94"/>
  <c r="MP790" i="94"/>
  <c r="MW790" i="94"/>
  <c r="MS790" i="94"/>
  <c r="MV790" i="94"/>
  <c r="MR790" i="94"/>
  <c r="CU790" i="94"/>
  <c r="MW788" i="94"/>
  <c r="MS788" i="94"/>
  <c r="MV788" i="94"/>
  <c r="MR788" i="94"/>
  <c r="MY788" i="94"/>
  <c r="MU788" i="94"/>
  <c r="MQ788" i="94"/>
  <c r="MX788" i="94"/>
  <c r="MT788" i="94"/>
  <c r="MP788" i="94"/>
  <c r="MY787" i="94"/>
  <c r="MU787" i="94"/>
  <c r="MQ787" i="94"/>
  <c r="MX787" i="94"/>
  <c r="MT787" i="94"/>
  <c r="MP787" i="94"/>
  <c r="MW787" i="94"/>
  <c r="MS787" i="94"/>
  <c r="MV787" i="94"/>
  <c r="MR787" i="94"/>
  <c r="HW787" i="94"/>
  <c r="MW786" i="94"/>
  <c r="MS786" i="94"/>
  <c r="MV786" i="94"/>
  <c r="MR786" i="94"/>
  <c r="MY786" i="94"/>
  <c r="MU786" i="94"/>
  <c r="MQ786" i="94"/>
  <c r="MX786" i="94"/>
  <c r="MT786" i="94"/>
  <c r="MP786" i="94"/>
  <c r="MW789" i="94"/>
  <c r="MS789" i="94"/>
  <c r="MV789" i="94"/>
  <c r="MR789" i="94"/>
  <c r="MY789" i="94"/>
  <c r="MU789" i="94"/>
  <c r="MQ789" i="94"/>
  <c r="MX789" i="94"/>
  <c r="MT789" i="94"/>
  <c r="MP789"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HJ817" i="94" s="1"/>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X817" i="94" s="1"/>
  <c r="M885" i="94" s="1"/>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HE817" i="94" s="1"/>
  <c r="O886" i="94" s="1"/>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GJ817" i="94" s="1"/>
  <c r="N882" i="94" s="1"/>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EX817" i="94" s="1"/>
  <c r="K931" i="94" s="1"/>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A817" i="94" s="1"/>
  <c r="N825" i="94" s="1"/>
  <c r="N839" i="94" s="1"/>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R817" i="94" s="1"/>
  <c r="K829" i="94" s="1"/>
  <c r="K851" i="94" s="1"/>
  <c r="AZ779" i="94"/>
  <c r="BH779" i="94"/>
  <c r="BP779" i="94"/>
  <c r="BX779" i="94"/>
  <c r="CF779" i="94"/>
  <c r="CN779" i="94"/>
  <c r="CV779" i="94"/>
  <c r="DD779" i="94"/>
  <c r="DL779" i="94"/>
  <c r="DT779" i="94"/>
  <c r="EB779" i="94"/>
  <c r="EJ779" i="94"/>
  <c r="ER779" i="94"/>
  <c r="EZ779" i="94"/>
  <c r="FH779" i="94"/>
  <c r="FP779" i="94"/>
  <c r="FP817" i="94" s="1"/>
  <c r="N934" i="94" s="1"/>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EU817" i="94" s="1"/>
  <c r="M930" i="94" s="1"/>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LQ817" i="94" s="1"/>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AF817" i="94" s="1"/>
  <c r="N826" i="94" s="1"/>
  <c r="N842" i="94" s="1"/>
  <c r="X813" i="94"/>
  <c r="LV813" i="94"/>
  <c r="FU813" i="94"/>
  <c r="FM813" i="94"/>
  <c r="FE813" i="94"/>
  <c r="EW813" i="94"/>
  <c r="EO813" i="94"/>
  <c r="EO817" i="94" s="1"/>
  <c r="L929" i="94" s="1"/>
  <c r="EG813" i="94"/>
  <c r="EG817" i="94" s="1"/>
  <c r="N835" i="94" s="1"/>
  <c r="BK813" i="94"/>
  <c r="BC813" i="94"/>
  <c r="AU813" i="94"/>
  <c r="AM813" i="94"/>
  <c r="AE813" i="94"/>
  <c r="LU813" i="94"/>
  <c r="FT813" i="94"/>
  <c r="FT817" i="94" s="1"/>
  <c r="M936" i="94" s="1"/>
  <c r="FL813" i="94"/>
  <c r="FL817" i="94" s="1"/>
  <c r="O933" i="94" s="1"/>
  <c r="FD813" i="94"/>
  <c r="KY814" i="94"/>
  <c r="IM814" i="94"/>
  <c r="P953" i="94"/>
  <c r="LX815" i="94"/>
  <c r="MD814" i="94"/>
  <c r="ML814" i="94"/>
  <c r="AE815" i="94"/>
  <c r="AE817" i="94" s="1"/>
  <c r="M826" i="94" s="1"/>
  <c r="M842" i="94" s="1"/>
  <c r="AM815" i="94"/>
  <c r="AU815" i="94"/>
  <c r="BC815" i="94"/>
  <c r="BK815" i="94"/>
  <c r="EK815" i="94"/>
  <c r="ES815" i="94"/>
  <c r="FA815" i="94"/>
  <c r="FI815" i="94"/>
  <c r="FI817" i="94" s="1"/>
  <c r="L933" i="94" s="1"/>
  <c r="FQ815" i="94"/>
  <c r="GD815" i="94"/>
  <c r="HH815" i="94"/>
  <c r="LT815" i="94"/>
  <c r="MO815" i="94"/>
  <c r="AE816" i="94"/>
  <c r="AM816" i="94"/>
  <c r="AU816" i="94"/>
  <c r="AU817" i="94" s="1"/>
  <c r="N829" i="94" s="1"/>
  <c r="N851" i="94" s="1"/>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J817" i="94" s="1"/>
  <c r="M933" i="94" s="1"/>
  <c r="FR815" i="94"/>
  <c r="GE815" i="94"/>
  <c r="HO815" i="94"/>
  <c r="LU815" i="94"/>
  <c r="X816" i="94"/>
  <c r="AF816" i="94"/>
  <c r="AN816" i="94"/>
  <c r="AV816" i="94"/>
  <c r="AV817" i="94" s="1"/>
  <c r="O829" i="94" s="1"/>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O817" i="94" s="1"/>
  <c r="M828" i="94" s="1"/>
  <c r="M848" i="94" s="1"/>
  <c r="AW815" i="94"/>
  <c r="BE815" i="94"/>
  <c r="EE815" i="94"/>
  <c r="EM815" i="94"/>
  <c r="EU815" i="94"/>
  <c r="FC815" i="94"/>
  <c r="FK815" i="94"/>
  <c r="FS815" i="94"/>
  <c r="FS817" i="94" s="1"/>
  <c r="L936" i="94" s="1"/>
  <c r="GF815" i="94"/>
  <c r="HP815" i="94"/>
  <c r="LV815" i="94"/>
  <c r="Y816" i="94"/>
  <c r="AG816" i="94"/>
  <c r="AO816" i="94"/>
  <c r="AW816" i="94"/>
  <c r="BE816" i="94"/>
  <c r="BE817" i="94" s="1"/>
  <c r="N831" i="94" s="1"/>
  <c r="BM816" i="94"/>
  <c r="BU816" i="94"/>
  <c r="CC816" i="94"/>
  <c r="CL816" i="94"/>
  <c r="CU816" i="94"/>
  <c r="DH816" i="94"/>
  <c r="DT816" i="94"/>
  <c r="EE816" i="94"/>
  <c r="EE817" i="94" s="1"/>
  <c r="L835" i="94" s="1"/>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I817" i="94" s="1"/>
  <c r="L827" i="94" s="1"/>
  <c r="L845" i="94" s="1"/>
  <c r="AQ815" i="94"/>
  <c r="AY815" i="94"/>
  <c r="BG815" i="94"/>
  <c r="EG815" i="94"/>
  <c r="EO815" i="94"/>
  <c r="EW815" i="94"/>
  <c r="FE815" i="94"/>
  <c r="FM815" i="94"/>
  <c r="FM817" i="94" s="1"/>
  <c r="K934" i="94" s="1"/>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R817" i="94" s="1"/>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AT817" i="94"/>
  <c r="M829" i="94" s="1"/>
  <c r="M851" i="94" s="1"/>
  <c r="BB817" i="94"/>
  <c r="K831" i="94" s="1"/>
  <c r="K857" i="94" s="1"/>
  <c r="BJ817" i="94"/>
  <c r="N833" i="94" s="1"/>
  <c r="EL817" i="94"/>
  <c r="N928" i="94" s="1"/>
  <c r="ET817" i="94"/>
  <c r="L930" i="94" s="1"/>
  <c r="FB817" i="94"/>
  <c r="O931" i="94" s="1"/>
  <c r="FR817" i="94"/>
  <c r="K936" i="94" s="1"/>
  <c r="GH817" i="94"/>
  <c r="L882"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M817" i="94"/>
  <c r="K828" i="94" s="1"/>
  <c r="K848" i="94" s="1"/>
  <c r="BC817" i="94"/>
  <c r="L831" i="94" s="1"/>
  <c r="L857"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Z817" i="94"/>
  <c r="N830" i="94" s="1"/>
  <c r="N854" i="94" s="1"/>
  <c r="BH817" i="94"/>
  <c r="L833" i="94" s="1"/>
  <c r="EJ817" i="94"/>
  <c r="L928" i="94" s="1"/>
  <c r="ER817" i="94"/>
  <c r="O929" i="94" s="1"/>
  <c r="EZ817" i="94"/>
  <c r="M931" i="94" s="1"/>
  <c r="FH817" i="94"/>
  <c r="K933" i="94" s="1"/>
  <c r="GF817" i="94"/>
  <c r="O938" i="94" s="1"/>
  <c r="LT817" i="94"/>
  <c r="X817" i="94"/>
  <c r="K825" i="94" s="1"/>
  <c r="K839" i="94" s="1"/>
  <c r="AN817" i="94"/>
  <c r="L828" i="94" s="1"/>
  <c r="L848" i="94" s="1"/>
  <c r="BD817" i="94"/>
  <c r="M831" i="94" s="1"/>
  <c r="EN817" i="94"/>
  <c r="K929" i="94" s="1"/>
  <c r="FD817" i="94"/>
  <c r="L932" i="94" s="1"/>
  <c r="EF817" i="94"/>
  <c r="M835" i="94" s="1"/>
  <c r="EV817" i="94"/>
  <c r="N930" i="94" s="1"/>
  <c r="AG817" i="94"/>
  <c r="O826" i="94" s="1"/>
  <c r="O842" i="94" s="1"/>
  <c r="AW817" i="94"/>
  <c r="K830" i="94" s="1"/>
  <c r="K854" i="94" s="1"/>
  <c r="FU817" i="94"/>
  <c r="N936" i="94" s="1"/>
  <c r="Z817" i="94"/>
  <c r="M825" i="94" s="1"/>
  <c r="M839" i="94" s="1"/>
  <c r="AX817" i="94"/>
  <c r="L830" i="94" s="1"/>
  <c r="L854" i="94" s="1"/>
  <c r="BF817" i="94"/>
  <c r="O831" i="94" s="1"/>
  <c r="O857" i="94" s="1"/>
  <c r="EH817" i="94"/>
  <c r="O835" i="94" s="1"/>
  <c r="GD817" i="94"/>
  <c r="M938"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LX817" i="94"/>
  <c r="A816" i="94"/>
  <c r="FE817" i="94"/>
  <c r="M932" i="94" s="1"/>
  <c r="GC817" i="94"/>
  <c r="L938" i="94" s="1"/>
  <c r="AP817" i="94"/>
  <c r="N828" i="94" s="1"/>
  <c r="N848" i="94" s="1"/>
  <c r="EP817" i="94"/>
  <c r="M929" i="94" s="1"/>
  <c r="FF817" i="94"/>
  <c r="N932" i="94" s="1"/>
  <c r="FV817" i="94"/>
  <c r="O936" i="94" s="1"/>
  <c r="F817" i="94"/>
  <c r="E817" i="94"/>
  <c r="O845" i="94"/>
  <c r="M85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MD817" i="94" l="1"/>
  <c r="HF817" i="94"/>
  <c r="HG817" i="94"/>
  <c r="HH817" i="94"/>
  <c r="GO817" i="94"/>
  <c r="N883" i="94" s="1"/>
  <c r="GP817" i="94"/>
  <c r="O883" i="94" s="1"/>
  <c r="FC817" i="94"/>
  <c r="K932" i="94" s="1"/>
  <c r="K935" i="94" s="1"/>
  <c r="K937" i="94" s="1"/>
  <c r="GV817" i="94"/>
  <c r="K885" i="94" s="1"/>
  <c r="HO817" i="94"/>
  <c r="O888" i="94" s="1"/>
  <c r="HP817" i="94"/>
  <c r="K889" i="94" s="1"/>
  <c r="GU817" i="94"/>
  <c r="HX817" i="94"/>
  <c r="GT817" i="94"/>
  <c r="HZ817" i="94"/>
  <c r="HT817" i="94"/>
  <c r="O889" i="94" s="1"/>
  <c r="HQ817" i="94"/>
  <c r="L889" i="94" s="1"/>
  <c r="FK817" i="94"/>
  <c r="N933" i="94" s="1"/>
  <c r="Y817" i="94"/>
  <c r="L825" i="94" s="1"/>
  <c r="L839" i="94" s="1"/>
  <c r="EM817" i="94"/>
  <c r="O928" i="94" s="1"/>
  <c r="ED817" i="94"/>
  <c r="K835" i="94" s="1"/>
  <c r="LW817" i="94"/>
  <c r="GB817" i="94"/>
  <c r="K938" i="94" s="1"/>
  <c r="P938" i="94" s="1"/>
  <c r="FA817" i="94"/>
  <c r="N931" i="94" s="1"/>
  <c r="P931" i="94" s="1"/>
  <c r="BK817" i="94"/>
  <c r="O833" i="94" s="1"/>
  <c r="HI817" i="94"/>
  <c r="HK817" i="94"/>
  <c r="K888" i="94" s="1"/>
  <c r="EW817" i="94"/>
  <c r="O930" i="94" s="1"/>
  <c r="AY817" i="94"/>
  <c r="M830" i="94" s="1"/>
  <c r="M854" i="94" s="1"/>
  <c r="FQ817" i="94"/>
  <c r="O934" i="94" s="1"/>
  <c r="ME817" i="94"/>
  <c r="FN817" i="94"/>
  <c r="L934" i="94" s="1"/>
  <c r="P934" i="94" s="1"/>
  <c r="AH817" i="94"/>
  <c r="K827" i="94" s="1"/>
  <c r="K845" i="94" s="1"/>
  <c r="HW817" i="94"/>
  <c r="IA817" i="94"/>
  <c r="GG817" i="94"/>
  <c r="K882" i="94" s="1"/>
  <c r="GI817" i="94"/>
  <c r="M882" i="94" s="1"/>
  <c r="MJ817" i="94"/>
  <c r="ML817" i="94"/>
  <c r="MK817" i="94"/>
  <c r="HU817" i="94"/>
  <c r="HL817" i="94"/>
  <c r="L888" i="94" s="1"/>
  <c r="GY817" i="94"/>
  <c r="N885" i="94" s="1"/>
  <c r="JY817" i="94"/>
  <c r="L898" i="94" s="1"/>
  <c r="IC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O887" i="94" s="1"/>
  <c r="HA817" i="94"/>
  <c r="K886" i="94" s="1"/>
  <c r="GQ817" i="94"/>
  <c r="K884" i="94" s="1"/>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O851" i="94"/>
  <c r="K890" i="94"/>
  <c r="DO817" i="94"/>
  <c r="K875" i="94" s="1"/>
  <c r="LG817" i="94"/>
  <c r="K905" i="94" s="1"/>
  <c r="N884" i="94"/>
  <c r="P830" i="94"/>
  <c r="L851" i="94"/>
  <c r="P932" i="94"/>
  <c r="DM817" i="94"/>
  <c r="N876" i="94" s="1"/>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832" i="94"/>
  <c r="M834" i="94" s="1"/>
  <c r="M836" i="94" s="1"/>
  <c r="M942"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K919"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N887" i="94"/>
  <c r="CG817" i="94"/>
  <c r="L864" i="94" s="1"/>
  <c r="DG817" i="94"/>
  <c r="M877" i="94" s="1"/>
  <c r="DC817" i="94"/>
  <c r="N878" i="94" s="1"/>
  <c r="DH817" i="94"/>
  <c r="N87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P929" i="94"/>
  <c r="DP817" i="94"/>
  <c r="L875" i="94" s="1"/>
  <c r="DZ817" i="94"/>
  <c r="L873" i="94" s="1"/>
  <c r="CK817" i="94"/>
  <c r="K863" i="94" s="1"/>
  <c r="DA817" i="94"/>
  <c r="L878" i="94" s="1"/>
  <c r="DT817" i="94"/>
  <c r="K874" i="94" s="1"/>
  <c r="DX817" i="94"/>
  <c r="O874" i="94" s="1"/>
  <c r="P827" i="94"/>
  <c r="P845" i="94" s="1"/>
  <c r="P828" i="94"/>
  <c r="P885" i="94"/>
  <c r="N832" i="94"/>
  <c r="N834" i="94" s="1"/>
  <c r="N836" i="94" s="1"/>
  <c r="N942" i="94" s="1"/>
  <c r="N857" i="94"/>
  <c r="K887" i="94"/>
  <c r="Q933" i="94"/>
  <c r="P854" i="94"/>
  <c r="P851"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89" i="94" l="1"/>
  <c r="O884" i="94"/>
  <c r="L935" i="94"/>
  <c r="L937" i="94" s="1"/>
  <c r="L939" i="94" s="1"/>
  <c r="O890" i="94"/>
  <c r="Q930" i="94"/>
  <c r="Q931" i="94"/>
  <c r="O923" i="94"/>
  <c r="L922" i="94"/>
  <c r="K923" i="94"/>
  <c r="N890" i="94"/>
  <c r="L887" i="94"/>
  <c r="L890" i="94"/>
  <c r="P888" i="94"/>
  <c r="L920" i="94"/>
  <c r="Q928" i="94"/>
  <c r="K922" i="94"/>
  <c r="L942" i="94"/>
  <c r="L884" i="94"/>
  <c r="M890" i="94"/>
  <c r="M884" i="94"/>
  <c r="N923" i="94"/>
  <c r="P867" i="94"/>
  <c r="N869" i="94"/>
  <c r="P908" i="94"/>
  <c r="P1008" i="94"/>
  <c r="P866"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P925" i="94" s="1"/>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852" i="94"/>
  <c r="K853" i="94" s="1"/>
  <c r="L852" i="94"/>
  <c r="L853" i="94" s="1"/>
  <c r="M852" i="94"/>
  <c r="M853" i="94" s="1"/>
  <c r="O852" i="94"/>
  <c r="O853" i="94" s="1"/>
  <c r="N852" i="94"/>
  <c r="N853" i="94" s="1"/>
  <c r="K939" i="94"/>
  <c r="P939" i="94" s="1"/>
  <c r="P937" i="94"/>
  <c r="K836"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P849" i="94" l="1"/>
  <c r="P850" i="94" s="1"/>
  <c r="M843" i="94"/>
  <c r="M844" i="94" s="1"/>
  <c r="K849" i="94"/>
  <c r="K850" i="94" s="1"/>
  <c r="P890" i="94"/>
  <c r="P884" i="94"/>
  <c r="P919"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Q1010" i="94" l="1"/>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5" i="75" s="1"/>
  <c r="J22" i="76"/>
  <c r="J24" i="75" s="1"/>
  <c r="I22" i="76"/>
  <c r="J17" i="75" s="1"/>
  <c r="J786" i="94" s="1"/>
  <c r="L786" i="94" s="1"/>
  <c r="M786" i="94" s="1"/>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H57" i="74"/>
  <c r="H65" i="74" s="1"/>
  <c r="H1093" i="94" s="1"/>
  <c r="D59" i="74"/>
  <c r="J92" i="74"/>
  <c r="B40" i="74"/>
  <c r="C120" i="74"/>
  <c r="B60" i="74"/>
  <c r="B1088" i="94" s="1"/>
  <c r="K90" i="74"/>
  <c r="E122" i="74"/>
  <c r="E28" i="74"/>
  <c r="E1056" i="94" s="1"/>
  <c r="D57" i="74"/>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F57" i="74"/>
  <c r="D60" i="74"/>
  <c r="D1088" i="94" s="1"/>
  <c r="H60" i="74"/>
  <c r="D92" i="74"/>
  <c r="H92" i="74"/>
  <c r="H1120" i="94" s="1"/>
  <c r="C122" i="74"/>
  <c r="B28" i="74"/>
  <c r="B1056" i="94" s="1"/>
  <c r="F28" i="74"/>
  <c r="J28" i="74"/>
  <c r="J1056" i="94" s="1"/>
  <c r="G60" i="74"/>
  <c r="G1088" i="94" s="1"/>
  <c r="C92" i="74"/>
  <c r="B122" i="74"/>
  <c r="B1150" i="94" s="1"/>
  <c r="F122" i="74"/>
  <c r="B39" i="74"/>
  <c r="H26" i="74"/>
  <c r="D28" i="74"/>
  <c r="D1056" i="94" s="1"/>
  <c r="H28" i="74"/>
  <c r="H1056" i="94" s="1"/>
  <c r="E60" i="74"/>
  <c r="I60" i="74"/>
  <c r="G89" i="74"/>
  <c r="E92" i="74"/>
  <c r="E1120" i="94" s="1"/>
  <c r="I92" i="74"/>
  <c r="A1" i="73"/>
  <c r="A1" i="75"/>
  <c r="T1" i="75" s="1"/>
  <c r="A1" i="78"/>
  <c r="W1" i="78" s="1"/>
  <c r="A1" i="68"/>
  <c r="S1" i="68" s="1"/>
  <c r="T177" i="72"/>
  <c r="A1" i="67"/>
  <c r="T179" i="72"/>
  <c r="I40" i="66"/>
  <c r="A1" i="76"/>
  <c r="B42" i="74"/>
  <c r="B1070" i="94" s="1"/>
  <c r="B41" i="74"/>
  <c r="C40" i="74"/>
  <c r="C1068" i="94" s="1"/>
  <c r="C39" i="74"/>
  <c r="C1067" i="94" s="1"/>
  <c r="M15" i="75"/>
  <c r="M13" i="75"/>
  <c r="F99" i="74"/>
  <c r="F1127" i="94" s="1"/>
  <c r="K36" i="74"/>
  <c r="K1064" i="94" s="1"/>
  <c r="J36" i="74"/>
  <c r="J1064" i="94" s="1"/>
  <c r="C68" i="74"/>
  <c r="C1096" i="94" s="1"/>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C35" i="74"/>
  <c r="C1063" i="94" s="1"/>
  <c r="F35" i="74"/>
  <c r="F1063" i="94" s="1"/>
  <c r="H42" i="74"/>
  <c r="H1070" i="94" s="1"/>
  <c r="H41" i="74"/>
  <c r="H1069" i="94" s="1"/>
  <c r="I40" i="74"/>
  <c r="I1068" i="94" s="1"/>
  <c r="I39" i="74"/>
  <c r="I1067" i="94" s="1"/>
  <c r="I42" i="74"/>
  <c r="I1070" i="94" s="1"/>
  <c r="I41" i="74"/>
  <c r="I1069" i="94" s="1"/>
  <c r="J40" i="74"/>
  <c r="J1068" i="94" s="1"/>
  <c r="J39" i="74"/>
  <c r="J1067" i="94" s="1"/>
  <c r="K35" i="74"/>
  <c r="K1063" i="94" s="1"/>
  <c r="J42" i="74"/>
  <c r="J1070"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105" i="74"/>
  <c r="F1133" i="94" s="1"/>
  <c r="E104" i="74"/>
  <c r="E1132" i="94" s="1"/>
  <c r="F103" i="74"/>
  <c r="F1131" i="94" s="1"/>
  <c r="F102" i="74"/>
  <c r="F1130" i="94" s="1"/>
  <c r="G105" i="74"/>
  <c r="G1133" i="94" s="1"/>
  <c r="F104" i="74"/>
  <c r="F1132" i="94" s="1"/>
  <c r="G103" i="74"/>
  <c r="G1131" i="94" s="1"/>
  <c r="G102" i="74"/>
  <c r="G1130" i="94" s="1"/>
  <c r="H105" i="74"/>
  <c r="H1133" i="94" s="1"/>
  <c r="G104" i="74"/>
  <c r="G1132" i="94" s="1"/>
  <c r="H103" i="74"/>
  <c r="H1131" i="94" s="1"/>
  <c r="H102" i="74"/>
  <c r="H1130" i="94" s="1"/>
  <c r="I98" i="74"/>
  <c r="I1126" i="94" s="1"/>
  <c r="I105" i="74"/>
  <c r="I1133" i="94" s="1"/>
  <c r="H104" i="74"/>
  <c r="H1132" i="94" s="1"/>
  <c r="I103" i="74"/>
  <c r="I1131" i="94" s="1"/>
  <c r="I102" i="74"/>
  <c r="I1130"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28" i="74"/>
  <c r="D1156" i="94" s="1"/>
  <c r="D135" i="74"/>
  <c r="D1163" i="94" s="1"/>
  <c r="C134" i="74"/>
  <c r="C1162" i="94" s="1"/>
  <c r="D133" i="74"/>
  <c r="D1161" i="94" s="1"/>
  <c r="D132" i="74"/>
  <c r="D1160" i="94" s="1"/>
  <c r="E128" i="74"/>
  <c r="E1156"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B24" i="87" l="1"/>
  <c r="F1085" i="94"/>
  <c r="B22" i="87"/>
  <c r="D1085" i="94"/>
  <c r="F68" i="78"/>
  <c r="E514" i="94"/>
  <c r="F514" i="94" s="1"/>
  <c r="J21" i="75"/>
  <c r="J790" i="94" s="1"/>
  <c r="L790" i="94" s="1"/>
  <c r="M790" i="94" s="1"/>
  <c r="C12" i="86"/>
  <c r="B1069" i="94"/>
  <c r="I68" i="74"/>
  <c r="I1096" i="94" s="1"/>
  <c r="I1088" i="94"/>
  <c r="J25" i="74"/>
  <c r="J89" i="74"/>
  <c r="H37" i="87"/>
  <c r="I1119" i="94"/>
  <c r="J98" i="74"/>
  <c r="J1126" i="94" s="1"/>
  <c r="H38" i="87"/>
  <c r="J1119" i="94"/>
  <c r="H14" i="87"/>
  <c r="F1055" i="94"/>
  <c r="H43" i="87"/>
  <c r="E1149" i="94"/>
  <c r="K25" i="74"/>
  <c r="H25" i="74"/>
  <c r="G25" i="74"/>
  <c r="H19" i="87"/>
  <c r="K1055" i="94"/>
  <c r="J23" i="75"/>
  <c r="B35" i="87"/>
  <c r="G1117" i="94"/>
  <c r="H44" i="87"/>
  <c r="F1149" i="94"/>
  <c r="C31" i="74"/>
  <c r="C1059" i="94" s="1"/>
  <c r="D99" i="74"/>
  <c r="D1127" i="94" s="1"/>
  <c r="D1120" i="94"/>
  <c r="H39" i="87"/>
  <c r="K1119" i="94"/>
  <c r="I89" i="74"/>
  <c r="E68" i="74"/>
  <c r="E1096" i="94" s="1"/>
  <c r="E1088" i="94"/>
  <c r="F25" i="74"/>
  <c r="F36" i="74"/>
  <c r="F1064" i="94" s="1"/>
  <c r="F1056" i="94"/>
  <c r="F89" i="74"/>
  <c r="H11" i="87"/>
  <c r="C1055" i="94"/>
  <c r="H13" i="87"/>
  <c r="E1055" i="94"/>
  <c r="H42" i="87"/>
  <c r="D1149" i="94"/>
  <c r="H18" i="87"/>
  <c r="J1055" i="94"/>
  <c r="C25" i="74"/>
  <c r="C127" i="74"/>
  <c r="C1155" i="94" s="1"/>
  <c r="E41" i="87"/>
  <c r="C1148" i="94"/>
  <c r="E21" i="87"/>
  <c r="C1086" i="94"/>
  <c r="H35" i="87"/>
  <c r="G1119" i="94"/>
  <c r="C89" i="74"/>
  <c r="B68" i="74"/>
  <c r="B1096" i="94" s="1"/>
  <c r="K57" i="74"/>
  <c r="C10" i="86"/>
  <c r="B1067" i="94"/>
  <c r="B89" i="74"/>
  <c r="C36" i="74"/>
  <c r="C1064" i="94" s="1"/>
  <c r="C1056" i="94"/>
  <c r="H67" i="74"/>
  <c r="H1095" i="94" s="1"/>
  <c r="H26" i="87"/>
  <c r="H1087" i="94"/>
  <c r="I35" i="74"/>
  <c r="I1063" i="94" s="1"/>
  <c r="H17" i="87"/>
  <c r="I1055" i="94"/>
  <c r="D35" i="74"/>
  <c r="D1063" i="94" s="1"/>
  <c r="H12" i="87"/>
  <c r="D1055" i="94"/>
  <c r="C67" i="74"/>
  <c r="C1095" i="94" s="1"/>
  <c r="H21" i="87"/>
  <c r="C1087" i="94"/>
  <c r="E119" i="74"/>
  <c r="E129" i="74"/>
  <c r="E1157" i="94" s="1"/>
  <c r="E1150" i="94"/>
  <c r="C11" i="86"/>
  <c r="B1068" i="94"/>
  <c r="E57" i="74"/>
  <c r="I36" i="74"/>
  <c r="I1064" i="94" s="1"/>
  <c r="I1056" i="94"/>
  <c r="H41" i="87"/>
  <c r="C1149" i="94"/>
  <c r="H10" i="87"/>
  <c r="B1055" i="94"/>
  <c r="L63" i="85"/>
  <c r="K1099" i="94"/>
  <c r="I99" i="74"/>
  <c r="I1127" i="94" s="1"/>
  <c r="I1120" i="94"/>
  <c r="G57" i="74"/>
  <c r="B25" i="74"/>
  <c r="C129" i="74"/>
  <c r="C1157" i="94" s="1"/>
  <c r="C1150" i="94"/>
  <c r="H68" i="74"/>
  <c r="H1096" i="94" s="1"/>
  <c r="H1088" i="94"/>
  <c r="I25" i="74"/>
  <c r="D98" i="74"/>
  <c r="D1126" i="94" s="1"/>
  <c r="H32" i="87"/>
  <c r="D1119" i="94"/>
  <c r="B67" i="74"/>
  <c r="B1095" i="94" s="1"/>
  <c r="H20" i="87"/>
  <c r="B1087" i="94"/>
  <c r="H35" i="74"/>
  <c r="H1063" i="94" s="1"/>
  <c r="H16" i="87"/>
  <c r="H1055" i="94"/>
  <c r="G67" i="74"/>
  <c r="G1095" i="94" s="1"/>
  <c r="H25" i="87"/>
  <c r="G1087" i="94"/>
  <c r="B99" i="74"/>
  <c r="B1127" i="94" s="1"/>
  <c r="B1120" i="94"/>
  <c r="D119" i="74"/>
  <c r="J99" i="74"/>
  <c r="J1127" i="94" s="1"/>
  <c r="J1120" i="94"/>
  <c r="D25" i="74"/>
  <c r="B1058" i="94"/>
  <c r="C30" i="74"/>
  <c r="D30" i="74" s="1"/>
  <c r="E30" i="74" s="1"/>
  <c r="F30" i="74" s="1"/>
  <c r="G30" i="74" s="1"/>
  <c r="H30" i="74" s="1"/>
  <c r="I30" i="74" s="1"/>
  <c r="J30" i="74" s="1"/>
  <c r="K30" i="74" s="1"/>
  <c r="B62" i="74" s="1"/>
  <c r="C62" i="74" s="1"/>
  <c r="D62" i="74" s="1"/>
  <c r="E62" i="74" s="1"/>
  <c r="F62" i="74" s="1"/>
  <c r="C99" i="74"/>
  <c r="C1127" i="94" s="1"/>
  <c r="C1120" i="94"/>
  <c r="H30" i="87"/>
  <c r="B1119" i="94"/>
  <c r="E16" i="87"/>
  <c r="H1054" i="94"/>
  <c r="H23" i="87"/>
  <c r="E1087" i="94"/>
  <c r="G35" i="74"/>
  <c r="G1063" i="94" s="1"/>
  <c r="H15" i="87"/>
  <c r="G1055" i="94"/>
  <c r="C57" i="74"/>
  <c r="F129" i="74"/>
  <c r="F1157" i="94" s="1"/>
  <c r="F1150" i="94"/>
  <c r="R1144" i="94" s="1"/>
  <c r="S1144" i="94" s="1"/>
  <c r="F119" i="74"/>
  <c r="E25" i="74"/>
  <c r="H98" i="74"/>
  <c r="H1126" i="94" s="1"/>
  <c r="H36" i="87"/>
  <c r="H1119" i="94"/>
  <c r="H24" i="87"/>
  <c r="F1087" i="94"/>
  <c r="H27" i="87"/>
  <c r="I1087" i="94"/>
  <c r="H29" i="87"/>
  <c r="K1087" i="94"/>
  <c r="H89" i="74"/>
  <c r="E39" i="87"/>
  <c r="K1118" i="94"/>
  <c r="D89" i="74"/>
  <c r="C119" i="74"/>
  <c r="J18" i="75"/>
  <c r="B26" i="87"/>
  <c r="H1085" i="94"/>
  <c r="B57" i="74"/>
  <c r="F98" i="74"/>
  <c r="F1126" i="94" s="1"/>
  <c r="H34" i="87"/>
  <c r="F1119" i="94"/>
  <c r="I57" i="74"/>
  <c r="G96" i="74"/>
  <c r="G1124" i="94" s="1"/>
  <c r="K89" i="74"/>
  <c r="B119" i="74"/>
  <c r="J57" i="74"/>
  <c r="B128" i="74"/>
  <c r="B1156" i="94" s="1"/>
  <c r="H40" i="87"/>
  <c r="B1149" i="94"/>
  <c r="J67" i="74"/>
  <c r="J1095" i="94" s="1"/>
  <c r="H28" i="87"/>
  <c r="J1087" i="94"/>
  <c r="E98" i="74"/>
  <c r="E1126" i="94" s="1"/>
  <c r="H33" i="87"/>
  <c r="E1119" i="94"/>
  <c r="H31" i="87"/>
  <c r="C1119" i="94"/>
  <c r="F68" i="74"/>
  <c r="F1096" i="94" s="1"/>
  <c r="F1088" i="94"/>
  <c r="R1082" i="94" s="1"/>
  <c r="S1082" i="94" s="1"/>
  <c r="E89" i="74"/>
  <c r="D67" i="74"/>
  <c r="D1095" i="94" s="1"/>
  <c r="H22" i="87"/>
  <c r="D1087" i="94"/>
  <c r="K58" i="74"/>
  <c r="P418" i="94"/>
  <c r="J610" i="94"/>
  <c r="J611" i="94" s="1"/>
  <c r="P422" i="94"/>
  <c r="F36" i="78"/>
  <c r="F482" i="94" s="1"/>
  <c r="L411" i="94"/>
  <c r="L412" i="94" s="1"/>
  <c r="F84" i="92"/>
  <c r="E65" i="89"/>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J814" i="94"/>
  <c r="L814" i="94" s="1"/>
  <c r="M814" i="94" s="1"/>
  <c r="L38" i="75"/>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96" i="74"/>
  <c r="C1124" i="94" s="1"/>
  <c r="J33" i="74"/>
  <c r="J1061" i="94" s="1"/>
  <c r="D10" i="86"/>
  <c r="B44" i="78"/>
  <c r="F47" i="78" s="1"/>
  <c r="C8" i="90"/>
  <c r="J20" i="75"/>
  <c r="J789" i="94" s="1"/>
  <c r="L789" i="94" s="1"/>
  <c r="M789" i="94" s="1"/>
  <c r="H50" i="86"/>
  <c r="F37" i="78"/>
  <c r="F483" i="94" s="1"/>
  <c r="D50" i="86"/>
  <c r="F35" i="78"/>
  <c r="J22" i="75"/>
  <c r="J791" i="94" s="1"/>
  <c r="L791" i="94" s="1"/>
  <c r="M791" i="94" s="1"/>
  <c r="L93" i="85"/>
  <c r="E10" i="86"/>
  <c r="C34" i="86"/>
  <c r="C21" i="90"/>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F126" i="74"/>
  <c r="F1154" i="94" s="1"/>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C50" i="86"/>
  <c r="D90" i="74"/>
  <c r="C26" i="74"/>
  <c r="J26" i="74"/>
  <c r="E26" i="74"/>
  <c r="F14" i="86"/>
  <c r="C98" i="74"/>
  <c r="C1126" i="94" s="1"/>
  <c r="E32" i="86"/>
  <c r="F11" i="86"/>
  <c r="J58" i="74"/>
  <c r="F26" i="74"/>
  <c r="J90"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C100" i="74"/>
  <c r="C1128" i="94" s="1"/>
  <c r="D52" i="86"/>
  <c r="I67" i="74"/>
  <c r="I1095" i="94" s="1"/>
  <c r="I30" i="86"/>
  <c r="E69" i="74"/>
  <c r="E1097" i="94" s="1"/>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G34" i="86"/>
  <c r="D96" i="74"/>
  <c r="D1124" i="94" s="1"/>
  <c r="H65" i="82"/>
  <c r="G30" i="86"/>
  <c r="F30" i="86"/>
  <c r="E65" i="82"/>
  <c r="G12" i="86"/>
  <c r="G99" i="74"/>
  <c r="G1127" i="94" s="1"/>
  <c r="C1058" i="94"/>
  <c r="H16" i="86"/>
  <c r="I16" i="86"/>
  <c r="F34" i="86"/>
  <c r="D14" i="86"/>
  <c r="G51" i="86"/>
  <c r="F50" i="86"/>
  <c r="C52" i="86"/>
  <c r="I31" i="86"/>
  <c r="G52" i="86"/>
  <c r="D51" i="86"/>
  <c r="C30" i="86"/>
  <c r="I10" i="86"/>
  <c r="H51" i="86"/>
  <c r="B31" i="74"/>
  <c r="F31" i="86"/>
  <c r="G50" i="86"/>
  <c r="D30" i="86"/>
  <c r="C85" i="90"/>
  <c r="F52" i="86"/>
  <c r="H31" i="86"/>
  <c r="H36" i="74"/>
  <c r="H1064" i="94" s="1"/>
  <c r="C75" i="84"/>
  <c r="B45" i="82"/>
  <c r="R116" i="74"/>
  <c r="S116" i="74" s="1"/>
  <c r="I45" i="82"/>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B100" i="74" l="1"/>
  <c r="B1128" i="94" s="1"/>
  <c r="E30" i="87"/>
  <c r="B1118" i="94"/>
  <c r="G97" i="74"/>
  <c r="G1125" i="94" s="1"/>
  <c r="E35" i="87"/>
  <c r="G1118" i="94"/>
  <c r="L21" i="75"/>
  <c r="M21" i="75" s="1"/>
  <c r="J65" i="74"/>
  <c r="J1093" i="94" s="1"/>
  <c r="B28" i="87"/>
  <c r="J1085" i="94"/>
  <c r="D126" i="74"/>
  <c r="D1154" i="94" s="1"/>
  <c r="B42" i="87"/>
  <c r="D1147" i="94"/>
  <c r="B23" i="87"/>
  <c r="E1085" i="94"/>
  <c r="I96" i="74"/>
  <c r="I1124" i="94" s="1"/>
  <c r="B37" i="87"/>
  <c r="I1117" i="94"/>
  <c r="B19" i="87"/>
  <c r="K1053" i="94"/>
  <c r="K33" i="74"/>
  <c r="K1061" i="94" s="1"/>
  <c r="F65" i="82"/>
  <c r="E24" i="87"/>
  <c r="F1086" i="94"/>
  <c r="B40" i="87"/>
  <c r="B1147" i="94"/>
  <c r="B65" i="74"/>
  <c r="B1093" i="94" s="1"/>
  <c r="B20" i="87"/>
  <c r="B1085" i="94"/>
  <c r="B36" i="87"/>
  <c r="H1117" i="94"/>
  <c r="H96" i="74"/>
  <c r="H1124" i="94" s="1"/>
  <c r="R1114" i="94"/>
  <c r="S1114" i="94" s="1"/>
  <c r="B31" i="87"/>
  <c r="C1117" i="94"/>
  <c r="B11" i="87"/>
  <c r="C1053" i="94"/>
  <c r="C33" i="74"/>
  <c r="C1061" i="94" s="1"/>
  <c r="F130" i="74"/>
  <c r="F1158" i="94" s="1"/>
  <c r="E44" i="87"/>
  <c r="F1148" i="94"/>
  <c r="E127" i="74"/>
  <c r="E1155" i="94" s="1"/>
  <c r="E43" i="87"/>
  <c r="E1148" i="94"/>
  <c r="D130" i="74"/>
  <c r="D1158" i="94" s="1"/>
  <c r="E42" i="87"/>
  <c r="D1148" i="94"/>
  <c r="E17" i="87"/>
  <c r="I1054" i="94"/>
  <c r="D37" i="74"/>
  <c r="D1065" i="94" s="1"/>
  <c r="E12" i="87"/>
  <c r="D1054" i="94"/>
  <c r="B33" i="87"/>
  <c r="E1117" i="94"/>
  <c r="B34" i="87"/>
  <c r="F1117" i="94"/>
  <c r="F96" i="74"/>
  <c r="F1124" i="94" s="1"/>
  <c r="B38" i="87"/>
  <c r="J1117" i="94"/>
  <c r="J96" i="74"/>
  <c r="J1124" i="94" s="1"/>
  <c r="B69" i="74"/>
  <c r="B1097" i="94" s="1"/>
  <c r="E20" i="87"/>
  <c r="B1086" i="94"/>
  <c r="B130" i="74"/>
  <c r="B1158" i="94" s="1"/>
  <c r="E40" i="87"/>
  <c r="B1148" i="94"/>
  <c r="G65" i="82"/>
  <c r="E25" i="87"/>
  <c r="G1086" i="94"/>
  <c r="E10" i="87"/>
  <c r="B1054" i="94"/>
  <c r="E23" i="87"/>
  <c r="E1086" i="94"/>
  <c r="I69" i="74"/>
  <c r="I1097" i="94" s="1"/>
  <c r="E27" i="87"/>
  <c r="I1086" i="94"/>
  <c r="K96" i="74"/>
  <c r="K1124" i="94" s="1"/>
  <c r="B39" i="87"/>
  <c r="K1117" i="94"/>
  <c r="E33" i="74"/>
  <c r="E1061" i="94" s="1"/>
  <c r="B13" i="87"/>
  <c r="E1053" i="94"/>
  <c r="B18" i="87"/>
  <c r="J1053" i="94"/>
  <c r="E37" i="74"/>
  <c r="E1065" i="94" s="1"/>
  <c r="E13" i="87"/>
  <c r="E1054" i="94"/>
  <c r="G37" i="74"/>
  <c r="G1065" i="94" s="1"/>
  <c r="E15" i="87"/>
  <c r="G1054" i="94"/>
  <c r="F100" i="74"/>
  <c r="F1128" i="94" s="1"/>
  <c r="E34" i="87"/>
  <c r="F1118" i="94"/>
  <c r="I100" i="74"/>
  <c r="I1128" i="94" s="1"/>
  <c r="E37" i="87"/>
  <c r="I1118" i="94"/>
  <c r="B44" i="87"/>
  <c r="F1147" i="94"/>
  <c r="B33" i="74"/>
  <c r="B1061" i="94" s="1"/>
  <c r="B10" i="87"/>
  <c r="B1053" i="94"/>
  <c r="B96" i="74"/>
  <c r="B1124" i="94" s="1"/>
  <c r="B30" i="87"/>
  <c r="B1117" i="94"/>
  <c r="E38" i="87"/>
  <c r="J1118" i="94"/>
  <c r="J45" i="82"/>
  <c r="E18" i="87"/>
  <c r="J1054" i="94"/>
  <c r="E22" i="87"/>
  <c r="D1086" i="94"/>
  <c r="K34" i="74"/>
  <c r="K1062" i="94" s="1"/>
  <c r="E19" i="87"/>
  <c r="K1054" i="94"/>
  <c r="I65" i="74"/>
  <c r="I1093" i="94" s="1"/>
  <c r="B27" i="87"/>
  <c r="I1085" i="94"/>
  <c r="C126" i="74"/>
  <c r="C1154" i="94" s="1"/>
  <c r="B41" i="87"/>
  <c r="C1147" i="94"/>
  <c r="B12" i="87"/>
  <c r="D1053" i="94"/>
  <c r="D33" i="74"/>
  <c r="D1061" i="94" s="1"/>
  <c r="B25" i="87"/>
  <c r="G1085" i="94"/>
  <c r="B43" i="87"/>
  <c r="E1147" i="94"/>
  <c r="B14" i="87"/>
  <c r="F1053" i="94"/>
  <c r="E14" i="87"/>
  <c r="F1054" i="94"/>
  <c r="E11" i="87"/>
  <c r="C1054" i="94"/>
  <c r="H100" i="74"/>
  <c r="H1128" i="94" s="1"/>
  <c r="E36" i="87"/>
  <c r="H1118" i="94"/>
  <c r="E26" i="87"/>
  <c r="H1086" i="94"/>
  <c r="E29" i="87"/>
  <c r="K1086" i="94"/>
  <c r="B32" i="87"/>
  <c r="D1117" i="94"/>
  <c r="G33" i="74"/>
  <c r="G1061" i="94" s="1"/>
  <c r="B15" i="87"/>
  <c r="G1053" i="94"/>
  <c r="E31" i="87"/>
  <c r="C1118" i="94"/>
  <c r="J69" i="74"/>
  <c r="J1097" i="94" s="1"/>
  <c r="E28" i="87"/>
  <c r="J1086" i="94"/>
  <c r="D100" i="74"/>
  <c r="D1128" i="94" s="1"/>
  <c r="E32" i="87"/>
  <c r="D1118" i="94"/>
  <c r="E33" i="87"/>
  <c r="E1118" i="94"/>
  <c r="C65" i="74"/>
  <c r="C1093" i="94" s="1"/>
  <c r="B21" i="87"/>
  <c r="C1085" i="94"/>
  <c r="B17" i="87"/>
  <c r="I1053" i="94"/>
  <c r="K65" i="74"/>
  <c r="K1093" i="94" s="1"/>
  <c r="B29" i="87"/>
  <c r="K1085" i="94"/>
  <c r="H33" i="74"/>
  <c r="H1061" i="94" s="1"/>
  <c r="B16" i="87"/>
  <c r="H1053" i="94"/>
  <c r="H18" i="84"/>
  <c r="J18" i="84" s="1"/>
  <c r="M154" i="75"/>
  <c r="B163" i="95"/>
  <c r="B476" i="91"/>
  <c r="B72" i="95"/>
  <c r="B176" i="91"/>
  <c r="B187" i="95"/>
  <c r="B555" i="91"/>
  <c r="B182" i="95"/>
  <c r="B538" i="91"/>
  <c r="B144" i="95"/>
  <c r="B414" i="91"/>
  <c r="B78" i="95"/>
  <c r="B187" i="91"/>
  <c r="B38" i="95"/>
  <c r="B63" i="91"/>
  <c r="B126" i="95"/>
  <c r="B346" i="91"/>
  <c r="B150" i="95"/>
  <c r="B425" i="91"/>
  <c r="B91" i="95"/>
  <c r="B238" i="91"/>
  <c r="B139" i="95"/>
  <c r="B397" i="91"/>
  <c r="B158" i="95"/>
  <c r="B459" i="91"/>
  <c r="B54" i="95"/>
  <c r="B108" i="91"/>
  <c r="B102" i="95"/>
  <c r="B266" i="91"/>
  <c r="B192" i="95"/>
  <c r="B572"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F1091" i="94"/>
  <c r="E1091" i="94"/>
  <c r="H14" i="86"/>
  <c r="G1059" i="94"/>
  <c r="E34" i="86"/>
  <c r="K1059" i="94"/>
  <c r="F1059" i="94"/>
  <c r="E14" i="86"/>
  <c r="D1059" i="94"/>
  <c r="I1059" i="94"/>
  <c r="J1059" i="94"/>
  <c r="B1059" i="94"/>
  <c r="B43" i="74"/>
  <c r="D1091" i="94"/>
  <c r="E1059" i="94"/>
  <c r="I14" i="86"/>
  <c r="H1059" i="94"/>
  <c r="C1091" i="94"/>
  <c r="B1091" i="94"/>
  <c r="F34" i="78"/>
  <c r="F481" i="94"/>
  <c r="F480" i="94" s="1"/>
  <c r="G1881" i="94"/>
  <c r="J2057" i="94"/>
  <c r="P1215" i="94"/>
  <c r="I438" i="94"/>
  <c r="H92" i="73"/>
  <c r="T1836" i="94"/>
  <c r="H1262" i="94"/>
  <c r="Q998" i="94"/>
  <c r="K65" i="94"/>
  <c r="P150" i="72"/>
  <c r="P1805" i="94" s="1"/>
  <c r="P1830" i="94"/>
  <c r="P333" i="72"/>
  <c r="P1988" i="94" s="1"/>
  <c r="P1995" i="94"/>
  <c r="L1993" i="94"/>
  <c r="Q1993" i="94"/>
  <c r="P74" i="72"/>
  <c r="P1729" i="94" s="1"/>
  <c r="P1750" i="94"/>
  <c r="K37" i="74"/>
  <c r="K1065" i="94" s="1"/>
  <c r="J37" i="74"/>
  <c r="J1065" i="94" s="1"/>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E1058" i="94" l="1"/>
  <c r="D1058" i="94"/>
  <c r="I1232" i="94"/>
  <c r="I51" i="73"/>
  <c r="F1221" i="94"/>
  <c r="I1221" i="94" s="1"/>
  <c r="I45" i="73"/>
  <c r="F1215" i="94"/>
  <c r="I1215" i="94" s="1"/>
  <c r="I49" i="73"/>
  <c r="F1219" i="94"/>
  <c r="I1219" i="94" s="1"/>
  <c r="I1225" i="94"/>
  <c r="H57" i="73"/>
  <c r="H1227" i="94" s="1"/>
  <c r="F1227" i="94"/>
  <c r="I1227" i="94" s="1"/>
  <c r="H63" i="73"/>
  <c r="H1233" i="94" s="1"/>
  <c r="F1233" i="94"/>
  <c r="I1233" i="94" s="1"/>
  <c r="N1225" i="94"/>
  <c r="I58" i="73"/>
  <c r="F1228" i="94"/>
  <c r="I1228" i="94" s="1"/>
  <c r="B1071" i="94"/>
  <c r="C43" i="74"/>
  <c r="P428" i="94"/>
  <c r="P429" i="94"/>
  <c r="I439"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51" i="73"/>
  <c r="M51" i="73"/>
  <c r="I56" i="73"/>
  <c r="F60" i="73"/>
  <c r="H56" i="73"/>
  <c r="H1226" i="94" s="1"/>
  <c r="M64" i="73"/>
  <c r="M1234" i="94" s="1"/>
  <c r="N64" i="73"/>
  <c r="N57" i="73"/>
  <c r="M57" i="73"/>
  <c r="M1227" i="94" s="1"/>
  <c r="N48" i="73"/>
  <c r="M48" i="73"/>
  <c r="M62" i="73"/>
  <c r="M1232" i="94" s="1"/>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I1218" i="94" l="1"/>
  <c r="N1211" i="94"/>
  <c r="K463" i="73"/>
  <c r="K1633" i="94"/>
  <c r="N66" i="73"/>
  <c r="K1236" i="94"/>
  <c r="N1236" i="94" s="1"/>
  <c r="I52" i="73"/>
  <c r="F1222" i="94"/>
  <c r="I1222" i="94" s="1"/>
  <c r="I1230" i="94"/>
  <c r="N1630" i="94"/>
  <c r="N1629" i="94"/>
  <c r="K1230" i="94"/>
  <c r="F1230" i="94"/>
  <c r="N65" i="73"/>
  <c r="K1235" i="94"/>
  <c r="M45" i="73"/>
  <c r="M1215" i="94" s="1"/>
  <c r="K1215" i="94"/>
  <c r="N1215" i="94" s="1"/>
  <c r="N1230" i="94"/>
  <c r="I66" i="73"/>
  <c r="F1236" i="94"/>
  <c r="I1236" i="94" s="1"/>
  <c r="I1237" i="94" s="1"/>
  <c r="M43" i="73"/>
  <c r="M1213" i="94" s="1"/>
  <c r="K1213" i="94"/>
  <c r="N1213" i="94" s="1"/>
  <c r="I1211" i="94"/>
  <c r="I1216" i="94" s="1"/>
  <c r="F1216" i="94"/>
  <c r="E14" i="74"/>
  <c r="B1042" i="94"/>
  <c r="C1071" i="94"/>
  <c r="D43" i="74"/>
  <c r="P430"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G1232" i="94"/>
  <c r="L42" i="73"/>
  <c r="L1212" i="94" s="1"/>
  <c r="G1212" i="94"/>
  <c r="L63" i="73"/>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O33" i="86" s="1"/>
  <c r="H63" i="86" s="1"/>
  <c r="N56" i="73"/>
  <c r="K60" i="73"/>
  <c r="M56" i="73"/>
  <c r="M1226" i="94" s="1"/>
  <c r="I61" i="66"/>
  <c r="D1042" i="94" l="1"/>
  <c r="C1042" i="94"/>
  <c r="E1042" i="94"/>
  <c r="F1042" i="94"/>
  <c r="L1233" i="94"/>
  <c r="N1233" i="94" s="1"/>
  <c r="N63" i="73"/>
  <c r="L1232" i="94"/>
  <c r="N1232" i="94" s="1"/>
  <c r="N62" i="73"/>
  <c r="N67" i="73" s="1"/>
  <c r="K1216" i="94"/>
  <c r="H8" i="88"/>
  <c r="I8" i="88" s="1"/>
  <c r="J600" i="94"/>
  <c r="J601" i="94" s="1"/>
  <c r="J603" i="94" s="1"/>
  <c r="N1216" i="94"/>
  <c r="M600" i="94"/>
  <c r="M601" i="94" s="1"/>
  <c r="M603" i="94" s="1"/>
  <c r="N1235" i="94"/>
  <c r="K1237" i="94"/>
  <c r="F1223" i="94"/>
  <c r="F1237" i="94"/>
  <c r="I1223" i="94"/>
  <c r="H1239" i="94" s="1"/>
  <c r="D1071" i="94"/>
  <c r="E43" i="74"/>
  <c r="N1003" i="94"/>
  <c r="Q1003" i="94"/>
  <c r="B15" i="74"/>
  <c r="H947" i="94"/>
  <c r="P947" i="94" s="1"/>
  <c r="K13" i="84"/>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H20" i="84"/>
  <c r="C20" i="84"/>
  <c r="P154" i="78"/>
  <c r="P155" i="78" s="1"/>
  <c r="P157" i="78" s="1"/>
  <c r="E172" i="90"/>
  <c r="E173" i="90" s="1"/>
  <c r="B22" i="74"/>
  <c r="B1050" i="94" s="1"/>
  <c r="C66" i="84"/>
  <c r="N234" i="75"/>
  <c r="Q234" i="75"/>
  <c r="I53" i="73"/>
  <c r="F69" i="73"/>
  <c r="N1634" i="94" l="1"/>
  <c r="O1634" i="94" s="1"/>
  <c r="S1805" i="94"/>
  <c r="N1237" i="94"/>
  <c r="C15" i="74"/>
  <c r="G1042" i="94"/>
  <c r="J604" i="94"/>
  <c r="D15" i="74"/>
  <c r="G15" i="74"/>
  <c r="G1043" i="94" s="1"/>
  <c r="F1239" i="94"/>
  <c r="M1239" i="94"/>
  <c r="O2077" i="94"/>
  <c r="O2078" i="94" s="1"/>
  <c r="I1941" i="94"/>
  <c r="O2083" i="94"/>
  <c r="O2084" i="94" s="1"/>
  <c r="O1402" i="94"/>
  <c r="AE562" i="94"/>
  <c r="M1478" i="94"/>
  <c r="L1478" i="94" s="1"/>
  <c r="M1475" i="94"/>
  <c r="L1475" i="94" s="1"/>
  <c r="AE559" i="94"/>
  <c r="N1631" i="94"/>
  <c r="AE560" i="94"/>
  <c r="AE563" i="94"/>
  <c r="AE561" i="94"/>
  <c r="AE564" i="94"/>
  <c r="Q229" i="75"/>
  <c r="K1239" i="94"/>
  <c r="E15" i="74"/>
  <c r="B16" i="74"/>
  <c r="L4" i="95" s="1"/>
  <c r="C53" i="84"/>
  <c r="I53" i="84" s="1"/>
  <c r="I54" i="84" s="1"/>
  <c r="I56" i="84" s="1"/>
  <c r="I64" i="84" s="1"/>
  <c r="F15" i="74"/>
  <c r="B1043" i="94"/>
  <c r="E1071" i="94"/>
  <c r="F43"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O58" i="72"/>
  <c r="O1713" i="94" s="1"/>
  <c r="C16" i="74"/>
  <c r="C1044" i="94" s="1"/>
  <c r="C54" i="84"/>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G21" i="74" l="1"/>
  <c r="G1049" i="94" s="1"/>
  <c r="E1043" i="94"/>
  <c r="H1042" i="94"/>
  <c r="B21" i="74"/>
  <c r="K7" i="74" s="1"/>
  <c r="K1035" i="94" s="1"/>
  <c r="D1043" i="94"/>
  <c r="D16" i="74"/>
  <c r="D1044" i="94" s="1"/>
  <c r="C1043" i="94"/>
  <c r="C21" i="74"/>
  <c r="K5" i="74"/>
  <c r="K1033" i="94" s="1"/>
  <c r="J4" i="91"/>
  <c r="K53" i="84"/>
  <c r="K54" i="84" s="1"/>
  <c r="K56" i="84" s="1"/>
  <c r="K64" i="84" s="1"/>
  <c r="B19" i="74"/>
  <c r="B1047" i="94" s="1"/>
  <c r="B1044" i="94"/>
  <c r="AF559" i="94"/>
  <c r="AF562" i="94"/>
  <c r="N1633" i="94"/>
  <c r="K1634" i="94"/>
  <c r="G53" i="84"/>
  <c r="G54" i="84" s="1"/>
  <c r="E16" i="74"/>
  <c r="E1044" i="94" s="1"/>
  <c r="C56" i="84"/>
  <c r="C64" i="84" s="1"/>
  <c r="E53" i="84"/>
  <c r="E54" i="84" s="1"/>
  <c r="E56" i="84" s="1"/>
  <c r="E64" i="84" s="1"/>
  <c r="F1043" i="94"/>
  <c r="F16" i="74"/>
  <c r="F21" i="74" s="1"/>
  <c r="F1071" i="94"/>
  <c r="G43" i="74"/>
  <c r="P58" i="72"/>
  <c r="P1714" i="94"/>
  <c r="J612" i="94"/>
  <c r="M611" i="94" s="1"/>
  <c r="P1233" i="94"/>
  <c r="O86" i="75"/>
  <c r="O87" i="75" s="1"/>
  <c r="M86" i="75"/>
  <c r="M87" i="75" s="1"/>
  <c r="K86" i="75"/>
  <c r="L86" i="75"/>
  <c r="L87" i="75" s="1"/>
  <c r="N86" i="75"/>
  <c r="M74" i="75"/>
  <c r="M75" i="75" s="1"/>
  <c r="N74" i="75"/>
  <c r="N75" i="75" s="1"/>
  <c r="L74" i="75"/>
  <c r="L75" i="75" s="1"/>
  <c r="K74" i="75"/>
  <c r="K75" i="75" s="1"/>
  <c r="O74" i="75"/>
  <c r="O75" i="75" s="1"/>
  <c r="O77" i="75"/>
  <c r="O78" i="75" s="1"/>
  <c r="M77" i="75"/>
  <c r="M78" i="75" s="1"/>
  <c r="K77" i="75"/>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K78" i="75"/>
  <c r="P77" i="75"/>
  <c r="P78" i="75" s="1"/>
  <c r="P83" i="75"/>
  <c r="P84" i="75" s="1"/>
  <c r="P74" i="75"/>
  <c r="P75" i="75" s="1"/>
  <c r="P80" i="75"/>
  <c r="P81" i="75" s="1"/>
  <c r="P89" i="75"/>
  <c r="P90" i="75" s="1"/>
  <c r="N87" i="75"/>
  <c r="K87" i="75"/>
  <c r="P86" i="75"/>
  <c r="P87" i="75" s="1"/>
  <c r="AF116" i="78"/>
  <c r="P71" i="75"/>
  <c r="P72" i="75" s="1"/>
  <c r="K464" i="73"/>
  <c r="H19" i="84"/>
  <c r="AF113" i="78"/>
  <c r="D17" i="83"/>
  <c r="C19" i="84"/>
  <c r="F16" i="85"/>
  <c r="K19" i="88"/>
  <c r="I39" i="88" s="1"/>
  <c r="K38" i="88" s="1"/>
  <c r="J166" i="78"/>
  <c r="M165" i="78" s="1"/>
  <c r="O50" i="72"/>
  <c r="O1705" i="94" s="1"/>
  <c r="R1705" i="94" s="1"/>
  <c r="D19" i="74"/>
  <c r="D1047" i="94" s="1"/>
  <c r="C19" i="74"/>
  <c r="C1047" i="94" s="1"/>
  <c r="G19" i="74"/>
  <c r="G1047" i="94" s="1"/>
  <c r="C33" i="86"/>
  <c r="D13" i="86"/>
  <c r="H16" i="74"/>
  <c r="H1044" i="94" s="1"/>
  <c r="E13" i="86"/>
  <c r="I53" i="82"/>
  <c r="J1058" i="94"/>
  <c r="L240" i="72"/>
  <c r="K240" i="72"/>
  <c r="I23" i="74"/>
  <c r="I1051" i="94" s="1"/>
  <c r="J13" i="74"/>
  <c r="I15" i="74"/>
  <c r="I1043" i="94" s="1"/>
  <c r="I14" i="74"/>
  <c r="I13" i="86"/>
  <c r="H13" i="86"/>
  <c r="F13" i="86"/>
  <c r="G13" i="86"/>
  <c r="A9" i="83"/>
  <c r="F1049" i="94" l="1"/>
  <c r="B1049" i="94"/>
  <c r="Q988" i="94"/>
  <c r="Q219" i="75"/>
  <c r="E21" i="74"/>
  <c r="I1042" i="94"/>
  <c r="C1049" i="94"/>
  <c r="D21" i="74"/>
  <c r="H21" i="74"/>
  <c r="E19" i="74"/>
  <c r="E1047" i="94" s="1"/>
  <c r="E118" i="78"/>
  <c r="A118" i="78" s="1"/>
  <c r="G56" i="84"/>
  <c r="G64" i="84" s="1"/>
  <c r="F1044" i="94"/>
  <c r="F19" i="74"/>
  <c r="G1071" i="94"/>
  <c r="H43" i="74"/>
  <c r="P1713" i="94"/>
  <c r="P50" i="72"/>
  <c r="P1705" i="94" s="1"/>
  <c r="K21" i="88"/>
  <c r="K30" i="88" s="1"/>
  <c r="K34" i="88" s="1"/>
  <c r="J169" i="78"/>
  <c r="J615" i="94" s="1"/>
  <c r="J617" i="94" s="1"/>
  <c r="J619" i="94" s="1"/>
  <c r="J622" i="94" s="1"/>
  <c r="J626" i="94" s="1"/>
  <c r="K13" i="88"/>
  <c r="R50" i="72"/>
  <c r="K1058" i="94"/>
  <c r="J53" i="82"/>
  <c r="K13" i="74"/>
  <c r="J23" i="74"/>
  <c r="J1051" i="94" s="1"/>
  <c r="J14" i="74"/>
  <c r="J15" i="74"/>
  <c r="J1043" i="94" s="1"/>
  <c r="J22" i="74"/>
  <c r="J1050" i="94" s="1"/>
  <c r="I16" i="74"/>
  <c r="I1044" i="94" s="1"/>
  <c r="H19" i="74"/>
  <c r="H1047" i="94" s="1"/>
  <c r="I21" i="74" l="1"/>
  <c r="I1049" i="94" s="1"/>
  <c r="D1049" i="94"/>
  <c r="Q996" i="94"/>
  <c r="O990" i="94"/>
  <c r="O989" i="94"/>
  <c r="J1042" i="94"/>
  <c r="J21" i="74"/>
  <c r="J1049" i="94" s="1"/>
  <c r="E1049" i="94"/>
  <c r="H1049" i="94"/>
  <c r="C68" i="84"/>
  <c r="Q227" i="75"/>
  <c r="O220" i="75"/>
  <c r="O221" i="75"/>
  <c r="M628" i="94"/>
  <c r="J630" i="94"/>
  <c r="E564" i="94"/>
  <c r="A564" i="94" s="1"/>
  <c r="F1047" i="94"/>
  <c r="H1071" i="94"/>
  <c r="I43" i="74"/>
  <c r="J171" i="78"/>
  <c r="J173" i="78" s="1"/>
  <c r="I19" i="74"/>
  <c r="K23" i="74"/>
  <c r="K1051" i="94" s="1"/>
  <c r="B45" i="74"/>
  <c r="K14" i="74"/>
  <c r="K15" i="74"/>
  <c r="K1043" i="94" s="1"/>
  <c r="K22" i="74"/>
  <c r="K1050" i="94" s="1"/>
  <c r="D33" i="86"/>
  <c r="B1090" i="94"/>
  <c r="K53" i="82"/>
  <c r="J16" i="74"/>
  <c r="J1044" i="94" s="1"/>
  <c r="K1042" i="94" l="1"/>
  <c r="K68" i="84"/>
  <c r="K70" i="84" s="1"/>
  <c r="G68" i="84"/>
  <c r="G70" i="84" s="1"/>
  <c r="E68" i="84"/>
  <c r="E70" i="84" s="1"/>
  <c r="I68" i="84"/>
  <c r="I70" i="84" s="1"/>
  <c r="C70" i="84"/>
  <c r="F122" i="78"/>
  <c r="F568" i="94" s="1"/>
  <c r="F121" i="78"/>
  <c r="F567" i="94" s="1"/>
  <c r="B20" i="74"/>
  <c r="Q246" i="75"/>
  <c r="P228" i="75"/>
  <c r="N227" i="75"/>
  <c r="N996" i="94"/>
  <c r="P997" i="94"/>
  <c r="Q1015" i="94"/>
  <c r="I1071" i="94"/>
  <c r="J43" i="74"/>
  <c r="B15" i="82"/>
  <c r="J176" i="78"/>
  <c r="J180" i="78" s="1"/>
  <c r="I1047" i="94"/>
  <c r="J19" i="74"/>
  <c r="K16" i="74"/>
  <c r="K1044" i="94" s="1"/>
  <c r="C45" i="74"/>
  <c r="B55" i="74"/>
  <c r="B1083" i="94" s="1"/>
  <c r="B47" i="74"/>
  <c r="B1075" i="94" s="1"/>
  <c r="B46" i="74"/>
  <c r="B52" i="74"/>
  <c r="B54" i="74"/>
  <c r="B1082" i="94" s="1"/>
  <c r="C1090" i="94"/>
  <c r="B73" i="82"/>
  <c r="E33" i="86"/>
  <c r="G72" i="84" l="1"/>
  <c r="G76" i="84"/>
  <c r="G73" i="84" s="1"/>
  <c r="C76" i="84"/>
  <c r="C73" i="84" s="1"/>
  <c r="C72" i="84"/>
  <c r="K72" i="84"/>
  <c r="K76" i="84"/>
  <c r="K73" i="84" s="1"/>
  <c r="B38" i="74"/>
  <c r="B1066" i="94" s="1"/>
  <c r="D20" i="74"/>
  <c r="F20" i="74"/>
  <c r="E20" i="74"/>
  <c r="C20" i="74"/>
  <c r="B1048" i="94"/>
  <c r="G20" i="74"/>
  <c r="H20" i="74"/>
  <c r="I20" i="74"/>
  <c r="B24" i="74"/>
  <c r="J20" i="74"/>
  <c r="K20" i="74"/>
  <c r="K1048" i="94" s="1"/>
  <c r="I76" i="84"/>
  <c r="I73" i="84" s="1"/>
  <c r="I72" i="84"/>
  <c r="K21" i="74"/>
  <c r="B1074" i="94"/>
  <c r="E76" i="84"/>
  <c r="E73" i="84" s="1"/>
  <c r="E72" i="84"/>
  <c r="J184" i="78"/>
  <c r="M182" i="78"/>
  <c r="B1080" i="94"/>
  <c r="J1071" i="94"/>
  <c r="K43" i="74"/>
  <c r="J24" i="74"/>
  <c r="J1052" i="94" s="1"/>
  <c r="J1047" i="94"/>
  <c r="C73" i="82"/>
  <c r="D1090" i="94"/>
  <c r="C47" i="74"/>
  <c r="C1075" i="94" s="1"/>
  <c r="C55" i="74"/>
  <c r="C1083" i="94" s="1"/>
  <c r="D45" i="74"/>
  <c r="C46" i="74"/>
  <c r="C52" i="74"/>
  <c r="C54" i="74"/>
  <c r="C1082" i="94" s="1"/>
  <c r="B48" i="74"/>
  <c r="B1076" i="94" s="1"/>
  <c r="F33" i="86"/>
  <c r="K19" i="74"/>
  <c r="K1047" i="94" s="1"/>
  <c r="D1048" i="94" l="1"/>
  <c r="D24" i="74"/>
  <c r="D38" i="74"/>
  <c r="D1066" i="94" s="1"/>
  <c r="B53" i="74"/>
  <c r="I1048" i="94"/>
  <c r="I38" i="74"/>
  <c r="I1066" i="94" s="1"/>
  <c r="I24" i="74"/>
  <c r="C1048" i="94"/>
  <c r="C24" i="74"/>
  <c r="C38" i="74"/>
  <c r="C1066" i="94" s="1"/>
  <c r="H1048" i="94"/>
  <c r="H38" i="74"/>
  <c r="H1066" i="94" s="1"/>
  <c r="H24" i="74"/>
  <c r="E1048" i="94"/>
  <c r="E24" i="74"/>
  <c r="E38" i="74"/>
  <c r="E1066" i="94" s="1"/>
  <c r="B1052" i="94"/>
  <c r="B32" i="74"/>
  <c r="B44" i="82"/>
  <c r="C1074" i="94"/>
  <c r="K1049" i="94"/>
  <c r="K38" i="74"/>
  <c r="K1066" i="94" s="1"/>
  <c r="J1048" i="94"/>
  <c r="J38" i="74"/>
  <c r="J1066" i="94" s="1"/>
  <c r="G1048" i="94"/>
  <c r="G38" i="74"/>
  <c r="G1066" i="94" s="1"/>
  <c r="G24" i="74"/>
  <c r="F1048" i="94"/>
  <c r="F38" i="74"/>
  <c r="F1066" i="94" s="1"/>
  <c r="F24" i="74"/>
  <c r="M61" i="85"/>
  <c r="P61" i="85" s="1"/>
  <c r="L50" i="68"/>
  <c r="E99" i="78"/>
  <c r="L49" i="68"/>
  <c r="I34" i="94"/>
  <c r="I9" i="66"/>
  <c r="C21" i="86"/>
  <c r="C1080" i="94"/>
  <c r="J32" i="74"/>
  <c r="J44" i="82"/>
  <c r="J46" i="82" s="1"/>
  <c r="K1071" i="94"/>
  <c r="B75" i="74"/>
  <c r="E45" i="74"/>
  <c r="D55" i="74"/>
  <c r="D1083" i="94" s="1"/>
  <c r="D47" i="74"/>
  <c r="D1075" i="94" s="1"/>
  <c r="D46" i="74"/>
  <c r="D52" i="74"/>
  <c r="D54" i="74"/>
  <c r="D1082" i="94" s="1"/>
  <c r="E1090" i="94"/>
  <c r="D73" i="82"/>
  <c r="G33" i="86"/>
  <c r="K24" i="74"/>
  <c r="K1052" i="94" s="1"/>
  <c r="B51" i="74"/>
  <c r="B1079" i="94" s="1"/>
  <c r="C48" i="74"/>
  <c r="C1076" i="94" s="1"/>
  <c r="B1081" i="94" l="1"/>
  <c r="B70" i="74"/>
  <c r="B1098" i="94" s="1"/>
  <c r="F44" i="82"/>
  <c r="F32" i="74"/>
  <c r="F1052" i="94"/>
  <c r="B51" i="82"/>
  <c r="B46" i="82"/>
  <c r="E1052" i="94"/>
  <c r="E32" i="74"/>
  <c r="E44" i="82"/>
  <c r="I1052" i="94"/>
  <c r="I44" i="82"/>
  <c r="I32" i="74"/>
  <c r="B1060" i="94"/>
  <c r="C9" i="86"/>
  <c r="C17" i="86" s="1"/>
  <c r="C18" i="86" s="1"/>
  <c r="C20" i="86" s="1"/>
  <c r="C24" i="86" s="1"/>
  <c r="K6" i="86" s="1"/>
  <c r="G66" i="86" s="1"/>
  <c r="N85" i="85" s="1"/>
  <c r="S20" i="74"/>
  <c r="S1048" i="94" s="1"/>
  <c r="D44" i="82"/>
  <c r="D32" i="74"/>
  <c r="D1052" i="94"/>
  <c r="D1074" i="94"/>
  <c r="G1052" i="94"/>
  <c r="G44" i="82"/>
  <c r="G32" i="74"/>
  <c r="C53" i="74"/>
  <c r="H1052" i="94"/>
  <c r="H44" i="82"/>
  <c r="H32" i="74"/>
  <c r="C32" i="74"/>
  <c r="C1052" i="94"/>
  <c r="C44" i="82"/>
  <c r="E545" i="94"/>
  <c r="J545" i="94" s="1"/>
  <c r="J99" i="78"/>
  <c r="N50" i="68"/>
  <c r="N429" i="94" s="1"/>
  <c r="L429" i="94"/>
  <c r="N49" i="68"/>
  <c r="N428" i="94" s="1"/>
  <c r="B14" i="82"/>
  <c r="L428" i="94"/>
  <c r="C41" i="86"/>
  <c r="D41" i="86" s="1"/>
  <c r="E41" i="86" s="1"/>
  <c r="C22" i="86"/>
  <c r="C42" i="86" s="1"/>
  <c r="D42" i="86" s="1"/>
  <c r="E42" i="86" s="1"/>
  <c r="D21" i="86"/>
  <c r="D1080" i="94"/>
  <c r="J51" i="82"/>
  <c r="D29" i="86"/>
  <c r="D37" i="86" s="1"/>
  <c r="D38" i="86" s="1"/>
  <c r="D40" i="86" s="1"/>
  <c r="D44" i="86" s="1"/>
  <c r="K14" i="86" s="1"/>
  <c r="J1060" i="94"/>
  <c r="B1103" i="94"/>
  <c r="C75" i="74"/>
  <c r="C51" i="74"/>
  <c r="E73" i="82"/>
  <c r="F1090" i="94"/>
  <c r="D48" i="74"/>
  <c r="D1076" i="94" s="1"/>
  <c r="B56" i="74"/>
  <c r="B1084" i="94" s="1"/>
  <c r="K44" i="82"/>
  <c r="K32" i="74"/>
  <c r="K1060" i="94" s="1"/>
  <c r="E46" i="74"/>
  <c r="E55" i="74"/>
  <c r="E1083" i="94" s="1"/>
  <c r="F45" i="74"/>
  <c r="E47" i="74"/>
  <c r="E1075" i="94" s="1"/>
  <c r="E52" i="74"/>
  <c r="E54" i="74"/>
  <c r="E1082" i="94" s="1"/>
  <c r="H33" i="86"/>
  <c r="C1060" i="94" l="1"/>
  <c r="D9" i="86"/>
  <c r="D17" i="86" s="1"/>
  <c r="D18" i="86" s="1"/>
  <c r="D20" i="86" s="1"/>
  <c r="D24" i="86" s="1"/>
  <c r="K7" i="86" s="1"/>
  <c r="S27" i="74"/>
  <c r="S1055" i="94" s="1"/>
  <c r="C1081" i="94"/>
  <c r="C70" i="74"/>
  <c r="C1098" i="94" s="1"/>
  <c r="D53" i="74"/>
  <c r="D46" i="82"/>
  <c r="D51" i="82"/>
  <c r="S21" i="74"/>
  <c r="S1049" i="94" s="1"/>
  <c r="F46" i="82"/>
  <c r="F51" i="82"/>
  <c r="D1060" i="94"/>
  <c r="E9" i="86"/>
  <c r="E17" i="86" s="1"/>
  <c r="E18" i="86" s="1"/>
  <c r="E20" i="86" s="1"/>
  <c r="E24" i="86" s="1"/>
  <c r="K8" i="86" s="1"/>
  <c r="S22" i="74"/>
  <c r="S1050" i="94" s="1"/>
  <c r="S25" i="74"/>
  <c r="S1053" i="94" s="1"/>
  <c r="G9" i="86"/>
  <c r="G17" i="86" s="1"/>
  <c r="G18" i="86" s="1"/>
  <c r="G20" i="86" s="1"/>
  <c r="G24" i="86" s="1"/>
  <c r="K10" i="86" s="1"/>
  <c r="F1060" i="94"/>
  <c r="E1074" i="94"/>
  <c r="S24" i="74"/>
  <c r="S1052" i="94" s="1"/>
  <c r="S28" i="74"/>
  <c r="S1056" i="94" s="1"/>
  <c r="E46" i="82"/>
  <c r="E51" i="82"/>
  <c r="I46" i="82"/>
  <c r="I51" i="82"/>
  <c r="H1060" i="94"/>
  <c r="I9" i="86"/>
  <c r="I17" i="86" s="1"/>
  <c r="I18" i="86" s="1"/>
  <c r="I20" i="86" s="1"/>
  <c r="I24" i="86" s="1"/>
  <c r="K12" i="86" s="1"/>
  <c r="H9" i="86"/>
  <c r="H17" i="86" s="1"/>
  <c r="H18" i="86" s="1"/>
  <c r="H20" i="86" s="1"/>
  <c r="H24" i="86" s="1"/>
  <c r="K11" i="86" s="1"/>
  <c r="G1060" i="94"/>
  <c r="C46" i="82"/>
  <c r="C51" i="82"/>
  <c r="H46" i="82"/>
  <c r="H51" i="82"/>
  <c r="G51" i="82"/>
  <c r="G46" i="82"/>
  <c r="S26" i="74"/>
  <c r="S1054" i="94" s="1"/>
  <c r="S23" i="74"/>
  <c r="S1051" i="94" s="1"/>
  <c r="I1060" i="94"/>
  <c r="C29" i="86"/>
  <c r="C37" i="86" s="1"/>
  <c r="C38" i="86" s="1"/>
  <c r="C40" i="86" s="1"/>
  <c r="C44" i="86" s="1"/>
  <c r="K13" i="86" s="1"/>
  <c r="F9" i="86"/>
  <c r="F17" i="86" s="1"/>
  <c r="F18" i="86" s="1"/>
  <c r="F20" i="86" s="1"/>
  <c r="F24" i="86" s="1"/>
  <c r="K9" i="86" s="1"/>
  <c r="E1060" i="94"/>
  <c r="B20" i="82"/>
  <c r="B21" i="82" s="1"/>
  <c r="G20" i="82"/>
  <c r="E21" i="86"/>
  <c r="D22" i="86"/>
  <c r="E1080" i="94"/>
  <c r="C1103" i="94"/>
  <c r="D75" i="74"/>
  <c r="C56" i="74"/>
  <c r="C108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1074" i="94" l="1"/>
  <c r="E53" i="74"/>
  <c r="D1081" i="94"/>
  <c r="D70" i="74"/>
  <c r="D1098" i="94" s="1"/>
  <c r="B25" i="82"/>
  <c r="G72" i="82" s="1"/>
  <c r="F21" i="86"/>
  <c r="E22" i="86"/>
  <c r="F1080" i="94"/>
  <c r="D1103" i="94"/>
  <c r="E75" i="74"/>
  <c r="C64" i="82"/>
  <c r="C66" i="82" s="1"/>
  <c r="C64" i="74"/>
  <c r="C1092" i="94" s="1"/>
  <c r="E51" i="74"/>
  <c r="E1079" i="94" s="1"/>
  <c r="E72" i="82"/>
  <c r="I72" i="82"/>
  <c r="H52" i="82"/>
  <c r="H54" i="82" s="1"/>
  <c r="B26" i="82"/>
  <c r="J72" i="82"/>
  <c r="F52" i="82"/>
  <c r="F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G46" i="74"/>
  <c r="G52" i="74"/>
  <c r="G54" i="74"/>
  <c r="G1082" i="94" s="1"/>
  <c r="D52" i="82" l="1"/>
  <c r="D54" i="82" s="1"/>
  <c r="C52" i="82"/>
  <c r="C54" i="82" s="1"/>
  <c r="E52" i="82"/>
  <c r="E54" i="82" s="1"/>
  <c r="C72" i="82"/>
  <c r="I52" i="82"/>
  <c r="I54" i="82" s="1"/>
  <c r="I55" i="82" s="1"/>
  <c r="I56" i="82" s="1"/>
  <c r="D72" i="82"/>
  <c r="G52" i="82"/>
  <c r="G54" i="82" s="1"/>
  <c r="G55" i="82" s="1"/>
  <c r="G56" i="82" s="1"/>
  <c r="B72" i="82"/>
  <c r="B74" i="82" s="1"/>
  <c r="B75" i="82" s="1"/>
  <c r="F72" i="82"/>
  <c r="E1081" i="94"/>
  <c r="E70" i="74"/>
  <c r="E1098" i="94" s="1"/>
  <c r="G1074" i="94"/>
  <c r="F53" i="74"/>
  <c r="K52" i="82"/>
  <c r="K54" i="82" s="1"/>
  <c r="K55" i="82" s="1"/>
  <c r="K56" i="82" s="1"/>
  <c r="J52" i="82"/>
  <c r="J54" i="82" s="1"/>
  <c r="J55" i="82" s="1"/>
  <c r="J56" i="82" s="1"/>
  <c r="H72" i="82"/>
  <c r="B52" i="82"/>
  <c r="B54" i="82" s="1"/>
  <c r="G21" i="86"/>
  <c r="F22" i="86"/>
  <c r="G1080" i="94"/>
  <c r="C71" i="82"/>
  <c r="C74" i="82" s="1"/>
  <c r="C75" i="82" s="1"/>
  <c r="C76" i="82" s="1"/>
  <c r="S31" i="74"/>
  <c r="S1059" i="94" s="1"/>
  <c r="E1103" i="94"/>
  <c r="F75" i="74"/>
  <c r="G29" i="86"/>
  <c r="G37" i="86" s="1"/>
  <c r="G38" i="86" s="1"/>
  <c r="G40" i="86" s="1"/>
  <c r="G44" i="86" s="1"/>
  <c r="K17" i="86" s="1"/>
  <c r="E56" i="74"/>
  <c r="B55" i="82"/>
  <c r="B56" i="82" s="1"/>
  <c r="B5" i="82"/>
  <c r="B6" i="82" s="1"/>
  <c r="B7" i="82" s="1"/>
  <c r="B28" i="82"/>
  <c r="B9" i="82"/>
  <c r="B10" i="82" s="1"/>
  <c r="B11" i="82" s="1"/>
  <c r="H73" i="82"/>
  <c r="I62" i="74"/>
  <c r="I1090" i="94"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081" i="94" l="1"/>
  <c r="F70" i="74"/>
  <c r="F1098" i="94" s="1"/>
  <c r="H1074" i="9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3" i="74"/>
  <c r="G22" i="86"/>
  <c r="H21" i="86"/>
  <c r="H1080" i="94"/>
  <c r="F1103" i="94"/>
  <c r="G75" i="74"/>
  <c r="G1103" i="94" s="1"/>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1090" i="94"/>
  <c r="I73" i="82"/>
  <c r="F56" i="74"/>
  <c r="F1084" i="94" s="1"/>
  <c r="H53" i="74" l="1"/>
  <c r="H1081" i="94" s="1"/>
  <c r="I1074" i="94"/>
  <c r="G1081" i="94"/>
  <c r="G70" i="74"/>
  <c r="G1098" i="94" s="1"/>
  <c r="I21" i="86"/>
  <c r="I22" i="86" s="1"/>
  <c r="H22" i="86"/>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1084" i="94" s="1"/>
  <c r="F64" i="74"/>
  <c r="F1092" i="94" s="1"/>
  <c r="F64" i="82"/>
  <c r="I48" i="74"/>
  <c r="I1076" i="94" s="1"/>
  <c r="J73" i="82"/>
  <c r="K1090" i="94"/>
  <c r="D75" i="82"/>
  <c r="D76" i="82" s="1"/>
  <c r="E75" i="82"/>
  <c r="E76" i="82" s="1"/>
  <c r="H51" i="74"/>
  <c r="H1079" i="94" s="1"/>
  <c r="F53" i="86"/>
  <c r="F57" i="86" s="1"/>
  <c r="F58" i="86" s="1"/>
  <c r="F60" i="86" s="1"/>
  <c r="F64" i="86" s="1"/>
  <c r="K23" i="86" s="1"/>
  <c r="H70" i="74" l="1"/>
  <c r="H1098" i="94" s="1"/>
  <c r="I53" i="74"/>
  <c r="J1074" i="94"/>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H1084" i="94" s="1"/>
  <c r="K1074" i="94" l="1"/>
  <c r="J53" i="74"/>
  <c r="I1081" i="94"/>
  <c r="I70" i="74"/>
  <c r="I1098" i="94" s="1"/>
  <c r="K1080" i="94"/>
  <c r="F45" i="68"/>
  <c r="F424" i="94" s="1"/>
  <c r="S1062" i="94"/>
  <c r="I56" i="74"/>
  <c r="I108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06" i="94" l="1"/>
  <c r="J1081" i="94"/>
  <c r="J70" i="74"/>
  <c r="J1098" i="94" s="1"/>
  <c r="K53" i="74"/>
  <c r="B1112" i="94"/>
  <c r="I64" i="74"/>
  <c r="I1092" i="94" s="1"/>
  <c r="L45" i="68"/>
  <c r="L424" i="94" s="1"/>
  <c r="J56" i="74"/>
  <c r="J1084" i="94" s="1"/>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06" i="94" l="1"/>
  <c r="B85" i="74"/>
  <c r="K1081" i="94"/>
  <c r="K70" i="74"/>
  <c r="K1098" i="94" s="1"/>
  <c r="S37" i="74"/>
  <c r="S1065" i="94" s="1"/>
  <c r="C1112" i="94"/>
  <c r="J64" i="74"/>
  <c r="J1092" i="94" s="1"/>
  <c r="J64" i="82"/>
  <c r="J66" i="82" s="1"/>
  <c r="I66" i="82"/>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K1084" i="94" s="1"/>
  <c r="B1113" i="94" l="1"/>
  <c r="B101" i="74"/>
  <c r="B1129" i="94" s="1"/>
  <c r="C85" i="74"/>
  <c r="D1106" i="94"/>
  <c r="D1112" i="94"/>
  <c r="J71" i="82"/>
  <c r="J74" i="82" s="1"/>
  <c r="J75" i="82" s="1"/>
  <c r="J76" i="82" s="1"/>
  <c r="S38" i="74"/>
  <c r="S1066" i="94" s="1"/>
  <c r="C83" i="74"/>
  <c r="C1111" i="94" s="1"/>
  <c r="F94" i="74"/>
  <c r="F1122" i="94" s="1"/>
  <c r="K64" i="74"/>
  <c r="K1092" i="94" s="1"/>
  <c r="K64" i="82"/>
  <c r="D80" i="74"/>
  <c r="D1108" i="94" s="1"/>
  <c r="F77" i="74"/>
  <c r="E87" i="74"/>
  <c r="E1115" i="94" s="1"/>
  <c r="E78" i="74"/>
  <c r="E79" i="74"/>
  <c r="E1107" i="94" s="1"/>
  <c r="E84" i="74"/>
  <c r="E86" i="74"/>
  <c r="E1114" i="94" s="1"/>
  <c r="B88" i="74"/>
  <c r="C1113" i="94" l="1"/>
  <c r="C101" i="74"/>
  <c r="C1129" i="94" s="1"/>
  <c r="E1106" i="94"/>
  <c r="D85"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F1106" i="94"/>
  <c r="D1113" i="94"/>
  <c r="D101" i="74"/>
  <c r="D1129" i="94" s="1"/>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F85" i="74"/>
  <c r="E1113" i="94"/>
  <c r="E101" i="74"/>
  <c r="E1129" i="94" s="1"/>
  <c r="G1112" i="9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H1106" i="94"/>
  <c r="H85" i="74"/>
  <c r="H1113" i="94" s="1"/>
  <c r="G85" i="74"/>
  <c r="H1112" i="94"/>
  <c r="E95" i="74"/>
  <c r="E1123" i="94" s="1"/>
  <c r="E1116" i="94"/>
  <c r="F88" i="74"/>
  <c r="G83" i="74"/>
  <c r="G1111" i="94" s="1"/>
  <c r="I87" i="74"/>
  <c r="I1115" i="94" s="1"/>
  <c r="I78" i="74"/>
  <c r="J77" i="74"/>
  <c r="I79" i="74"/>
  <c r="I1107" i="94" s="1"/>
  <c r="I84" i="74"/>
  <c r="I86" i="74"/>
  <c r="I1114" i="94" s="1"/>
  <c r="H80" i="74"/>
  <c r="H1108" i="94" s="1"/>
  <c r="J94" i="74"/>
  <c r="J1122" i="94" s="1"/>
  <c r="H101" i="74" l="1"/>
  <c r="H1129" i="94" s="1"/>
  <c r="I1106" i="94"/>
  <c r="G1113" i="94"/>
  <c r="G101" i="74"/>
  <c r="G1129" i="94" s="1"/>
  <c r="I1112" i="94"/>
  <c r="F95" i="74"/>
  <c r="F1123" i="94" s="1"/>
  <c r="F1116" i="94"/>
  <c r="J79" i="74"/>
  <c r="J1107" i="94" s="1"/>
  <c r="K77" i="74"/>
  <c r="J78" i="74"/>
  <c r="J87" i="74"/>
  <c r="J1115" i="94" s="1"/>
  <c r="J84" i="74"/>
  <c r="J86" i="74"/>
  <c r="J1114" i="94" s="1"/>
  <c r="I80" i="74"/>
  <c r="I1108" i="94" s="1"/>
  <c r="K94" i="74"/>
  <c r="K1122" i="94" s="1"/>
  <c r="G88" i="74"/>
  <c r="H83" i="74"/>
  <c r="H1111" i="94" s="1"/>
  <c r="I85" i="74" l="1"/>
  <c r="J1106" i="94"/>
  <c r="J1112" i="9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K1106" i="94"/>
  <c r="I1113" i="94"/>
  <c r="I101" i="74"/>
  <c r="I1129" i="94" s="1"/>
  <c r="K1112" i="94"/>
  <c r="H95" i="74"/>
  <c r="H1123" i="94" s="1"/>
  <c r="H1116" i="94"/>
  <c r="J83" i="74"/>
  <c r="K80" i="74"/>
  <c r="K1108" i="94" s="1"/>
  <c r="C124" i="74"/>
  <c r="C1152" i="94" s="1"/>
  <c r="I88" i="74"/>
  <c r="B108" i="74"/>
  <c r="C107" i="74"/>
  <c r="B109" i="74"/>
  <c r="B1137" i="94" s="1"/>
  <c r="B117" i="74"/>
  <c r="B1145" i="94" s="1"/>
  <c r="B114" i="74"/>
  <c r="B116" i="74"/>
  <c r="B1144" i="94" s="1"/>
  <c r="J101" i="74" l="1"/>
  <c r="J1129" i="94" s="1"/>
  <c r="K85" i="74"/>
  <c r="B1136" i="94"/>
  <c r="B1142" i="94"/>
  <c r="I95" i="74"/>
  <c r="I1123" i="94" s="1"/>
  <c r="I1116" i="94"/>
  <c r="J88" i="74"/>
  <c r="J1111" i="94"/>
  <c r="K83" i="74"/>
  <c r="D107" i="74"/>
  <c r="C108" i="74"/>
  <c r="C117" i="74"/>
  <c r="C1145" i="94" s="1"/>
  <c r="C109" i="74"/>
  <c r="C1137" i="94" s="1"/>
  <c r="C114" i="74"/>
  <c r="C116" i="74"/>
  <c r="C1144" i="94" s="1"/>
  <c r="D124" i="74"/>
  <c r="D1152" i="94" s="1"/>
  <c r="B110" i="74"/>
  <c r="B1138" i="94" s="1"/>
  <c r="C1136" i="94" l="1"/>
  <c r="B115" i="74"/>
  <c r="K1113" i="94"/>
  <c r="K101" i="74"/>
  <c r="K1129" i="94" s="1"/>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D115" i="74"/>
  <c r="E1136" i="94"/>
  <c r="E1142" i="9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25" i="74"/>
  <c r="C1153" i="94" s="1"/>
  <c r="C1146" i="94"/>
  <c r="E113" i="74"/>
  <c r="E1141" i="94" s="1"/>
  <c r="F110" i="74"/>
  <c r="F1138" i="94" s="1"/>
  <c r="D118" i="74"/>
  <c r="E131" i="74" l="1"/>
  <c r="E1159" i="94" s="1"/>
  <c r="F115" i="74"/>
  <c r="D125" i="74"/>
  <c r="D1153" i="94" s="1"/>
  <c r="D1146" i="94"/>
  <c r="E118" i="74"/>
  <c r="F113" i="74"/>
  <c r="F1141" i="94" s="1"/>
  <c r="F1143" i="94" l="1"/>
  <c r="F131" i="74"/>
  <c r="F1159" i="94" s="1"/>
  <c r="E125" i="74"/>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O1971" i="94"/>
  <c r="O2098" i="94" s="1"/>
  <c r="O1661" i="94" s="1"/>
  <c r="E20" i="72" l="1"/>
  <c r="E1675" i="94" s="1"/>
  <c r="P6" i="72"/>
  <c r="P316" i="72"/>
  <c r="P443" i="72"/>
  <c r="P446" i="72"/>
  <c r="P1956" i="94"/>
  <c r="P1971" i="94"/>
  <c r="P2098" i="94"/>
  <c r="P1661" i="94" s="1"/>
  <c r="P2101" i="9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<sst xmlns="http://schemas.openxmlformats.org/spreadsheetml/2006/main" count="19491" uniqueCount="7175">
  <si>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</si>
  <si>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</si>
  <si>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</si>
  <si>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</si>
  <si>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</si>
  <si>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</si>
  <si>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</si>
  <si>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</si>
  <si>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</si>
  <si>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</si>
  <si>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</si>
  <si>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</si>
  <si>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</si>
  <si>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</si>
  <si>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</si>
  <si>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</si>
  <si>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</si>
  <si>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</si>
  <si>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</si>
  <si>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</si>
  <si>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</si>
  <si>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</si>
  <si>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</si>
  <si>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</si>
  <si>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</si>
  <si>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</si>
  <si>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</si>
  <si>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</si>
  <si>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</si>
  <si>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</si>
  <si>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</si>
  <si>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</si>
  <si>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</si>
  <si>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</si>
  <si>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</si>
  <si>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</si>
  <si>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</si>
  <si>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</si>
  <si>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</si>
  <si>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</si>
  <si>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</si>
  <si>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</si>
  <si>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</si>
  <si>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</si>
  <si>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</si>
  <si>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</si>
  <si>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</si>
  <si>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</si>
  <si>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</si>
  <si>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</si>
  <si>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</si>
  <si>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</si>
  <si>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</si>
  <si>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</si>
  <si>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</si>
  <si>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</si>
  <si>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</si>
  <si>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</si>
  <si>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</si>
  <si>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</si>
  <si>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</si>
  <si>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</si>
  <si>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</si>
  <si>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</si>
  <si>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</si>
  <si>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</si>
  <si>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</si>
  <si>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</si>
  <si>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</si>
  <si>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</si>
  <si>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</si>
  <si>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</si>
  <si>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</si>
  <si>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</si>
  <si>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</si>
  <si>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</si>
  <si>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</si>
  <si>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</si>
  <si>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</si>
  <si>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</si>
  <si>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</si>
  <si>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</si>
  <si>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</si>
  <si>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</si>
  <si>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</si>
  <si>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</si>
  <si>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</si>
  <si>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</si>
  <si>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</si>
  <si>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</si>
  <si>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</si>
  <si>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</si>
  <si>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</si>
  <si>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</si>
  <si>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</si>
  <si>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</si>
  <si>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</si>
  <si>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</si>
  <si>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</si>
  <si>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</si>
  <si>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</si>
  <si>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</si>
  <si>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</si>
  <si>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</si>
  <si>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</si>
  <si>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</si>
  <si>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</si>
  <si>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</si>
  <si>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</si>
  <si>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</si>
  <si>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</si>
  <si>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</si>
  <si>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</si>
  <si>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</si>
  <si>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</si>
  <si>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</si>
  <si>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</si>
  <si>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</si>
  <si>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</si>
  <si>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</si>
  <si>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</si>
  <si>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</si>
  <si>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</si>
  <si>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</si>
  <si>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</si>
  <si>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</si>
  <si>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</si>
  <si>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</si>
  <si>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</si>
  <si>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</si>
  <si>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</si>
  <si>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</si>
  <si>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</si>
  <si>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</si>
  <si>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</si>
  <si>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</si>
  <si>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</si>
  <si>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</si>
  <si>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</si>
  <si>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</si>
  <si>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</si>
  <si>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</si>
  <si>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</si>
  <si>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</si>
  <si>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</si>
  <si>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</si>
  <si>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</si>
  <si>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</si>
  <si>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</si>
  <si>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</si>
  <si>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</si>
  <si>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</si>
  <si>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</si>
  <si>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</si>
  <si>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</si>
  <si>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</si>
  <si>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</si>
  <si>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</si>
  <si>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</si>
  <si>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</si>
  <si>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</si>
  <si>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</si>
  <si>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</si>
  <si>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</si>
  <si>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</si>
  <si>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</si>
  <si>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</si>
  <si>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</si>
  <si>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</si>
  <si>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</si>
  <si>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</si>
  <si>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</si>
  <si>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</si>
  <si>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</si>
  <si>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</si>
  <si>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</si>
  <si>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</si>
  <si>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</si>
  <si>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</si>
  <si>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</si>
  <si>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</si>
  <si>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</si>
  <si>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</si>
  <si>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</si>
  <si>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</si>
  <si>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</si>
  <si>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</si>
  <si>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</si>
  <si>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</si>
  <si>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</si>
  <si>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</si>
  <si>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</si>
  <si>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</si>
  <si>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</si>
  <si>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</si>
  <si>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</si>
  <si>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</si>
  <si>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</si>
  <si>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</si>
  <si>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</si>
  <si>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</si>
  <si>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</si>
  <si>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</si>
  <si>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</si>
  <si>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</si>
  <si>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</si>
  <si>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</si>
  <si>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</si>
  <si>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</si>
  <si>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</si>
  <si>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</si>
  <si>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</si>
  <si>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</si>
  <si>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</si>
  <si>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</si>
  <si>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</si>
  <si>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</si>
  <si>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</si>
  <si>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</si>
  <si>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</si>
  <si>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</si>
  <si>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</si>
  <si>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</si>
  <si>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</si>
  <si>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</si>
  <si>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</si>
  <si>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</si>
  <si>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</si>
  <si>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</si>
  <si>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</si>
  <si>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</si>
  <si>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</si>
  <si>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</si>
  <si>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</si>
  <si>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</si>
  <si>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</si>
  <si>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</si>
  <si>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</si>
  <si>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</si>
  <si>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</si>
  <si>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</si>
  <si>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</si>
  <si>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</si>
  <si>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</si>
  <si>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</si>
  <si>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</si>
  <si>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</si>
  <si>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</si>
  <si>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</si>
  <si>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</si>
  <si>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</si>
  <si>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</si>
  <si>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</si>
  <si>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</si>
  <si>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</si>
  <si>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</si>
  <si>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</si>
  <si>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</si>
  <si>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</si>
  <si>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</si>
  <si>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</si>
  <si>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</si>
  <si>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</si>
  <si>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</si>
  <si>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</si>
  <si>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</si>
  <si>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</si>
  <si>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</si>
  <si>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</si>
  <si>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</si>
  <si>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</si>
  <si>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</si>
  <si>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</si>
  <si>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</si>
  <si>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</si>
  <si>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</si>
  <si>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</si>
  <si>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</si>
  <si>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</si>
  <si>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</si>
  <si>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</si>
  <si>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</si>
  <si>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</si>
  <si>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</si>
  <si>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</si>
  <si>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</si>
  <si>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</si>
  <si>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</si>
  <si>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</si>
  <si>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</si>
  <si>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</si>
  <si>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</si>
  <si>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</si>
  <si>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</si>
  <si>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</si>
  <si>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</si>
  <si>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</si>
  <si>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</si>
  <si>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</si>
  <si>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</si>
  <si>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</si>
  <si>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</si>
  <si>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</si>
  <si>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</si>
  <si>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</si>
  <si>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</si>
  <si>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</si>
  <si>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</si>
  <si>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</si>
  <si>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</si>
  <si>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</si>
  <si>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</si>
  <si>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</si>
  <si>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</si>
  <si>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</si>
  <si>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</si>
  <si>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</si>
  <si>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</si>
  <si>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</si>
  <si>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</si>
  <si>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</si>
  <si>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</si>
  <si>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</si>
  <si>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</si>
  <si>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</si>
  <si>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</si>
  <si>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</si>
  <si>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</si>
  <si>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</si>
  <si>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</si>
  <si>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</si>
  <si>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</si>
  <si>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</si>
  <si>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</si>
  <si>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</si>
  <si>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</si>
  <si>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</si>
  <si>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</si>
  <si>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</si>
  <si>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</si>
  <si>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</si>
  <si>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</si>
  <si>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</si>
  <si>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</si>
  <si>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</si>
  <si>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</si>
  <si>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</si>
  <si>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</si>
  <si>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</si>
  <si>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</si>
  <si>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</si>
  <si>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</si>
  <si>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</si>
  <si>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</si>
  <si>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</si>
  <si>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</si>
  <si>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</si>
  <si>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</si>
  <si>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</si>
  <si>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</si>
  <si>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</si>
  <si>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</si>
  <si>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</si>
  <si>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</si>
  <si>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</si>
  <si>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</si>
  <si>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</si>
  <si>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</si>
  <si>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</si>
  <si>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</si>
  <si>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</si>
  <si>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</si>
  <si>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</si>
  <si>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</si>
  <si>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</si>
  <si>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</si>
  <si>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</si>
  <si>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</si>
  <si>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</si>
  <si>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</si>
  <si>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</si>
  <si>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</si>
  <si>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</si>
  <si>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</si>
  <si>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</si>
  <si>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</si>
  <si>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</si>
  <si>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</si>
  <si>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</si>
  <si>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</si>
  <si>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</si>
  <si>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</si>
  <si>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</si>
  <si>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</si>
  <si>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</si>
  <si>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</si>
  <si>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</si>
  <si>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</si>
  <si>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</si>
  <si>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</si>
  <si>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</si>
  <si>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</si>
  <si>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</si>
  <si>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</si>
  <si>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</si>
  <si>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</si>
  <si>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</si>
  <si>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</si>
  <si>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</si>
  <si>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</si>
  <si>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</si>
  <si>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</si>
  <si>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</si>
  <si>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</si>
  <si>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</si>
  <si>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</si>
  <si>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</si>
  <si>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</si>
  <si>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</si>
  <si>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</si>
  <si>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</si>
  <si>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</si>
  <si>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</si>
  <si>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</si>
  <si>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</si>
  <si>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</si>
  <si>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</si>
  <si>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</si>
  <si>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</si>
  <si>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</si>
  <si>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</si>
  <si>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</si>
  <si>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</si>
  <si>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</si>
  <si>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</si>
  <si>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</si>
  <si>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</si>
  <si>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</si>
  <si>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</si>
  <si>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</si>
  <si>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</si>
  <si>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</si>
  <si>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</si>
  <si>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</si>
  <si>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</si>
  <si>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</si>
  <si>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</si>
  <si>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</si>
  <si>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</si>
  <si>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</si>
  <si>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</si>
  <si>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</si>
  <si>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</si>
  <si>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</si>
  <si>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</si>
  <si>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</si>
  <si>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</si>
  <si>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</si>
  <si>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</si>
  <si>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</si>
  <si>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</si>
  <si>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</si>
  <si>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</si>
  <si>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</si>
  <si>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</si>
  <si>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</si>
  <si>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</si>
  <si>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</si>
  <si>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</si>
  <si>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</si>
  <si>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</si>
  <si>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</si>
  <si>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</si>
  <si>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</si>
  <si>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</si>
  <si>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</si>
  <si>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</si>
  <si>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</si>
  <si>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</si>
  <si>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</si>
  <si>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</si>
  <si>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</si>
  <si>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</si>
  <si>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</si>
  <si>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</si>
  <si>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</si>
  <si>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</si>
  <si>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</si>
  <si>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</si>
  <si>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</si>
  <si>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</si>
  <si>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</si>
  <si>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</si>
  <si>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</si>
  <si>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</si>
  <si>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</si>
  <si>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</si>
  <si>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</si>
  <si>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</si>
  <si>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</si>
  <si>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</si>
  <si>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</si>
  <si>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</si>
  <si>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</si>
  <si>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</si>
  <si>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</si>
  <si>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</si>
  <si>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</si>
  <si>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</si>
  <si>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</si>
  <si>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</si>
  <si>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</si>
  <si>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</si>
  <si>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</si>
  <si>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</si>
  <si>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</si>
  <si>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</si>
  <si>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</si>
  <si>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</si>
  <si>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</si>
  <si>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</si>
  <si>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</si>
  <si>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</si>
  <si>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</si>
  <si>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</si>
  <si>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</si>
  <si>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</si>
  <si>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</si>
  <si>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</si>
  <si>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</si>
  <si>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</si>
  <si>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</si>
  <si>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</si>
  <si>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</si>
  <si>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</si>
  <si>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</si>
  <si>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</si>
  <si>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</si>
  <si>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</si>
  <si>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</si>
  <si>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</si>
  <si>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</si>
  <si>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</si>
  <si>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</si>
  <si>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</si>
  <si>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</si>
  <si>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</si>
  <si>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</si>
  <si>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</si>
  <si>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</si>
  <si>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</si>
  <si>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</si>
  <si>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</si>
  <si>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</si>
  <si>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</si>
  <si>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</si>
  <si>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</si>
  <si>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</si>
  <si>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</si>
  <si>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</si>
  <si>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</si>
  <si>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</si>
  <si>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</si>
  <si>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</si>
  <si>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</si>
  <si>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</si>
  <si>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</si>
  <si>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</si>
  <si>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</si>
  <si>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</si>
  <si>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</si>
  <si>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</si>
  <si>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</si>
  <si>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</si>
  <si>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</si>
  <si>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</si>
  <si>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</si>
  <si>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</si>
  <si>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</si>
  <si>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</si>
  <si>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</si>
  <si>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</si>
  <si>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</si>
  <si>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</si>
  <si>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</si>
  <si>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</si>
  <si>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</si>
  <si>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</si>
  <si>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</si>
  <si>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</si>
  <si>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</si>
  <si>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</si>
  <si>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</si>
  <si>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</si>
  <si>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</si>
  <si>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</si>
  <si>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</si>
  <si>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</si>
  <si>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</si>
  <si>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</si>
  <si>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</si>
  <si>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</si>
  <si>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</si>
  <si>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</si>
  <si>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</si>
  <si>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</si>
  <si>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</si>
  <si>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</si>
  <si>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</si>
  <si>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</si>
  <si>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</si>
  <si>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</si>
  <si>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</si>
  <si>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</si>
  <si>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</si>
  <si>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</si>
  <si>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</si>
  <si>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</si>
  <si>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</si>
  <si>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</si>
  <si>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</si>
  <si>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</si>
  <si>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</si>
  <si>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</si>
  <si>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</si>
  <si>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</si>
  <si>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</si>
  <si>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</si>
  <si>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</si>
  <si>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</si>
  <si>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</si>
  <si>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</si>
  <si>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</si>
  <si>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</si>
  <si>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</si>
  <si>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</si>
  <si>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</si>
  <si>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</si>
  <si>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</si>
  <si>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</si>
  <si>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</si>
  <si>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</si>
  <si>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</si>
  <si>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</si>
  <si>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</si>
  <si>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</si>
  <si>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</si>
  <si>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</si>
  <si>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</si>
  <si>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</si>
  <si>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</si>
  <si>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</si>
  <si>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</si>
  <si>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</si>
  <si>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</si>
  <si>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</si>
  <si>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</si>
  <si>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</si>
  <si>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</si>
  <si>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</si>
  <si>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</si>
  <si>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</si>
  <si>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</si>
  <si>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</si>
  <si>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</si>
  <si>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</si>
  <si>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</si>
  <si>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</si>
  <si>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</si>
  <si>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</si>
  <si>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</si>
  <si>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</si>
  <si>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</si>
  <si>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</si>
  <si>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</si>
  <si>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</si>
  <si>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</si>
  <si>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</si>
  <si>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</si>
  <si>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</si>
  <si>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</si>
  <si>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</si>
  <si>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</si>
  <si>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</si>
  <si>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</si>
  <si>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</si>
  <si>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</si>
  <si>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</si>
  <si>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</si>
  <si>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</si>
  <si>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</si>
  <si>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</si>
  <si>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</si>
  <si>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</si>
  <si>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</si>
  <si>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</si>
  <si>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</si>
  <si>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</si>
  <si>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</si>
  <si>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</si>
  <si>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</si>
  <si>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</si>
  <si>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</si>
  <si>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</si>
  <si>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</si>
  <si>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</si>
  <si>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</si>
  <si>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</si>
  <si>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</si>
  <si>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</si>
  <si>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</si>
  <si>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</si>
  <si>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</si>
  <si>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</si>
  <si>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</si>
  <si>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</si>
  <si>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</si>
  <si>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</si>
  <si>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</si>
  <si>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</si>
  <si>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</si>
  <si>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</si>
  <si>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</si>
  <si>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</si>
  <si>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</si>
  <si>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</si>
  <si>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</si>
  <si>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</si>
  <si>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</si>
  <si>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</si>
  <si>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</si>
  <si>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</si>
  <si>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</si>
  <si>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</si>
  <si>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</si>
  <si>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</si>
  <si>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</si>
  <si>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</si>
  <si>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</si>
  <si>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</si>
  <si>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</si>
  <si>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</si>
  <si>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</si>
  <si>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</si>
  <si>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</si>
  <si>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</si>
  <si>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</si>
  <si>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</si>
  <si>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</si>
  <si>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</si>
  <si>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</si>
  <si>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</si>
  <si>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</si>
  <si>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</si>
  <si>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</si>
  <si>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</si>
  <si>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</si>
  <si>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</si>
  <si>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</si>
  <si>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</si>
  <si>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</si>
  <si>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</si>
  <si>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</si>
  <si>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</si>
  <si>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</si>
  <si>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</si>
  <si>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</si>
  <si>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</si>
  <si>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</si>
  <si>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</si>
  <si>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</si>
  <si>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</si>
  <si>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</si>
  <si>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</si>
  <si>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</si>
  <si>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</si>
  <si>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</si>
  <si>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</si>
  <si>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</si>
  <si>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</si>
  <si>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</si>
  <si>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</si>
  <si>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</si>
  <si>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</si>
  <si>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</si>
  <si>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</si>
  <si>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</si>
  <si>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</si>
  <si>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</si>
  <si>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</si>
  <si>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</si>
  <si>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</si>
  <si>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</si>
  <si>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</si>
  <si>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</si>
  <si>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</si>
  <si>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</si>
  <si>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</si>
  <si>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</si>
  <si>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</si>
  <si>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</si>
  <si>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</si>
  <si>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</si>
  <si>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</si>
  <si>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</si>
  <si>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</si>
  <si>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</si>
  <si>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</si>
  <si>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</si>
  <si>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</si>
  <si>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</si>
  <si>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</si>
  <si>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</si>
  <si>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</si>
  <si>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</si>
  <si>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</si>
  <si>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</si>
  <si>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</si>
  <si>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</si>
  <si>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</si>
  <si>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</si>
  <si>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</si>
  <si>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</si>
  <si>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</si>
  <si>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</si>
  <si>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</si>
  <si>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</si>
  <si>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</si>
  <si>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</si>
  <si>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</si>
  <si>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</si>
  <si>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</si>
  <si>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</si>
  <si>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</si>
  <si>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</si>
  <si>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</si>
  <si>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</si>
  <si>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</si>
  <si>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</si>
  <si>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</si>
  <si>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</si>
  <si>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</si>
  <si>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</si>
  <si>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</si>
  <si>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</si>
  <si>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</si>
  <si>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</si>
  <si>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</si>
  <si>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</si>
  <si>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</si>
  <si>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</si>
  <si>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</si>
  <si>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</si>
  <si>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</si>
  <si>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</si>
  <si>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</si>
  <si>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</si>
  <si>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</si>
  <si>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</si>
  <si>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</si>
  <si>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</si>
  <si>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</si>
  <si>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</si>
  <si>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</si>
  <si>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</si>
  <si>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</si>
  <si>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</si>
  <si>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</si>
  <si>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</si>
  <si>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</si>
  <si>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</si>
  <si>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</si>
  <si>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</si>
  <si>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</si>
  <si>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</si>
  <si>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</si>
  <si>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</si>
  <si>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</si>
  <si>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</si>
  <si>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</si>
  <si>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</si>
  <si>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</si>
  <si>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</si>
  <si>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</si>
  <si>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</si>
  <si>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</si>
  <si>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</si>
  <si>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</si>
  <si>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</si>
  <si>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</si>
  <si>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</si>
  <si>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</si>
  <si>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</si>
  <si>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</si>
  <si>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</si>
  <si>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</si>
  <si>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</si>
  <si>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</si>
  <si>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</si>
  <si>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</si>
  <si>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</si>
  <si>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</si>
  <si>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</si>
  <si>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</si>
  <si>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</si>
  <si>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</si>
  <si>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</si>
  <si>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</si>
  <si>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</si>
  <si>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</si>
  <si>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</si>
  <si>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</si>
  <si>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</si>
  <si>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</si>
  <si>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</si>
  <si>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</si>
  <si>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</si>
  <si>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</si>
  <si>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</si>
  <si>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</si>
  <si>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</si>
  <si>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</si>
  <si>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</si>
  <si>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</si>
  <si>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</si>
  <si>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</si>
  <si>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</si>
  <si>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</si>
  <si>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</si>
  <si>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</si>
  <si>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</si>
  <si>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</si>
  <si>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</si>
  <si>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</si>
  <si>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</si>
  <si>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</si>
  <si>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</si>
  <si>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</si>
  <si>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</si>
  <si>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</si>
  <si>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</si>
  <si>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</si>
  <si>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</si>
  <si>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</si>
  <si>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</si>
  <si>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</si>
  <si>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</si>
  <si>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</si>
  <si>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</si>
  <si>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</si>
  <si>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</si>
  <si>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</si>
  <si>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</si>
  <si>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</si>
  <si>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</si>
  <si>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</si>
  <si>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</si>
  <si>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</si>
  <si>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</si>
  <si>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</si>
  <si>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</si>
  <si>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</si>
  <si>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</si>
  <si>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</si>
  <si>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</si>
  <si>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</si>
  <si>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</si>
  <si>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</si>
  <si>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</si>
  <si>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</si>
  <si>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</si>
  <si>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</si>
  <si>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</si>
  <si>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</si>
  <si>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</si>
  <si>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</si>
  <si>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</si>
  <si>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</si>
  <si>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</si>
  <si>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</si>
  <si>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</si>
  <si>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</si>
  <si>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</si>
  <si>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</si>
  <si>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</si>
  <si>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</si>
  <si>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</si>
  <si>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</si>
  <si>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</si>
  <si>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</si>
  <si>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</si>
  <si>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</si>
  <si>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</si>
  <si>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</si>
  <si>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</si>
  <si>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</si>
  <si>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</si>
  <si>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</si>
  <si>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</si>
  <si>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</si>
  <si>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</si>
  <si>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</si>
  <si>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</si>
  <si>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</si>
  <si>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</si>
  <si>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</si>
  <si>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</si>
  <si>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</si>
  <si>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</si>
  <si>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</si>
  <si>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</si>
  <si>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</si>
  <si>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</si>
  <si>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</si>
  <si>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</si>
  <si>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</si>
  <si>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</si>
  <si>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</si>
  <si>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</si>
  <si>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</si>
  <si>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</si>
  <si>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</si>
  <si>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</si>
  <si>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</si>
  <si>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</si>
  <si>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</si>
  <si>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</si>
  <si>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</si>
  <si>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</si>
  <si>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</si>
  <si>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</si>
  <si>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</si>
  <si>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</si>
  <si>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</si>
  <si>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</si>
  <si>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</si>
  <si>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</si>
  <si>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</si>
  <si>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</si>
  <si>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</si>
  <si>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</si>
  <si>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</si>
  <si>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</si>
  <si>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</si>
  <si>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</si>
  <si>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</si>
  <si>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</si>
  <si>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</si>
  <si>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</si>
  <si>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</si>
  <si>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</si>
  <si>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</si>
  <si>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</si>
  <si>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</si>
  <si>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</si>
  <si>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</si>
  <si>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</si>
  <si>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</si>
  <si>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</si>
  <si>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</si>
  <si>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</si>
  <si>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</si>
  <si>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</si>
  <si>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</si>
  <si>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</si>
  <si>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</si>
  <si>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</si>
  <si>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</si>
  <si>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</si>
  <si>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</si>
  <si>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</si>
  <si>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</si>
  <si>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</si>
  <si>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</si>
  <si>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</si>
  <si>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</si>
  <si>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</si>
  <si>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</si>
  <si>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</si>
  <si>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</si>
  <si>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</si>
  <si>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</si>
  <si>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</si>
  <si>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</si>
  <si>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</si>
  <si>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</si>
  <si>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</si>
  <si>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</si>
  <si>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</si>
  <si>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</si>
  <si>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</si>
  <si>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</si>
  <si>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</si>
  <si>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</si>
  <si>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</si>
  <si>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</si>
  <si>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</si>
  <si>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</si>
  <si>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</si>
  <si>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</si>
  <si>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</si>
  <si>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</si>
  <si>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</si>
  <si>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</si>
  <si>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</si>
  <si>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</si>
  <si>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</si>
  <si>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</si>
  <si>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</si>
  <si>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</si>
  <si>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</si>
  <si>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</si>
  <si>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</si>
  <si>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</si>
  <si>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</si>
  <si>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</si>
  <si>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</si>
  <si>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</si>
  <si>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</si>
  <si>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</si>
  <si>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</si>
  <si>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</si>
  <si>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</si>
  <si>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</si>
  <si>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</si>
  <si>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</si>
  <si>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</si>
  <si>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</si>
  <si>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</si>
  <si>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</si>
  <si>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</si>
  <si>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</si>
  <si>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</si>
  <si>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</si>
  <si>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</si>
  <si>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</si>
  <si>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</si>
  <si>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</si>
  <si>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</si>
  <si>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</si>
  <si>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</si>
  <si>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</si>
  <si>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</si>
  <si>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</si>
  <si>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</si>
  <si>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</si>
  <si>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</si>
  <si>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</si>
  <si>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</si>
  <si>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</si>
  <si>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</si>
  <si>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</si>
  <si>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</si>
  <si>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</si>
  <si>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</si>
  <si>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</si>
  <si>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</si>
  <si>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</si>
  <si>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</si>
  <si>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</si>
  <si>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</si>
  <si>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</si>
  <si>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</si>
  <si>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</si>
  <si>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</si>
  <si>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</si>
  <si>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</si>
  <si>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</si>
  <si>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</si>
  <si>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</si>
  <si>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</si>
  <si>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</si>
  <si>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</si>
  <si>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</si>
  <si>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</si>
  <si>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</si>
  <si>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</si>
  <si>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</si>
  <si>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</si>
  <si>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</si>
  <si>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</si>
  <si>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</si>
  <si>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</si>
  <si>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</si>
  <si>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</si>
  <si>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</si>
  <si>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</si>
  <si>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</si>
  <si>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</si>
  <si>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</si>
  <si>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</si>
  <si>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</si>
  <si>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</si>
  <si>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</si>
  <si>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</si>
  <si>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</si>
  <si>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</si>
  <si>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</si>
  <si>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</si>
  <si>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</si>
  <si>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</si>
  <si>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</si>
  <si>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</si>
  <si>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</si>
  <si>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</si>
  <si>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</si>
  <si>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</si>
  <si>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</si>
  <si>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</si>
  <si>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</si>
  <si>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</si>
  <si>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</si>
  <si>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</si>
  <si>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</si>
  <si>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</si>
  <si>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</si>
  <si>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</si>
  <si>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</si>
  <si>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</si>
  <si>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</si>
  <si>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</si>
  <si>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</si>
  <si>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</si>
  <si>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</si>
  <si>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</si>
  <si>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</si>
  <si>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</si>
  <si>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</si>
  <si>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</si>
  <si>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</si>
  <si>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</si>
  <si>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</si>
  <si>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</si>
  <si>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</si>
  <si>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</si>
  <si>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</si>
  <si>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</si>
  <si>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</si>
  <si>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</si>
  <si>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</si>
  <si>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</si>
  <si>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</si>
  <si>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</si>
  <si>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</si>
  <si>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</si>
  <si>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</si>
  <si>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</si>
  <si>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</si>
  <si>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</si>
  <si>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</si>
  <si>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</si>
  <si>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</si>
  <si>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</si>
  <si>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</si>
  <si>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</si>
  <si>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</si>
  <si>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</si>
  <si>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</si>
  <si>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</si>
  <si>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</si>
  <si>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</si>
  <si>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</si>
  <si>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</si>
  <si>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</si>
  <si>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</si>
  <si>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</si>
  <si>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</si>
  <si>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</si>
  <si>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</si>
  <si>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</si>
  <si>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</si>
  <si>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</si>
  <si>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</si>
  <si>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</si>
  <si>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</si>
  <si>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</si>
  <si>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</si>
  <si>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</si>
  <si>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</si>
  <si>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</si>
  <si>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</si>
  <si>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</si>
  <si>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</si>
  <si>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</si>
  <si>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</si>
  <si>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</si>
  <si>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</si>
  <si>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</si>
  <si>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</si>
  <si>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</si>
  <si>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</si>
  <si>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</si>
  <si>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</si>
  <si>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</si>
  <si>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</si>
  <si>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</si>
  <si>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</si>
  <si>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</si>
  <si>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</si>
  <si>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</si>
  <si>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</si>
  <si>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</si>
  <si>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</si>
  <si>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</si>
  <si>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</si>
  <si>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</si>
  <si>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</si>
  <si>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</si>
  <si>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</si>
  <si>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</si>
  <si>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</si>
  <si>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</si>
  <si>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</si>
  <si>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</si>
  <si>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</si>
  <si>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</si>
  <si>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</si>
  <si>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</si>
  <si>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</si>
  <si>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</si>
  <si>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</si>
  <si>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</si>
  <si>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</si>
  <si>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</si>
  <si>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</si>
  <si>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</si>
  <si>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</si>
  <si>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</si>
  <si>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</si>
  <si>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</si>
  <si>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</si>
  <si>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</si>
  <si>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</si>
  <si>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</si>
  <si>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</si>
  <si>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</si>
  <si>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</si>
  <si>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</si>
  <si>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</si>
  <si>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</si>
  <si>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</si>
  <si>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</si>
  <si>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</si>
  <si>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</si>
  <si>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</si>
  <si>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</si>
  <si>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</si>
  <si>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</si>
  <si>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</si>
  <si>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</si>
  <si>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</si>
  <si>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</si>
  <si>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</si>
  <si>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</si>
  <si>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</si>
  <si>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</si>
  <si>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</si>
  <si>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</si>
  <si>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</si>
  <si>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</si>
  <si>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</si>
  <si>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</si>
  <si>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</si>
  <si>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</si>
  <si>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</si>
  <si>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</si>
  <si>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</si>
  <si>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</si>
  <si>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</si>
  <si>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</si>
  <si>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</si>
  <si>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</si>
  <si>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</si>
  <si>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</si>
  <si>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</si>
  <si>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</si>
  <si>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</si>
  <si>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</si>
  <si>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</si>
  <si>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</si>
  <si>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</si>
  <si>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</si>
  <si>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</si>
  <si>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</si>
  <si>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</si>
  <si>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</si>
  <si>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</si>
  <si>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</si>
  <si>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</si>
  <si>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</si>
  <si>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</si>
  <si>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</si>
  <si>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</si>
  <si>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</si>
  <si>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</si>
  <si>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</si>
  <si>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</si>
  <si>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</si>
  <si>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</si>
  <si>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</si>
  <si>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</si>
  <si>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</si>
  <si>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</si>
  <si>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</si>
  <si>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</si>
  <si>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</si>
  <si>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</si>
  <si>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</si>
  <si>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</si>
  <si>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</si>
  <si>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</si>
  <si>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</si>
  <si>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</si>
  <si>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</si>
  <si>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</si>
  <si>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</si>
  <si>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</si>
  <si>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</si>
  <si>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</si>
  <si>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</si>
  <si>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</si>
  <si>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</si>
  <si>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</si>
  <si>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</si>
  <si>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</si>
  <si>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</si>
  <si>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</si>
  <si>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</si>
  <si>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</si>
  <si>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</si>
  <si>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</si>
  <si>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</si>
  <si>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</si>
  <si>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</si>
  <si>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</si>
  <si>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</si>
  <si>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</si>
  <si>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</si>
  <si>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</si>
  <si>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</si>
  <si>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</si>
  <si>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</si>
  <si>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</si>
  <si>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</si>
  <si>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</si>
  <si>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</si>
  <si>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</si>
  <si>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</si>
  <si>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</si>
  <si>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</si>
  <si>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</si>
  <si>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</si>
  <si>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</si>
  <si>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</si>
  <si>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</si>
  <si>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</si>
  <si>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</si>
  <si>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</si>
  <si>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</si>
  <si>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</si>
  <si>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</si>
  <si>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</si>
  <si>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</si>
  <si>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</si>
  <si>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</si>
  <si>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</si>
  <si>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</si>
  <si>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</si>
  <si>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</si>
  <si>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</si>
  <si>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</si>
  <si>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</si>
  <si>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</si>
  <si>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</si>
  <si>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</si>
  <si>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</si>
  <si>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</si>
  <si>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</si>
  <si>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</si>
  <si>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</si>
  <si>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</si>
  <si>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</si>
  <si>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</si>
  <si>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</si>
  <si>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</si>
  <si>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</si>
  <si>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</si>
  <si>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</si>
  <si>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</si>
  <si>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</si>
  <si>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</si>
  <si>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</si>
  <si>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</si>
  <si>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</si>
  <si>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</si>
  <si>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</si>
  <si>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</si>
  <si>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</si>
  <si>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</si>
  <si>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</si>
  <si>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</si>
  <si>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</si>
  <si>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</si>
  <si>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</si>
  <si>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</si>
  <si>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</si>
  <si>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</si>
  <si>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</si>
  <si>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</si>
  <si>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</si>
  <si>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</si>
  <si>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</si>
  <si>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</si>
  <si>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</si>
  <si>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</si>
  <si>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</si>
  <si>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</si>
  <si>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</si>
  <si>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</si>
  <si>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</si>
  <si>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</si>
  <si>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</si>
  <si>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</si>
  <si>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</si>
  <si>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</si>
  <si>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</si>
  <si>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</si>
  <si>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</si>
  <si>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</si>
  <si>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</si>
  <si>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</si>
  <si>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</si>
  <si>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</si>
  <si>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</si>
  <si>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</si>
  <si>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</si>
  <si>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</si>
  <si>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</si>
  <si>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</si>
  <si>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</si>
  <si>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</si>
  <si>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</si>
  <si>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</si>
  <si>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</si>
  <si>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</si>
  <si>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</si>
  <si>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</si>
  <si>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</si>
  <si>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</si>
  <si>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</si>
  <si>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</si>
  <si>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</si>
  <si>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</si>
  <si>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</si>
  <si>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</si>
  <si>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</si>
  <si>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</si>
  <si>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</si>
  <si>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</si>
  <si>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</si>
  <si>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</si>
  <si>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</si>
  <si>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</si>
  <si>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</si>
  <si>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</si>
  <si>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</si>
  <si>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</si>
  <si>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</si>
  <si>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</si>
  <si>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</si>
  <si>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</si>
  <si>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</si>
  <si>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</si>
  <si>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</si>
  <si>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</si>
  <si>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</si>
  <si>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</si>
  <si>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</si>
  <si>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</si>
  <si>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</si>
  <si>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</si>
  <si>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</si>
  <si>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</si>
  <si>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</si>
  <si>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</si>
  <si>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</si>
  <si>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</si>
  <si>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</si>
  <si>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</si>
  <si>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</si>
  <si>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</si>
  <si>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</si>
  <si>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</si>
  <si>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</si>
  <si>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</si>
  <si>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</si>
  <si>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</si>
  <si>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</si>
  <si>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</si>
  <si>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</si>
  <si>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</si>
  <si>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</si>
  <si>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</si>
  <si>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</si>
  <si>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</si>
  <si>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</si>
  <si>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</si>
  <si>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</si>
  <si>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</si>
  <si>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</si>
  <si>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</si>
  <si>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</si>
  <si>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</si>
  <si>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</si>
  <si>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</si>
  <si>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</si>
  <si>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</si>
  <si>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</si>
  <si>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</si>
  <si>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</si>
  <si>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</si>
  <si>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</si>
  <si>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</si>
  <si>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</si>
  <si>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</si>
  <si>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</si>
  <si>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</si>
  <si>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</si>
  <si>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</si>
  <si>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</si>
  <si>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</si>
  <si>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</si>
  <si>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</si>
  <si>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</si>
  <si>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</si>
  <si>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</si>
  <si>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</si>
  <si>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</si>
  <si>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</si>
  <si>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</si>
  <si>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</si>
  <si>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</si>
  <si>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</si>
  <si>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</si>
  <si>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</si>
  <si>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</si>
  <si>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</si>
  <si>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</si>
  <si>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</si>
  <si>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</si>
  <si>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</si>
  <si>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</si>
  <si>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</si>
  <si>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</si>
  <si>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</si>
  <si>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</si>
  <si>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</si>
  <si>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</si>
  <si>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</si>
  <si>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</si>
  <si>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</si>
  <si>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</si>
  <si>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</si>
  <si>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</si>
  <si>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</si>
  <si>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</si>
  <si>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</si>
  <si>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</si>
  <si>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</si>
  <si>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</si>
  <si>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</si>
  <si>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</si>
  <si>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</si>
  <si>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</si>
  <si>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</si>
  <si>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</si>
  <si>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</si>
  <si>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</si>
  <si>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</si>
  <si>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</si>
  <si>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</si>
  <si>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</si>
  <si>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</si>
  <si>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</si>
  <si>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</si>
  <si>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</si>
  <si>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</si>
  <si>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</si>
  <si>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</si>
  <si>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</si>
  <si>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</si>
  <si>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</si>
  <si>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</si>
  <si>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</si>
  <si>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</si>
  <si>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</si>
  <si>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</si>
  <si>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</si>
  <si>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</si>
  <si>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</si>
  <si>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</si>
  <si>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</si>
  <si>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</si>
  <si>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</si>
  <si>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</si>
  <si>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</si>
  <si>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</si>
  <si>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</si>
  <si>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</si>
  <si>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</si>
  <si>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</si>
  <si>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</si>
  <si>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</si>
  <si>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</si>
  <si>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</si>
  <si>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</si>
  <si>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</si>
  <si>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</si>
  <si>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</si>
  <si>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</si>
  <si>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</si>
  <si>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</si>
  <si>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</si>
  <si>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</si>
  <si>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</si>
  <si>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</si>
  <si>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</si>
  <si>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</si>
  <si>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</si>
  <si>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</si>
  <si>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</si>
  <si>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</si>
  <si>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</si>
  <si>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</si>
  <si>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</si>
  <si>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</si>
  <si>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</si>
  <si>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</si>
  <si>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</si>
  <si>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</si>
  <si>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</si>
  <si>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</si>
  <si>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</si>
  <si>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</si>
  <si>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</si>
  <si>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</si>
  <si>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</si>
  <si>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</si>
  <si>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</si>
  <si>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</si>
  <si>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</si>
  <si>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</si>
  <si>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</si>
  <si>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</si>
  <si>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</si>
  <si>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</si>
  <si>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</si>
  <si>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</si>
  <si>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</si>
  <si>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</si>
  <si>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</si>
  <si>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</si>
  <si>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</si>
  <si>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</si>
  <si>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</si>
  <si>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</si>
  <si>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</si>
  <si>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</si>
  <si>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</si>
  <si>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</si>
  <si>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</si>
  <si>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</si>
  <si>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</si>
  <si>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</si>
  <si>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</si>
  <si>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</si>
  <si>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</si>
  <si>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</si>
  <si>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</si>
  <si>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</si>
  <si>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</si>
  <si>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</si>
  <si>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</si>
  <si>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</si>
  <si>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</si>
  <si>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</si>
  <si>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</si>
  <si>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</si>
  <si>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</si>
  <si>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</si>
  <si>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</si>
  <si>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</si>
  <si>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</si>
  <si>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</si>
  <si>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</si>
  <si>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</si>
  <si>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</si>
  <si>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</si>
  <si>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</si>
  <si>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</si>
  <si>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</si>
  <si>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</si>
  <si>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</si>
  <si>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</si>
  <si>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</si>
  <si>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</si>
  <si>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</si>
  <si>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</si>
  <si>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</si>
  <si>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</si>
  <si>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</si>
  <si>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</si>
  <si>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</si>
  <si>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</si>
  <si>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</si>
  <si>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</si>
  <si>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</si>
  <si>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</si>
  <si>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</si>
  <si>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</si>
  <si>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</si>
  <si>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</si>
  <si>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</si>
  <si>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</si>
  <si>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</si>
  <si>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</si>
  <si>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</si>
  <si>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</si>
  <si>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</si>
  <si>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</si>
  <si>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</si>
  <si>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</si>
  <si>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</si>
  <si>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</si>
  <si>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</si>
  <si>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</si>
  <si>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</si>
  <si>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</si>
  <si>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</si>
  <si>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</si>
  <si>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</si>
  <si>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</si>
  <si>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</si>
  <si>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</si>
  <si>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</si>
  <si>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</si>
  <si>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</si>
  <si>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</si>
  <si>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</si>
  <si>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</si>
  <si>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</si>
  <si>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</si>
  <si>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</si>
  <si>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</si>
  <si>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</si>
  <si>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</si>
  <si>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</si>
  <si>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</si>
  <si>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</si>
  <si>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</si>
  <si>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</si>
  <si>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</si>
  <si>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</si>
  <si>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</si>
  <si>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</si>
  <si>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</si>
  <si>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</si>
  <si>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</si>
  <si>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</si>
  <si>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</si>
  <si>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</si>
  <si>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</si>
  <si>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</si>
  <si>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</si>
  <si>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</si>
  <si>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</si>
  <si>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</si>
  <si>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</si>
  <si>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</si>
  <si>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</si>
  <si>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</si>
  <si>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</si>
  <si>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</si>
  <si>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</si>
  <si>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</si>
  <si>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</si>
  <si>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</si>
  <si>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</si>
  <si>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</si>
  <si>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</si>
  <si>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</si>
  <si>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</si>
  <si>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</si>
  <si>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</si>
  <si>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</si>
  <si>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</si>
  <si>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</si>
  <si>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</si>
  <si>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</si>
  <si>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</si>
  <si>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</si>
  <si>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</si>
  <si>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</si>
  <si>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</si>
  <si>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</si>
  <si>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</si>
  <si>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</si>
  <si>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</si>
  <si>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</si>
  <si>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</si>
  <si>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</si>
  <si>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</si>
  <si>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</si>
  <si>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</si>
  <si>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</si>
  <si>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</si>
  <si>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</si>
  <si>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</si>
  <si>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</si>
  <si>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</si>
  <si>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</si>
  <si>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</si>
  <si>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</si>
  <si>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</si>
  <si>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</si>
  <si>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</si>
  <si>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</si>
  <si>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</si>
  <si>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</si>
  <si>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</si>
  <si>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</si>
  <si>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</si>
  <si>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</si>
  <si>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</si>
  <si>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</si>
  <si>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</si>
  <si>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</si>
  <si>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</si>
  <si>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</si>
  <si>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</si>
  <si>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</si>
  <si>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</si>
  <si>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</si>
  <si>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</si>
  <si>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</si>
  <si>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</si>
  <si>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</si>
  <si>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</si>
  <si>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</si>
  <si>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</si>
  <si>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</si>
  <si>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</si>
  <si>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</si>
  <si>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</si>
  <si>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</si>
  <si>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</si>
  <si>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</si>
  <si>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</si>
  <si>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</si>
  <si>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</si>
  <si>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</si>
  <si>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</si>
  <si>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</si>
  <si>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</si>
  <si>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</si>
  <si>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</si>
  <si>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</si>
  <si>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</si>
  <si>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</si>
  <si>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</si>
  <si>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</si>
  <si>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</si>
  <si>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</si>
  <si>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</si>
  <si>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</si>
  <si>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</si>
  <si>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</si>
  <si>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</si>
  <si>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</si>
  <si>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</si>
  <si>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</si>
  <si>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</si>
  <si>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</si>
  <si>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</si>
  <si>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</si>
  <si>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</si>
  <si>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</si>
  <si>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</si>
  <si>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</si>
  <si>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</si>
  <si>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</si>
  <si>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</si>
  <si>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</si>
  <si>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</si>
  <si>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</si>
  <si>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</si>
  <si>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</si>
  <si>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</si>
  <si>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</si>
  <si>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</si>
  <si>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</si>
  <si>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</si>
  <si>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</si>
  <si>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</si>
  <si>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</si>
  <si>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</si>
  <si>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</si>
  <si>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</si>
  <si>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</si>
  <si>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</si>
  <si>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</si>
  <si>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</si>
  <si>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</si>
  <si>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</si>
  <si>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</si>
  <si>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</si>
  <si>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</si>
  <si>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</si>
  <si>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</si>
  <si>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</si>
  <si>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</si>
  <si>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</si>
  <si>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</si>
  <si>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</si>
  <si>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</si>
  <si>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</si>
  <si>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</si>
  <si>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</si>
  <si>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</si>
  <si>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</si>
  <si>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</si>
  <si>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</si>
  <si>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</si>
  <si>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</si>
  <si>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</si>
  <si>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</si>
  <si>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</si>
  <si>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</si>
  <si>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</si>
  <si>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</si>
  <si>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</si>
  <si>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</si>
  <si>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</si>
  <si>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</si>
  <si>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</si>
  <si>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</si>
  <si>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</si>
  <si>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</si>
  <si>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</si>
  <si>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</si>
  <si>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</si>
  <si>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</si>
  <si>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</si>
  <si>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</si>
  <si>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</si>
  <si>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</si>
  <si>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</si>
  <si>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</si>
  <si>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</si>
  <si>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</si>
  <si>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</si>
  <si>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</si>
  <si>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</si>
  <si>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</si>
  <si>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</si>
  <si>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</si>
  <si>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</si>
  <si>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</si>
  <si>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</si>
  <si>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</si>
  <si>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</si>
  <si>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</si>
  <si>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</si>
  <si>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</si>
  <si>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</si>
  <si>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</si>
  <si>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</si>
  <si>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</si>
  <si>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</si>
  <si>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</si>
  <si>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</si>
  <si>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</si>
  <si>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</si>
  <si>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</si>
  <si>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</si>
  <si>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</si>
  <si>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</si>
  <si>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</si>
  <si>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</si>
  <si>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</si>
  <si>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</si>
  <si>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</si>
  <si>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</si>
  <si>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</si>
  <si>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</si>
  <si>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</si>
  <si>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</si>
  <si>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</si>
  <si>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</si>
  <si>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</si>
  <si>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</si>
  <si>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</si>
  <si>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</si>
  <si>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</si>
  <si>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</si>
  <si>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</si>
  <si>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</si>
  <si>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</si>
  <si>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</si>
  <si>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</si>
  <si>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</si>
  <si>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</si>
  <si>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</si>
  <si>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</si>
  <si>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</si>
  <si>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</si>
  <si>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</si>
  <si>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</si>
  <si>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</si>
  <si>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</si>
  <si>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</si>
  <si>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</si>
  <si>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</si>
  <si>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</si>
  <si>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</si>
  <si>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</si>
  <si>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</si>
  <si>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</si>
  <si>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</si>
  <si>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</si>
  <si>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</si>
  <si>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</si>
  <si>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</si>
  <si>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</si>
  <si>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</si>
  <si>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</si>
  <si>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</si>
  <si>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</si>
  <si>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</si>
  <si>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</si>
  <si>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</si>
  <si>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</si>
  <si>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</si>
  <si>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</si>
  <si>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</si>
  <si>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</si>
  <si>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</si>
  <si>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</si>
  <si>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</si>
  <si>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</si>
  <si>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</si>
  <si>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</si>
  <si>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</si>
  <si>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</si>
  <si>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</si>
  <si>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</si>
  <si>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</si>
  <si>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</si>
  <si>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</si>
  <si>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</si>
  <si>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</si>
  <si>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</si>
  <si>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</si>
  <si>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</si>
  <si>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</si>
  <si>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</si>
  <si>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</si>
  <si>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</si>
  <si>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</si>
  <si>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</si>
  <si>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</si>
  <si>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</si>
  <si>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</si>
  <si>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</si>
  <si>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</si>
  <si>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</si>
  <si>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</si>
  <si>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</si>
  <si>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</si>
  <si>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</si>
  <si>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</si>
  <si>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</si>
  <si>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</si>
  <si>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</si>
  <si>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</si>
  <si>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</si>
  <si>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</si>
  <si>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</si>
  <si>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</si>
  <si>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</si>
  <si>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</si>
  <si>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</si>
  <si>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</si>
  <si>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</si>
  <si>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</si>
  <si>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</si>
  <si>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</si>
  <si>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</si>
  <si>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</si>
  <si>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</si>
  <si>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</si>
  <si>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</si>
  <si>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</si>
  <si>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</si>
  <si>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</si>
  <si>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</si>
  <si>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</si>
  <si>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</si>
  <si>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</si>
  <si>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</si>
  <si>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</si>
  <si>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</si>
  <si>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</si>
  <si>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</si>
  <si>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</si>
  <si>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</si>
  <si>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</si>
  <si>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</si>
  <si>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</si>
  <si>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</si>
  <si>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</si>
  <si>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</si>
  <si>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</si>
  <si>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</si>
  <si>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</si>
  <si>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</si>
  <si>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</si>
  <si>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</si>
  <si>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</si>
  <si>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</si>
  <si>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</si>
  <si>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</si>
  <si>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</si>
  <si>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</si>
  <si>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</si>
  <si>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</si>
  <si>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</si>
  <si>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</si>
  <si>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</si>
  <si>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</si>
  <si>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</si>
  <si>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</si>
  <si>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</si>
  <si>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</si>
  <si>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</si>
  <si>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</si>
  <si>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</si>
  <si>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</si>
  <si>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</si>
  <si>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</si>
  <si>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</si>
  <si>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</si>
  <si>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</si>
  <si>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</si>
  <si>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</si>
  <si>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</si>
  <si>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</si>
  <si>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</si>
  <si>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</si>
  <si>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</si>
  <si>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</si>
  <si>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</si>
  <si>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</si>
  <si>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</si>
  <si>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</si>
  <si>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</si>
  <si>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</si>
  <si>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</si>
  <si>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</si>
  <si>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</si>
  <si>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</si>
  <si>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</si>
  <si>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</si>
  <si>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</si>
  <si>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</si>
  <si>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</si>
  <si>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</si>
  <si>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</si>
  <si>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</si>
  <si>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</si>
  <si>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</si>
  <si>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</si>
  <si>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</si>
  <si>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</si>
  <si>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</si>
  <si>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</si>
  <si>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</si>
  <si>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</si>
  <si>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</si>
  <si>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</si>
  <si>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</si>
  <si>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</si>
  <si>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</si>
  <si>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</si>
  <si>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</si>
  <si>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</si>
  <si>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</si>
  <si>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</si>
  <si>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</si>
  <si>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</si>
  <si>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</si>
  <si>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</si>
  <si>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</si>
  <si>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</si>
  <si>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</si>
  <si>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</si>
  <si>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</si>
  <si>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</si>
  <si>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</si>
  <si>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</si>
  <si>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</si>
  <si>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</si>
  <si>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</si>
  <si>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</si>
  <si>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</si>
  <si>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</si>
  <si>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</si>
  <si>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</si>
  <si>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</si>
  <si>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</si>
  <si>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</si>
  <si>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</si>
  <si>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</si>
  <si>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</si>
  <si>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</si>
  <si>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</si>
  <si>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</si>
  <si>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</si>
  <si>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</si>
  <si>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</si>
  <si>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</si>
  <si>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</si>
  <si>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</si>
  <si>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</si>
  <si>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</si>
  <si>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</si>
  <si>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</si>
  <si>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</si>
  <si>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</si>
  <si>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</si>
  <si>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</si>
  <si>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</si>
  <si>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</si>
  <si>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</si>
  <si>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</si>
  <si>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</si>
  <si>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</si>
  <si>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</si>
  <si>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</si>
  <si>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</si>
  <si>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</si>
  <si>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</si>
  <si>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</si>
  <si>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</si>
  <si>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</si>
  <si>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</si>
  <si>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</si>
  <si>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</si>
  <si>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</si>
  <si>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</si>
  <si>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</si>
  <si>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</si>
  <si>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</si>
  <si>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</si>
  <si>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</si>
  <si>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</si>
  <si>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</si>
  <si>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</si>
  <si>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</si>
  <si>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</si>
  <si>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</si>
  <si>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</si>
  <si>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</si>
  <si>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</si>
  <si>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</si>
  <si>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</si>
  <si>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</si>
  <si>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</si>
  <si>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</si>
  <si>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</si>
  <si>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</si>
  <si>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</si>
  <si>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</si>
  <si>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</si>
  <si>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</si>
  <si>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</si>
  <si>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</si>
  <si>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</si>
  <si>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</si>
  <si>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</si>
  <si>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</si>
  <si>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</si>
  <si>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</si>
  <si>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</si>
  <si>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</si>
  <si>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</si>
  <si>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</si>
  <si>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</si>
  <si>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</si>
  <si>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</si>
  <si>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</si>
  <si>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</si>
  <si>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</si>
  <si>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</si>
  <si>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</si>
  <si>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</si>
  <si>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</si>
  <si>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</si>
  <si>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</si>
  <si>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</si>
  <si>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</si>
  <si>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</si>
  <si>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</si>
  <si>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</si>
  <si>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</si>
  <si>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</si>
  <si>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</si>
  <si>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</si>
  <si>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</si>
  <si>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</si>
  <si>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</si>
  <si>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</si>
  <si>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</si>
  <si>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</si>
  <si>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</si>
  <si>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</si>
  <si>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</si>
  <si>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</si>
  <si>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</si>
  <si>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</si>
  <si>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</si>
  <si>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</si>
  <si>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</si>
  <si>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</si>
  <si>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</si>
  <si>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</si>
  <si>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</si>
  <si>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</si>
  <si>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</si>
  <si>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</si>
  <si>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</si>
  <si>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</si>
  <si>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</si>
  <si>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</si>
  <si>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</si>
  <si>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</si>
  <si>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</si>
  <si>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</si>
  <si>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</si>
  <si>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</si>
  <si>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</si>
  <si>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</si>
  <si>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</si>
  <si>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</si>
  <si>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</si>
  <si>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</si>
  <si>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</si>
  <si>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</si>
  <si>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</si>
  <si>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</si>
  <si>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</si>
  <si>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</si>
  <si>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</si>
  <si>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</si>
  <si>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</si>
  <si>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</si>
  <si>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</si>
  <si>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</si>
  <si>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</si>
  <si>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</si>
  <si>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</si>
  <si>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</si>
  <si>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</si>
  <si>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</si>
  <si>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</si>
  <si>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</si>
  <si>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</si>
  <si>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</si>
  <si>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</si>
  <si>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</si>
  <si>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</si>
  <si>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</si>
  <si>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</si>
  <si>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</si>
  <si>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</si>
  <si>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</si>
  <si>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</si>
  <si>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</si>
  <si>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</si>
  <si>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</si>
  <si>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</si>
  <si>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</si>
  <si>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</si>
  <si>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</si>
  <si>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</si>
  <si>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</si>
  <si>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</si>
  <si>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</si>
  <si>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</si>
  <si>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</si>
  <si>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</si>
  <si>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</si>
  <si>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</si>
  <si>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</si>
  <si>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</si>
  <si>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</si>
  <si>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</si>
  <si>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</si>
  <si>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</si>
  <si>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</si>
  <si>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</si>
  <si>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</si>
  <si>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</si>
  <si>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</si>
  <si>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</si>
  <si>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</si>
  <si>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</si>
  <si>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</si>
  <si>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</si>
  <si>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</si>
  <si>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</si>
  <si>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</si>
  <si>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</si>
  <si>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</si>
  <si>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</si>
  <si>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</si>
  <si>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</si>
  <si>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</si>
  <si>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</si>
  <si>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</si>
  <si>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</si>
  <si>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</si>
  <si>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</si>
  <si>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</si>
  <si>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</si>
  <si>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</si>
  <si>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</si>
  <si>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</si>
  <si>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</si>
  <si>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</si>
  <si>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</si>
  <si>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</si>
  <si>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</si>
  <si>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</si>
  <si>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</si>
  <si>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</si>
  <si>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</si>
  <si>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</si>
  <si>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</si>
  <si>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</si>
  <si>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</si>
  <si>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</si>
  <si>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</si>
  <si>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</si>
  <si>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</si>
  <si>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</si>
  <si>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</si>
  <si>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</si>
  <si>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</si>
  <si>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</si>
  <si>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</si>
  <si>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</si>
  <si>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</si>
  <si>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</si>
  <si>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</si>
  <si>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</si>
  <si>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</si>
  <si>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</si>
  <si>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</si>
  <si>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</si>
  <si>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</si>
  <si>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</si>
  <si>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</si>
  <si>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</si>
  <si>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</si>
  <si>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</si>
  <si>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</si>
  <si>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</si>
  <si>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</si>
  <si>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</si>
  <si>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</si>
  <si>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</si>
  <si>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</si>
  <si>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</si>
  <si>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</si>
  <si>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</si>
  <si>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</si>
  <si>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</si>
  <si>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</si>
  <si>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</si>
  <si>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</si>
  <si>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</si>
  <si>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</si>
  <si>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</si>
  <si>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</si>
  <si>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</si>
  <si>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</si>
  <si>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</si>
  <si>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</si>
  <si>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</si>
  <si>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</si>
  <si>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</si>
  <si>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</si>
  <si>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</si>
  <si>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</si>
  <si>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</si>
  <si>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</si>
  <si>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</si>
  <si>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</si>
  <si>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</si>
  <si>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</si>
  <si>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</si>
  <si>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</si>
  <si>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</si>
  <si>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</si>
  <si>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</si>
  <si>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</si>
  <si>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</si>
  <si>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</si>
  <si>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</si>
  <si>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</si>
  <si>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</si>
  <si>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</si>
  <si>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</si>
  <si>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</si>
  <si>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</si>
  <si>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</si>
  <si>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</si>
  <si>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</si>
  <si>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</si>
  <si>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</si>
  <si>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</si>
  <si>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</si>
  <si>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</si>
  <si>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</si>
  <si>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</si>
  <si>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</si>
  <si>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</si>
  <si>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</si>
  <si>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</si>
  <si>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</si>
  <si>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</si>
  <si>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</si>
  <si>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</si>
  <si>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</si>
  <si>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</si>
  <si>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</si>
  <si>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</si>
  <si>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</si>
  <si>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</si>
  <si>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</si>
  <si>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</si>
  <si>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</si>
  <si>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</si>
  <si>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</si>
  <si>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</si>
  <si>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</si>
  <si>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</si>
  <si>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</si>
  <si>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</si>
  <si>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</si>
  <si>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</si>
  <si>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</si>
  <si>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</si>
  <si>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</si>
  <si>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</si>
  <si>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</si>
  <si>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</si>
  <si>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</si>
  <si>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</si>
  <si>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</si>
  <si>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</si>
  <si>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</si>
  <si>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</si>
  <si>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</si>
  <si>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</si>
  <si>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</si>
  <si>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</si>
  <si>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</si>
  <si>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</si>
  <si>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</si>
  <si>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</si>
  <si>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</si>
  <si>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</si>
  <si>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</si>
  <si>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</si>
  <si>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</si>
  <si>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</si>
  <si>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</si>
  <si>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</si>
  <si>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</si>
  <si>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</si>
  <si>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</si>
  <si>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</si>
  <si>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</si>
  <si>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</si>
  <si>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</si>
  <si>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</si>
  <si>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</si>
  <si>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</si>
  <si>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</si>
  <si>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</si>
  <si>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</si>
  <si>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</si>
  <si>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</si>
  <si>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</si>
  <si>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</si>
  <si>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</si>
  <si>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</si>
  <si>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</si>
  <si>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</si>
  <si>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</si>
  <si>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</si>
  <si>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</si>
  <si>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</si>
  <si>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</si>
  <si>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</si>
  <si>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</si>
  <si>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</si>
  <si>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</si>
  <si>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</si>
  <si>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</si>
  <si>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</si>
  <si>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</si>
  <si>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</si>
  <si>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</si>
  <si>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</si>
  <si>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</si>
  <si>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</si>
  <si>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</si>
  <si>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</si>
  <si>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</si>
  <si>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</si>
  <si>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</si>
  <si>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</si>
  <si>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</si>
  <si>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</si>
  <si>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</si>
  <si>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</si>
  <si>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</si>
  <si>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</si>
  <si>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</si>
  <si>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</si>
  <si>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</si>
  <si>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</si>
  <si>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</si>
  <si>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</si>
  <si>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</si>
  <si>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</si>
  <si>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</si>
  <si>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</si>
  <si>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</si>
  <si>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</si>
  <si>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</si>
  <si>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</si>
  <si>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</si>
  <si>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</si>
  <si>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</si>
  <si>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</si>
  <si>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</si>
  <si>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</si>
  <si>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</si>
  <si>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</si>
  <si>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</si>
  <si>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</si>
  <si>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</si>
  <si>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</si>
  <si>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</si>
  <si>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</si>
  <si>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</si>
  <si>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</si>
  <si>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</si>
  <si>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</si>
  <si>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</si>
  <si>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</si>
  <si>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</si>
  <si>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</si>
  <si>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</si>
  <si>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</si>
  <si>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</si>
  <si>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</si>
  <si>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</si>
  <si>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</si>
  <si>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</si>
  <si>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</si>
  <si>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</si>
  <si>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</si>
  <si>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</si>
  <si>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</si>
  <si>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</si>
  <si>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</si>
  <si>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</si>
  <si>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</si>
  <si>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</si>
  <si>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</si>
  <si>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</si>
  <si>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</si>
  <si>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</si>
  <si>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</si>
  <si>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</si>
  <si>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</si>
  <si>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</si>
  <si>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</si>
  <si>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</si>
  <si>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</si>
  <si>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</si>
  <si>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</si>
  <si>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</si>
  <si>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</si>
  <si>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</si>
  <si>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</si>
  <si>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</si>
  <si>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</si>
  <si>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</si>
  <si>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</si>
  <si>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</si>
  <si>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</si>
  <si>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</si>
  <si>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</si>
  <si>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</si>
  <si>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</si>
  <si>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</si>
  <si>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</si>
  <si>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</si>
  <si>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</si>
  <si>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</si>
  <si>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</si>
  <si>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</si>
  <si>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</si>
  <si>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</si>
  <si>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</si>
  <si>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</si>
  <si>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</si>
  <si>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</si>
  <si>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</si>
  <si>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</si>
  <si>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</si>
  <si>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</si>
  <si>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</si>
  <si>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</si>
  <si>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</si>
  <si>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</si>
  <si>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</si>
  <si>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</si>
  <si>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</si>
  <si>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</si>
  <si>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</si>
  <si>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</si>
  <si>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</si>
  <si>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</si>
  <si>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</si>
  <si>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</si>
  <si>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</si>
  <si>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</si>
  <si>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</si>
  <si>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</si>
  <si>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</si>
  <si>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</si>
  <si>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</si>
  <si>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</si>
  <si>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</si>
  <si>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</si>
  <si>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</si>
  <si>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</si>
  <si>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</si>
  <si>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</si>
  <si>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</si>
  <si>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</si>
  <si>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</si>
  <si>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</si>
  <si>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</si>
  <si>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</si>
  <si>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</si>
  <si>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</si>
  <si>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</si>
  <si>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</si>
  <si>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</si>
  <si>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</si>
  <si>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</si>
  <si>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</si>
  <si>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</si>
  <si>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</si>
  <si>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</si>
  <si>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</si>
  <si>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</si>
  <si>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</si>
  <si>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</si>
  <si>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</si>
  <si>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</si>
  <si>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</si>
  <si>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</si>
  <si>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</si>
  <si>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</si>
  <si>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</si>
  <si>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</si>
  <si>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</si>
  <si>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</si>
  <si>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</si>
  <si>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</si>
  <si>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</si>
  <si>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</si>
  <si>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</si>
  <si>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</si>
  <si>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</si>
  <si>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</si>
  <si>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</si>
  <si>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</si>
  <si>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</si>
  <si>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</si>
  <si>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</si>
  <si>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</si>
  <si>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</si>
  <si>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</si>
  <si>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</si>
  <si>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</si>
  <si>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</si>
  <si>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</si>
  <si>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</si>
  <si>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</si>
  <si>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</si>
  <si>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</si>
  <si>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</si>
  <si>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</si>
  <si>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</si>
  <si>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</si>
  <si>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</si>
  <si>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</si>
  <si>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</si>
  <si>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</si>
  <si>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</si>
  <si>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</si>
  <si>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</si>
  <si>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</si>
  <si>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</si>
  <si>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</si>
  <si>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</si>
  <si>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</si>
  <si>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</si>
  <si>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</si>
  <si>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</si>
  <si>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</si>
  <si>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</si>
  <si>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</si>
  <si>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</si>
  <si>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</si>
  <si>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</si>
  <si>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</si>
  <si>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</si>
  <si>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</si>
  <si>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</si>
  <si>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</si>
  <si>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</si>
  <si>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</si>
  <si>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</si>
  <si>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</si>
  <si>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</si>
  <si>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</si>
  <si>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</si>
  <si>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</si>
  <si>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</si>
  <si>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</si>
  <si>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</si>
  <si>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</si>
  <si>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</si>
  <si>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</si>
  <si>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</si>
  <si>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</si>
  <si>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</si>
  <si>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</si>
  <si>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</si>
  <si>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</si>
  <si>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</si>
  <si>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</si>
  <si>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</si>
  <si>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</si>
  <si>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</si>
  <si>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</si>
  <si>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</si>
  <si>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</si>
  <si>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</si>
  <si>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</si>
  <si>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</si>
  <si>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</si>
  <si>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</si>
  <si>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</si>
  <si>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</si>
  <si>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</si>
  <si>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</si>
  <si>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</si>
  <si>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</si>
  <si>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</si>
  <si>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</si>
  <si>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</si>
  <si>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</si>
  <si>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</si>
  <si>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</si>
  <si>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</si>
  <si>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</si>
  <si>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</si>
  <si>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</si>
  <si>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</si>
  <si>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</si>
  <si>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</si>
  <si>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</si>
  <si>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</si>
  <si>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</si>
  <si>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</si>
  <si>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</si>
  <si>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</si>
  <si>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</si>
  <si>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</si>
  <si>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</si>
  <si>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</si>
  <si>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</si>
  <si>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</si>
  <si>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</si>
  <si>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</si>
  <si>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</si>
  <si>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</si>
  <si>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</si>
  <si>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</si>
  <si>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</si>
  <si>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</si>
  <si>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</si>
  <si>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</si>
  <si>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</si>
  <si>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</si>
  <si>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</si>
  <si>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</si>
  <si>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</si>
  <si>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</si>
  <si>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</si>
  <si>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</si>
  <si>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</si>
  <si>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</si>
  <si>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</si>
  <si>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</si>
  <si>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</si>
  <si>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</si>
  <si>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</si>
  <si>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</si>
  <si>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</si>
  <si>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</si>
  <si>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</si>
  <si>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</si>
  <si>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</si>
  <si>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</si>
  <si>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</si>
  <si>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</si>
  <si>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</si>
  <si>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</si>
  <si>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</si>
  <si>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</si>
  <si>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</si>
  <si>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</si>
  <si>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</si>
  <si>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</si>
  <si>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</si>
  <si>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</si>
  <si>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</si>
  <si>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</si>
  <si>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</si>
  <si>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</si>
  <si>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</si>
  <si>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</si>
  <si>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</si>
  <si>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</si>
  <si>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</si>
  <si>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</si>
  <si>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</si>
  <si>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</si>
  <si>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</si>
  <si>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</si>
  <si>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</si>
  <si>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</si>
  <si>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</si>
  <si>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</si>
  <si>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</si>
  <si>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</si>
  <si>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</si>
  <si>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</si>
  <si>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</si>
  <si>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</si>
  <si>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</si>
  <si>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</si>
  <si>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</si>
  <si>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</si>
  <si>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</si>
  <si>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</si>
  <si>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</si>
  <si>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</si>
  <si>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</si>
  <si>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</si>
  <si>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</si>
  <si>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</si>
  <si>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</si>
  <si>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</si>
  <si>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</si>
  <si>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</si>
  <si>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</si>
  <si>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</si>
  <si>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</si>
  <si>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</si>
  <si>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</si>
  <si>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</si>
  <si>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</si>
  <si>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</si>
  <si>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</si>
  <si>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</si>
  <si>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</si>
  <si>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</si>
  <si>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</si>
  <si>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</si>
  <si>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</si>
  <si>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</si>
  <si>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</si>
  <si>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</si>
  <si>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</si>
  <si>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</si>
  <si>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</si>
  <si>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</si>
  <si>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</si>
  <si>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</si>
  <si>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</si>
  <si>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</si>
  <si>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</si>
  <si>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</si>
  <si>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</si>
  <si>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</si>
  <si>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</si>
  <si>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</si>
  <si>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</si>
  <si>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</si>
  <si>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</si>
  <si>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</si>
  <si>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</si>
  <si>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</si>
  <si>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</si>
  <si>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</si>
  <si>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</si>
  <si>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</si>
  <si>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</si>
  <si>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</si>
  <si>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</si>
  <si>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</si>
  <si>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</si>
  <si>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</si>
  <si>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</si>
  <si>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</si>
  <si>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</si>
  <si>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</si>
  <si>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</si>
  <si>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</si>
  <si>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</si>
  <si>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</si>
  <si>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</si>
  <si>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</si>
  <si>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</si>
  <si>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</si>
  <si>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</si>
  <si>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</si>
  <si>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</si>
  <si>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</si>
  <si>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</si>
  <si>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</si>
  <si>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</si>
  <si>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</si>
  <si>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</si>
  <si>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</si>
  <si>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</si>
  <si>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</si>
  <si>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</si>
  <si>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</si>
  <si>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</si>
  <si>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</si>
  <si>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</si>
  <si>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</si>
  <si>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</si>
  <si>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</si>
  <si>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</si>
  <si>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</si>
  <si>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</si>
  <si>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</si>
  <si>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</si>
  <si>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</si>
  <si>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</si>
  <si>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</si>
  <si>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</si>
  <si>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</si>
  <si>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</si>
  <si>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</si>
  <si>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</si>
  <si>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</si>
  <si>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</si>
  <si>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</si>
  <si>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</si>
  <si>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</si>
  <si>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</si>
  <si>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</si>
  <si>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</si>
  <si>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</si>
  <si>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</si>
  <si>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</si>
  <si>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</si>
  <si>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</si>
  <si>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</si>
  <si>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</si>
  <si>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</si>
  <si>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</si>
  <si>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</si>
  <si>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</si>
  <si>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</si>
  <si>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</si>
  <si>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</si>
  <si>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</si>
  <si>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</si>
  <si>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</si>
  <si>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</si>
  <si>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</si>
  <si>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</si>
  <si>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</si>
  <si>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</si>
  <si>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</si>
  <si>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</si>
  <si>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</si>
  <si>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</si>
  <si>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</si>
  <si>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</si>
  <si>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</si>
  <si>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</si>
  <si>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</si>
  <si>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</si>
  <si>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</si>
  <si>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</si>
  <si>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</si>
  <si>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</si>
  <si>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</si>
  <si>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</si>
  <si>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</si>
  <si>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</si>
  <si>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</si>
  <si>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</si>
  <si>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</si>
  <si>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</si>
  <si>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</si>
  <si>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</si>
  <si>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</si>
  <si>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</si>
  <si>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</si>
  <si>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</si>
  <si>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</si>
  <si>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</si>
  <si>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</si>
  <si>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</si>
  <si>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</si>
  <si>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</si>
  <si>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</si>
  <si>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</si>
  <si>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</si>
  <si>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</si>
  <si>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</si>
  <si>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</si>
  <si>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</si>
  <si>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</si>
  <si>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</si>
  <si>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</si>
  <si>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</si>
  <si>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</si>
  <si>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</si>
  <si>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</si>
  <si>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</si>
  <si>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</si>
  <si>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</si>
  <si>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</si>
  <si>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</si>
  <si>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</si>
  <si>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</si>
  <si>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</si>
  <si>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</si>
  <si>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</si>
  <si>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</si>
  <si>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</si>
  <si>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</si>
  <si>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</si>
  <si>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</si>
  <si>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</si>
  <si>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</si>
  <si>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</si>
  <si>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</si>
  <si>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</si>
  <si>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</si>
  <si>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</si>
  <si>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</si>
  <si>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</si>
  <si>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</si>
  <si>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</si>
  <si>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</si>
  <si>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</si>
  <si>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</si>
  <si>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</si>
  <si>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</si>
  <si>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</si>
  <si>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</si>
  <si>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</si>
  <si>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</si>
  <si>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</si>
  <si>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</si>
  <si>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</si>
  <si>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</si>
  <si>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</si>
  <si>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</si>
  <si>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</si>
  <si>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</si>
  <si>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</si>
  <si>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</si>
  <si>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</si>
  <si>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</si>
  <si>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</si>
  <si>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</si>
  <si>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</si>
  <si>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</si>
  <si>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</si>
  <si>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</si>
  <si>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</si>
  <si>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</si>
  <si>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</si>
  <si>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</si>
  <si>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</si>
  <si>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</si>
  <si>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</si>
  <si>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</si>
  <si>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</si>
  <si>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</si>
  <si>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</si>
  <si>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</si>
  <si>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</si>
  <si>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</si>
  <si>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</si>
  <si>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</si>
  <si>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</si>
  <si>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</si>
  <si>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</si>
  <si>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</si>
  <si>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</si>
  <si>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</si>
  <si>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</si>
  <si>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</si>
  <si>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</si>
  <si>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</si>
  <si>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</si>
  <si>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</si>
  <si>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</si>
  <si>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</si>
  <si>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</si>
  <si>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</si>
  <si>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</si>
  <si>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</si>
  <si>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</si>
  <si>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</si>
  <si>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</si>
  <si>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</si>
  <si>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</si>
  <si>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</si>
  <si>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</si>
  <si>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</si>
  <si>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</si>
  <si>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</si>
  <si>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</si>
  <si>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</si>
  <si>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</si>
  <si>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</si>
  <si>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</si>
  <si>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</si>
  <si>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</si>
  <si>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</si>
  <si>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</si>
  <si>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</si>
  <si>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</si>
  <si>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</si>
  <si>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</si>
  <si>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</si>
  <si>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</si>
  <si>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</si>
  <si>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</si>
  <si>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</si>
  <si>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</si>
  <si>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</si>
  <si>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</si>
  <si>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</si>
  <si>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</si>
  <si>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</si>
  <si>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</si>
  <si>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</si>
  <si>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</si>
  <si>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</si>
  <si>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</si>
  <si>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</si>
  <si>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</si>
  <si>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</si>
  <si>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</si>
  <si>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</si>
  <si>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</si>
  <si>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</si>
  <si>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</si>
  <si>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</si>
  <si>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</si>
  <si>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</si>
  <si>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</si>
  <si>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</si>
  <si>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</si>
  <si>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</si>
  <si>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</si>
  <si>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</si>
  <si>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</si>
  <si>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</si>
  <si>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</si>
  <si>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</si>
  <si>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</si>
  <si>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</si>
  <si>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</si>
  <si>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</si>
  <si>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</si>
  <si>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</si>
  <si>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</si>
  <si>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</si>
  <si>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</si>
  <si>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</si>
  <si>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</si>
  <si>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</si>
  <si>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</si>
  <si>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</si>
  <si>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</si>
  <si>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</si>
  <si>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</si>
  <si>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</si>
  <si>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</si>
  <si>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</si>
  <si>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</si>
  <si>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</si>
  <si>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</si>
  <si>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</si>
  <si>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</si>
  <si>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</si>
  <si>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</si>
  <si>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</si>
  <si>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</si>
  <si>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</si>
  <si>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</si>
  <si>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</si>
  <si>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</si>
  <si>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</si>
  <si>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</si>
  <si>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</si>
  <si>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</si>
  <si>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</si>
  <si>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</si>
  <si>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</si>
  <si>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</si>
  <si>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</si>
  <si>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</si>
  <si>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</si>
  <si>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</si>
  <si>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</si>
  <si>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</si>
  <si>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</si>
  <si>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</si>
  <si>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</si>
  <si>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</si>
  <si>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</si>
  <si>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</si>
  <si>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</si>
  <si>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</si>
  <si>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</si>
  <si>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</si>
  <si>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</si>
  <si>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</si>
  <si>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</si>
  <si>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</si>
  <si>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</si>
  <si>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</si>
  <si>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</si>
  <si>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</si>
  <si>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</si>
  <si>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</si>
  <si>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</si>
  <si>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</si>
  <si>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</si>
  <si>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</si>
  <si>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</si>
  <si>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</si>
  <si>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</si>
  <si>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</si>
  <si>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</si>
  <si>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</si>
  <si>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</si>
  <si>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</si>
  <si>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</si>
  <si>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</si>
  <si>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</si>
  <si>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</si>
  <si>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</si>
  <si>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</si>
  <si>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</si>
  <si>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</si>
  <si>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</si>
  <si>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</si>
  <si>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</si>
  <si>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</si>
  <si>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</si>
  <si>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</si>
  <si>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</si>
  <si>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</si>
  <si>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</si>
  <si>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</si>
  <si>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</si>
  <si>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</si>
  <si>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</si>
  <si>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</si>
  <si>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</si>
  <si>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</si>
  <si>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</si>
  <si>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</si>
  <si>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</si>
  <si>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</si>
  <si>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</si>
  <si>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</si>
  <si>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</si>
  <si>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</si>
  <si>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</si>
  <si>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</si>
  <si>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</si>
  <si>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</si>
  <si>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</si>
  <si>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</si>
  <si>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</si>
  <si>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</si>
  <si>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</si>
  <si>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</si>
  <si>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</si>
  <si>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</si>
  <si>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</si>
  <si>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</si>
  <si>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</si>
  <si>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</si>
  <si>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</si>
  <si>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</si>
  <si>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</si>
  <si>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</si>
  <si>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</si>
  <si>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</si>
  <si>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</si>
  <si>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</si>
  <si>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</si>
  <si>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</si>
  <si>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</si>
  <si>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</si>
  <si>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</si>
  <si>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</si>
  <si>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</si>
  <si>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</si>
  <si>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</si>
  <si>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</si>
  <si>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</si>
  <si>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</si>
  <si>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</si>
  <si>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</si>
  <si>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</si>
  <si>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</si>
  <si>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</si>
  <si>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</si>
  <si>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</si>
  <si>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</si>
  <si>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</si>
  <si>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</si>
  <si>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</si>
  <si>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</si>
  <si>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</si>
  <si>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</si>
  <si>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</si>
  <si>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</si>
  <si>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</si>
  <si>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</si>
  <si>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</si>
  <si>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</si>
  <si>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</si>
  <si>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</si>
  <si>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</si>
  <si>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</si>
  <si>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</si>
  <si>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</si>
  <si>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</si>
  <si>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</si>
  <si>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</si>
  <si>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</si>
  <si>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</si>
  <si>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</si>
  <si>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</si>
  <si>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</si>
  <si>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</si>
  <si>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</si>
  <si>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</si>
  <si>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</si>
  <si>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</si>
  <si>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</si>
  <si>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</si>
  <si>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</si>
  <si>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</si>
  <si>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</si>
  <si>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</si>
  <si>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</si>
  <si>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</si>
  <si>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</si>
  <si>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</si>
  <si>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</si>
  <si>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</si>
  <si>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</si>
  <si>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</si>
  <si>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</si>
  <si>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</si>
  <si>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</si>
  <si>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</si>
  <si>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</si>
  <si>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</si>
  <si>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</si>
  <si>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</si>
  <si>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</si>
  <si>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</si>
  <si>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</si>
  <si>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</si>
  <si>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</si>
  <si>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</si>
  <si>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</si>
  <si>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</si>
  <si>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</si>
  <si>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</si>
  <si>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</si>
  <si>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</si>
  <si>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</si>
  <si>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</si>
  <si>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</si>
  <si>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</si>
  <si>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</si>
  <si>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</si>
  <si>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</si>
  <si>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</si>
  <si>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</si>
  <si>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</si>
  <si>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</si>
  <si>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</si>
  <si>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</si>
  <si>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</si>
  <si>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</si>
  <si>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</si>
  <si>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</si>
  <si>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</si>
  <si>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</si>
  <si>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</si>
  <si>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</si>
  <si>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</si>
  <si>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</si>
  <si>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</si>
  <si>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</si>
  <si>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</si>
  <si>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</si>
  <si>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</si>
  <si>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</si>
  <si>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</si>
  <si>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</si>
  <si>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</si>
  <si>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</si>
  <si>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</si>
  <si>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</si>
  <si>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</si>
  <si>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</si>
  <si>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</si>
  <si>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</si>
  <si>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</si>
  <si>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</si>
  <si>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</si>
  <si>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</si>
  <si>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</si>
  <si>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</si>
  <si>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</si>
  <si>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</si>
  <si>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</si>
  <si>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</si>
  <si>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</si>
  <si>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</si>
  <si>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</si>
  <si>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</si>
  <si>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</si>
  <si>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</si>
  <si>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</si>
  <si>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</si>
  <si>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</si>
  <si>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</si>
  <si>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</si>
  <si>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</si>
  <si>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</si>
  <si>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</si>
  <si>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</si>
  <si>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</si>
  <si>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</si>
  <si>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</si>
  <si>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</si>
  <si>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</si>
  <si>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</si>
  <si>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</si>
  <si>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</si>
  <si>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</si>
  <si>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</si>
  <si>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</si>
  <si>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</si>
  <si>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</si>
  <si>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</si>
  <si>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</si>
  <si>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</si>
  <si>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</si>
  <si>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</si>
  <si>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</si>
  <si>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</si>
  <si>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</si>
  <si>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</si>
  <si>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</si>
  <si>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</si>
  <si>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</si>
  <si>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</si>
  <si>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</si>
  <si>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</si>
  <si>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</si>
  <si>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</si>
  <si>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</si>
  <si>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</si>
  <si>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</si>
  <si>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</si>
  <si>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</si>
  <si>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</si>
  <si>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</si>
  <si>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</si>
  <si>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</si>
  <si>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</si>
  <si>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</si>
  <si>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</si>
  <si>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</si>
  <si>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</si>
  <si>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</si>
  <si>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</si>
  <si>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</si>
  <si>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</si>
  <si>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</si>
  <si>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</si>
  <si>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</si>
  <si>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</si>
  <si>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</si>
  <si>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</si>
  <si>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</si>
  <si>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</si>
  <si>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</si>
  <si>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</si>
  <si>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</si>
  <si>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</si>
  <si>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</si>
  <si>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</si>
  <si>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</si>
  <si>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</si>
  <si>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</si>
  <si>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</si>
  <si>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</si>
  <si>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</si>
  <si>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</si>
  <si>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</si>
  <si>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</si>
  <si>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</si>
  <si>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</si>
  <si>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</si>
  <si>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</si>
  <si>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</si>
  <si>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</si>
  <si>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</si>
  <si>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</si>
  <si>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</si>
  <si>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</si>
  <si>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</si>
  <si>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</si>
  <si>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</si>
  <si>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</si>
  <si>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</si>
  <si>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</si>
  <si>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</si>
  <si>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</si>
  <si>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</si>
  <si>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</si>
  <si>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</si>
  <si>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</si>
  <si>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</si>
  <si>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</si>
  <si>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</si>
  <si>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</si>
  <si>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</si>
  <si>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</si>
  <si>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</si>
  <si>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</si>
  <si>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</si>
  <si>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</si>
  <si>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</si>
  <si>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</si>
  <si>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</si>
  <si>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</si>
  <si>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</si>
  <si>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</si>
  <si>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</si>
  <si>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</si>
  <si>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</si>
  <si>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</si>
  <si>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</si>
  <si>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</si>
  <si>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</si>
  <si>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</si>
  <si>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</si>
  <si>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</si>
  <si>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</si>
  <si>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</si>
  <si>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</si>
  <si>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</si>
  <si>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</si>
  <si>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</si>
  <si>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</si>
  <si>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</si>
  <si>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</si>
  <si>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</si>
  <si>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</si>
  <si>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</si>
  <si>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</si>
  <si>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</si>
  <si>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</si>
  <si>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</si>
  <si>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</si>
  <si>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</si>
  <si>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</si>
  <si>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</si>
  <si>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</si>
  <si>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</si>
  <si>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</si>
  <si>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</si>
  <si>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</si>
  <si>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</si>
  <si>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</si>
  <si>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</si>
  <si>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</si>
  <si>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</si>
  <si>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</si>
  <si>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</si>
  <si>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</si>
  <si>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</si>
  <si>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</si>
  <si>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</si>
  <si>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</si>
  <si>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</si>
  <si>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</si>
  <si>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</si>
  <si>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</si>
  <si>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</si>
  <si>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</si>
  <si>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</si>
  <si>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</si>
  <si>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</si>
  <si>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</si>
  <si>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</si>
  <si>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</si>
  <si>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</si>
  <si>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</si>
  <si>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</si>
  <si>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</si>
  <si>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</si>
  <si>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</si>
  <si>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</si>
  <si>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</si>
  <si>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</si>
  <si>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</si>
  <si>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</si>
  <si>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</si>
  <si>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</si>
  <si>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</si>
  <si>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</si>
  <si>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</si>
  <si>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</si>
  <si>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</si>
  <si>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</si>
  <si>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</si>
  <si>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</si>
  <si>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</si>
  <si>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</si>
  <si>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</si>
  <si>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</si>
  <si>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</si>
  <si>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</si>
  <si>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</si>
  <si>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</si>
  <si>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</si>
  <si>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</si>
  <si>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</si>
  <si>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</si>
  <si>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</si>
  <si>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</si>
  <si>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</si>
  <si>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</si>
  <si>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</si>
  <si>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</si>
  <si>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</si>
  <si>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</si>
  <si>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</si>
  <si>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</si>
  <si>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</si>
  <si>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</si>
  <si>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</si>
  <si>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</si>
  <si>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</si>
  <si>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</si>
  <si>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</si>
  <si>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</si>
  <si>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</si>
  <si>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</si>
  <si>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</si>
  <si>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</si>
  <si>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</si>
  <si>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</si>
  <si>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</si>
  <si>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</si>
  <si>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</si>
  <si>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</si>
  <si>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</si>
  <si>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</si>
  <si>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</si>
  <si>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</si>
  <si>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</si>
  <si>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</si>
  <si>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</si>
  <si>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</si>
  <si>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</si>
  <si>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</si>
  <si>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</si>
  <si>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</si>
  <si>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</si>
  <si>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</si>
  <si>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</si>
  <si>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</si>
  <si>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</si>
  <si>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</si>
  <si>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</si>
  <si>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</si>
  <si>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</si>
  <si>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</si>
  <si>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</si>
  <si>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</si>
  <si>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</si>
  <si>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</si>
  <si>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</si>
  <si>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</si>
  <si>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</si>
  <si>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</si>
  <si>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</si>
  <si>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</si>
  <si>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</si>
  <si>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</si>
  <si>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</si>
  <si>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</si>
  <si>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</si>
  <si>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</si>
  <si>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</si>
  <si>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</si>
  <si>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</si>
  <si>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</si>
  <si>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</si>
  <si>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</si>
  <si>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</si>
  <si>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</si>
  <si>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</si>
  <si>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</si>
  <si>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</si>
  <si>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</si>
  <si>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</si>
  <si>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</si>
  <si>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</si>
  <si>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</si>
  <si>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</si>
  <si>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</si>
  <si>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</si>
  <si>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</si>
  <si>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</si>
  <si>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</si>
  <si>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</si>
  <si>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</si>
  <si>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</si>
  <si>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</si>
  <si>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</si>
  <si>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</si>
  <si>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</si>
  <si>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</si>
  <si>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</si>
  <si>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</si>
  <si>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</si>
  <si>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</si>
  <si>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</si>
  <si>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</si>
  <si>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</si>
  <si>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</si>
  <si>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</si>
  <si>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</si>
  <si>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</si>
  <si>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</si>
  <si>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</si>
  <si>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</si>
  <si>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</si>
  <si>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</si>
  <si>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</si>
  <si>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</si>
  <si>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</si>
  <si>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</si>
  <si>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</si>
  <si>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</si>
  <si>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</si>
  <si>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</si>
  <si>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</si>
  <si>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</si>
  <si>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</si>
  <si>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</si>
  <si>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</si>
  <si>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</si>
  <si>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</si>
  <si>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</si>
  <si>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</si>
  <si>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</si>
  <si>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</si>
  <si>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</si>
  <si>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</si>
  <si>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</si>
  <si>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</si>
  <si>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</si>
  <si>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</si>
  <si>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</si>
  <si>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</si>
  <si>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</si>
  <si>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</si>
  <si>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</si>
  <si>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</si>
  <si>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</si>
  <si>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</si>
  <si>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</si>
  <si>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</si>
  <si>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</si>
  <si>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</si>
  <si>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</si>
  <si>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</si>
  <si>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</si>
  <si>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</si>
  <si>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</si>
  <si>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</si>
  <si>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</si>
  <si>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</si>
  <si>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</si>
  <si>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</si>
  <si>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</si>
  <si>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</si>
  <si>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</si>
  <si>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</si>
  <si>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</si>
  <si>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</si>
  <si>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</si>
  <si>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</si>
  <si>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</si>
  <si>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</si>
  <si>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</si>
  <si>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</si>
  <si>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</si>
  <si>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</si>
  <si>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</si>
  <si>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</si>
  <si>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</si>
  <si>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</si>
  <si>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</si>
  <si>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</si>
  <si>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</si>
  <si>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</si>
  <si>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</si>
  <si>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</si>
  <si>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</si>
  <si>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</si>
  <si>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</si>
  <si>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</si>
  <si>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</si>
  <si>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</si>
  <si>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</si>
  <si>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</si>
  <si>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</si>
  <si>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</si>
  <si>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</si>
  <si>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</si>
  <si>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</si>
  <si>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</si>
  <si>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</si>
  <si>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</si>
  <si>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</si>
  <si>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</si>
  <si>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</si>
  <si>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</si>
  <si>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</si>
  <si>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</si>
  <si>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</si>
  <si>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</si>
  <si>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</si>
  <si>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</si>
  <si>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</si>
  <si>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</si>
  <si>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</si>
  <si>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</si>
  <si>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</si>
  <si>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</si>
  <si>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</si>
  <si>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</si>
  <si>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</si>
  <si>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</si>
  <si>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</si>
  <si>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</si>
  <si>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</si>
  <si>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</si>
  <si>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</si>
  <si>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</si>
  <si>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</si>
  <si>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</si>
  <si>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</si>
  <si>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</si>
  <si>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</si>
  <si>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</si>
  <si>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</si>
  <si>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</si>
  <si>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</si>
  <si>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</si>
  <si>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</si>
  <si>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</si>
  <si>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</si>
  <si>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</si>
  <si>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</si>
  <si>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</si>
  <si>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</si>
  <si>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</si>
  <si>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</si>
  <si>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</si>
  <si>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</si>
  <si>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</si>
  <si>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</si>
  <si>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</si>
  <si>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</si>
  <si>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</si>
  <si>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</si>
  <si>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</si>
  <si>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</si>
  <si>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</si>
  <si>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</si>
  <si>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</si>
  <si>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</si>
  <si>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</si>
  <si>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</si>
  <si>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</si>
  <si>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</si>
  <si>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</si>
  <si>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</si>
  <si>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</si>
  <si>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</si>
  <si>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</si>
  <si>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</si>
  <si>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</si>
  <si>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</si>
  <si>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</si>
  <si>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</si>
  <si>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</si>
  <si>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</si>
  <si>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</si>
  <si>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</si>
  <si>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</si>
  <si>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</si>
  <si>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</si>
  <si>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</si>
  <si>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</si>
  <si>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</si>
  <si>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</si>
  <si>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</si>
  <si>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</si>
  <si>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</si>
  <si>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</si>
  <si>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</si>
  <si>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</si>
  <si>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</si>
  <si>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</si>
  <si>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</si>
  <si>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</si>
  <si>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</si>
  <si>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</si>
  <si>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</si>
  <si>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</si>
  <si>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</si>
  <si>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</si>
  <si>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</si>
  <si>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</si>
  <si>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</si>
  <si>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</si>
  <si>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</si>
  <si>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</si>
  <si>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</si>
  <si>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</si>
  <si>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</si>
  <si>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</si>
  <si>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</si>
  <si>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</si>
  <si>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</si>
  <si>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</si>
  <si>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</si>
  <si>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</si>
  <si>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</si>
  <si>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</si>
  <si>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</si>
  <si>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</si>
  <si>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</si>
  <si>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</si>
  <si>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</si>
  <si>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</si>
  <si>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</si>
  <si>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</si>
  <si>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</si>
  <si>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</si>
  <si>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</si>
  <si>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</si>
  <si>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</si>
  <si>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</si>
  <si>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</si>
  <si>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</si>
  <si>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</si>
  <si>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</si>
  <si>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</si>
  <si>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</si>
  <si>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</si>
  <si>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</si>
  <si>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</si>
  <si>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</si>
  <si>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</si>
  <si>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</si>
  <si>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</si>
  <si>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</si>
  <si>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</si>
  <si>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</si>
  <si>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</si>
  <si>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</si>
  <si>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</si>
  <si>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</si>
  <si>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</si>
  <si>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</si>
  <si>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</si>
  <si>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</si>
  <si>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</si>
  <si>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</si>
  <si>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</si>
  <si>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</si>
  <si>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</si>
  <si>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</si>
  <si>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</si>
  <si>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</si>
  <si>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</si>
  <si>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</si>
  <si>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</si>
  <si>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</si>
  <si>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</si>
  <si>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</si>
  <si>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</si>
  <si>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</si>
  <si>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</si>
  <si>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</si>
  <si>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</si>
  <si>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</si>
  <si>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</si>
  <si>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</si>
  <si>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</si>
  <si>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</si>
  <si>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</si>
  <si>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</si>
  <si>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</si>
  <si>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</si>
  <si>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</si>
  <si>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</si>
  <si>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</si>
  <si>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</si>
  <si>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</si>
  <si>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</si>
  <si>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</si>
  <si>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</si>
  <si>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</si>
  <si>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</si>
  <si>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</si>
  <si>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</si>
  <si>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</si>
  <si>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</si>
  <si>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</si>
  <si>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</si>
  <si>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</si>
  <si>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</si>
  <si>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</si>
  <si>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</si>
  <si>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</si>
  <si>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</si>
  <si>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</si>
  <si>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</si>
  <si>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</si>
  <si>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</si>
  <si>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</si>
  <si>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</si>
  <si>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</si>
  <si>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</si>
  <si>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</si>
  <si>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</si>
  <si>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</si>
  <si>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</si>
  <si>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</si>
  <si>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</si>
  <si>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</si>
  <si>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</si>
  <si>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</si>
  <si>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</si>
  <si>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</si>
  <si>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</si>
  <si>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</si>
  <si>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</si>
  <si>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</si>
  <si>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</si>
  <si>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</si>
  <si>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</si>
  <si>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</si>
  <si>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</si>
  <si>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</si>
  <si>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</si>
  <si>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</si>
  <si>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</si>
  <si>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</si>
  <si>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</si>
  <si>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</si>
  <si>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</si>
  <si>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</si>
  <si>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</si>
  <si>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</si>
  <si>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</si>
  <si>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</si>
  <si>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</si>
  <si>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</si>
  <si>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</si>
  <si>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</si>
  <si>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</si>
  <si>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</si>
  <si>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</si>
  <si>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</si>
  <si>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</si>
  <si>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</si>
  <si>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</si>
  <si>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</si>
  <si>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</si>
  <si>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</si>
  <si>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</si>
  <si>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</si>
  <si>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</si>
  <si>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</si>
  <si>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</si>
  <si>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</si>
  <si>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</si>
  <si>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</si>
  <si>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</si>
  <si>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</si>
  <si>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</si>
  <si>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</si>
  <si>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</si>
  <si>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</si>
  <si>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</si>
  <si>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</si>
  <si>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</si>
  <si>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</si>
  <si>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</si>
  <si>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</si>
  <si>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</si>
  <si>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</si>
  <si>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</si>
  <si>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</si>
  <si>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</si>
  <si>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</si>
  <si>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</si>
  <si>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</si>
  <si>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</si>
  <si>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</si>
  <si>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</si>
  <si>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</si>
  <si>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</si>
  <si>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</si>
  <si>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</si>
  <si>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</si>
  <si>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</si>
  <si>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</si>
  <si>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</si>
  <si>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</si>
  <si>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</si>
  <si>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</si>
  <si>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</si>
  <si>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</si>
  <si>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</si>
  <si>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</si>
  <si>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</si>
  <si>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</si>
  <si>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</si>
  <si>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</si>
  <si>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</si>
  <si>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</si>
  <si>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</si>
  <si>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</si>
  <si>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</si>
  <si>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</si>
  <si>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</si>
  <si>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</si>
  <si>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</si>
  <si>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</si>
  <si>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</si>
  <si>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</si>
  <si>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</si>
  <si>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</si>
  <si>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</si>
  <si>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</si>
  <si>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</si>
  <si>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</si>
  <si>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</si>
  <si>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</si>
  <si>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</si>
  <si>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</si>
  <si>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</si>
  <si>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</si>
  <si>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</si>
  <si>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</si>
  <si>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</si>
  <si>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</si>
  <si>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</si>
  <si>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</si>
  <si>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</si>
  <si>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</si>
  <si>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</si>
  <si>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</si>
  <si>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</si>
  <si>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</si>
  <si>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</si>
  <si>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</si>
  <si>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</si>
  <si>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</si>
  <si>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</si>
  <si>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</si>
  <si>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</si>
  <si>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</si>
  <si>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</si>
  <si>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</si>
  <si>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</si>
  <si>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</si>
  <si>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</si>
  <si>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</si>
  <si>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</si>
  <si>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</si>
  <si>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</si>
  <si>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</si>
  <si>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</si>
  <si>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</si>
  <si>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</si>
  <si>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</si>
  <si>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</si>
  <si>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</si>
  <si>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</si>
  <si>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</si>
  <si>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</si>
  <si>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</si>
  <si>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</si>
  <si>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</si>
  <si>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</si>
  <si>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</si>
  <si>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</si>
  <si>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</si>
  <si>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</si>
  <si>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</si>
  <si>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</si>
  <si>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</si>
  <si>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</si>
  <si>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</si>
  <si>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</si>
  <si>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</si>
  <si>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</si>
  <si>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</si>
  <si>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</si>
  <si>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</si>
  <si>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</si>
  <si>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</si>
  <si>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</si>
  <si>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</si>
  <si>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</si>
  <si>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</si>
  <si>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</si>
  <si>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</si>
  <si>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</si>
  <si>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</si>
  <si>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</si>
  <si>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</si>
  <si>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</si>
  <si>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</si>
  <si>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</si>
  <si>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</si>
  <si>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</si>
  <si>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</si>
  <si>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</si>
  <si>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</si>
  <si>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</si>
  <si>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</si>
  <si>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</si>
  <si>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</si>
  <si>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</si>
  <si>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</si>
  <si>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</si>
  <si>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</si>
  <si>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</si>
  <si>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</si>
  <si>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</si>
  <si>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</si>
  <si>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</si>
  <si>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</si>
  <si>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</si>
  <si>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</si>
  <si>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</si>
  <si>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</si>
  <si>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</si>
  <si>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</si>
  <si>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</si>
  <si>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</si>
  <si>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</si>
  <si>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</si>
  <si>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</si>
  <si>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</si>
  <si>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</si>
  <si>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</si>
  <si>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</si>
  <si>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</si>
  <si>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</si>
  <si>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</si>
  <si>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</si>
  <si>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</si>
  <si>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</si>
  <si>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</si>
  <si>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</si>
  <si>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</si>
  <si>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</si>
  <si>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</si>
  <si>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</si>
  <si>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</si>
  <si>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</si>
  <si>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</si>
  <si>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</si>
  <si>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</si>
  <si>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</si>
  <si>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</si>
  <si>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</si>
  <si>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</si>
  <si>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</si>
  <si>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</si>
  <si>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</si>
  <si>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</si>
  <si>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</si>
  <si>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</si>
  <si>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</si>
  <si>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</si>
  <si>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</si>
  <si>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</si>
  <si>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</si>
  <si>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</si>
  <si>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</si>
  <si>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</si>
  <si>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</si>
  <si>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</si>
  <si>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</si>
  <si>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</si>
  <si>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</si>
  <si>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</si>
  <si>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</si>
  <si>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</si>
  <si>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</si>
  <si>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</si>
  <si>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</si>
  <si>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</si>
  <si>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</si>
  <si>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</si>
  <si>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</si>
  <si>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</si>
  <si>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</si>
  <si>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</si>
  <si>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</si>
  <si>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</si>
  <si>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</si>
  <si>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</si>
  <si>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</si>
  <si>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</si>
  <si>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</si>
  <si>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</si>
  <si>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</si>
  <si>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</si>
  <si>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</si>
  <si>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</si>
  <si>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</si>
  <si>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</si>
  <si>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</si>
  <si>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</si>
  <si>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</si>
  <si>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</si>
  <si>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</si>
  <si>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</si>
  <si>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</si>
  <si>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</si>
  <si>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</si>
  <si>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</si>
  <si>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</si>
  <si>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</si>
  <si>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</si>
  <si>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</si>
  <si>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</si>
  <si>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</si>
  <si>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</si>
  <si>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</si>
  <si>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</si>
  <si>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</si>
  <si>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</si>
  <si>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</si>
  <si>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</si>
  <si>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</si>
  <si>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</si>
  <si>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</si>
  <si>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</si>
  <si>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</si>
  <si>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</si>
  <si>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</si>
  <si>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</si>
  <si>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</si>
  <si>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</si>
  <si>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</si>
  <si>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</si>
  <si>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</si>
  <si>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</si>
  <si>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</si>
  <si>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</si>
  <si>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</si>
  <si>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</si>
  <si>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</si>
  <si>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</si>
  <si>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</si>
  <si>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</si>
  <si>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</si>
  <si>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</si>
  <si>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</si>
  <si>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</si>
  <si>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</si>
  <si>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</si>
  <si>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</si>
  <si>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</si>
  <si>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</si>
  <si>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</si>
  <si>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</si>
  <si>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</si>
  <si>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</si>
  <si>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</si>
  <si>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</si>
  <si>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</si>
  <si>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</si>
  <si>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</si>
  <si>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</si>
  <si>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</si>
  <si>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</si>
  <si>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</si>
  <si>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</si>
  <si>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</si>
  <si>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</si>
  <si>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</si>
  <si>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</si>
  <si>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</si>
  <si>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</si>
  <si>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</si>
  <si>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</si>
  <si>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</si>
  <si>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</si>
  <si>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</si>
  <si>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</si>
  <si>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</si>
  <si>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</si>
  <si>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</si>
  <si>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</si>
  <si>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</si>
  <si>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</si>
  <si>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</si>
  <si>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</si>
  <si>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</si>
  <si>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</si>
  <si>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</si>
  <si>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</si>
  <si>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</si>
  <si>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</si>
  <si>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</si>
  <si>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</si>
  <si>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</si>
  <si>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</si>
  <si>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</si>
  <si>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</si>
  <si>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</si>
  <si>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</si>
  <si>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</si>
  <si>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</si>
  <si>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</si>
  <si>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</si>
  <si>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</si>
  <si>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</si>
  <si>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</si>
  <si>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</si>
  <si>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</si>
  <si>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</si>
  <si>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</si>
  <si>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</si>
  <si>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</si>
  <si>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</si>
  <si>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</si>
  <si>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</si>
  <si>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</si>
  <si>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</si>
  <si>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</si>
  <si>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</si>
  <si>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</si>
  <si>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</si>
  <si>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</si>
  <si>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</si>
  <si>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</si>
  <si>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</si>
  <si>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</si>
  <si>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</si>
  <si>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</si>
  <si>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</si>
  <si>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</si>
  <si>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</si>
  <si>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</si>
  <si>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</si>
  <si>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</si>
  <si>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</si>
  <si>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</si>
  <si>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</si>
  <si>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</si>
  <si>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</si>
  <si>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</si>
  <si>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</si>
  <si>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</si>
  <si>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</si>
  <si>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</si>
  <si>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</si>
  <si>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</si>
  <si>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</si>
  <si>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</si>
  <si>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</si>
  <si>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</si>
  <si>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</si>
  <si>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</si>
  <si>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</si>
  <si>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</si>
  <si>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</si>
  <si>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</si>
  <si>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</si>
  <si>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</si>
  <si>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</si>
  <si>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</si>
  <si>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</si>
  <si>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</si>
  <si>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</si>
  <si>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</si>
  <si>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</si>
  <si>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</si>
  <si>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</si>
  <si>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</si>
  <si>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</si>
  <si>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</si>
  <si>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</si>
  <si>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</si>
  <si>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</si>
  <si>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</si>
  <si>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</si>
  <si>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</si>
  <si>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</si>
  <si>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</si>
  <si>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</si>
  <si>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</si>
  <si>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</si>
  <si>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</si>
  <si>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</si>
  <si>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</si>
  <si>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</si>
  <si>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</si>
  <si>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</si>
  <si>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</si>
  <si>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</si>
  <si>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</si>
  <si>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</si>
  <si>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</si>
  <si>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</si>
  <si>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</si>
  <si>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</si>
  <si>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</si>
  <si>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</si>
  <si>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</si>
  <si>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</si>
  <si>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</si>
  <si>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</si>
  <si>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</si>
  <si>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</si>
  <si>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</si>
  <si>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</si>
  <si>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</si>
  <si>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</si>
  <si>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</si>
  <si>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</si>
  <si>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</si>
  <si>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</si>
  <si>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</si>
  <si>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</si>
  <si>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</si>
  <si>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</si>
  <si>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</si>
  <si>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</si>
  <si>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</si>
  <si>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</si>
  <si>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</si>
  <si>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</si>
  <si>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</si>
  <si>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</si>
  <si>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</si>
  <si>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</si>
  <si>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</si>
  <si>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</si>
  <si>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</si>
  <si>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</si>
  <si>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</si>
  <si>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</si>
  <si>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</si>
  <si>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</si>
  <si>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</si>
  <si>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</si>
  <si>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</si>
  <si>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</si>
  <si>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</si>
  <si>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</si>
  <si>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</si>
  <si>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</si>
  <si>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</si>
  <si>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</si>
  <si>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</si>
  <si>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</si>
  <si>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</si>
  <si>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</si>
  <si>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</si>
  <si>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</si>
  <si>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</si>
  <si>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</si>
  <si>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</si>
  <si>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</si>
  <si>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</si>
  <si>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</si>
  <si>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</si>
  <si>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</si>
  <si>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</si>
  <si>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</si>
  <si>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</si>
  <si>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</si>
  <si>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</si>
  <si>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</si>
  <si>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</si>
  <si>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</si>
  <si>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</si>
  <si>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</si>
  <si>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</si>
  <si>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</si>
  <si>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</si>
  <si>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</si>
  <si>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</si>
  <si>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</si>
  <si>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</si>
  <si>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</si>
  <si>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</si>
  <si>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</si>
  <si>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</si>
  <si>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</si>
  <si>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</si>
  <si>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</si>
  <si>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</si>
  <si>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</si>
  <si>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</si>
  <si>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</si>
  <si>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</si>
  <si>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</si>
  <si>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</si>
  <si>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</si>
  <si>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</si>
  <si>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</si>
  <si>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</si>
  <si>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</si>
  <si>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</si>
  <si>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</si>
  <si>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</si>
  <si>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</si>
  <si>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</si>
  <si>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</si>
  <si>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</si>
  <si>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</si>
  <si>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</si>
  <si>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</si>
  <si>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</si>
  <si>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</si>
  <si>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</si>
  <si>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</si>
  <si>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</si>
  <si>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</si>
  <si>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</si>
  <si>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</si>
  <si>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</si>
  <si>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</si>
  <si>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</si>
  <si>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</si>
  <si>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</si>
  <si>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</si>
  <si>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</si>
  <si>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</si>
  <si>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</si>
  <si>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</si>
  <si>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</si>
  <si>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</si>
  <si>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</si>
  <si>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</si>
  <si>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</si>
  <si>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</si>
  <si>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</si>
  <si>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</si>
  <si>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</si>
  <si>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</si>
  <si>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</si>
  <si>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</si>
  <si>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</si>
  <si>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</si>
  <si>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</si>
  <si>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</si>
  <si>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</si>
  <si>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</si>
  <si>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</si>
  <si>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</si>
  <si>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</si>
  <si>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</si>
  <si>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</si>
  <si>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</si>
  <si>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</si>
  <si>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</si>
  <si>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</si>
  <si>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</si>
  <si>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</si>
  <si>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</si>
  <si>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</si>
  <si>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</si>
  <si>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</si>
  <si>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</si>
  <si>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</si>
  <si>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</si>
  <si>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</si>
  <si>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</si>
  <si>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</si>
  <si>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</si>
  <si>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</si>
  <si>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</si>
  <si>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</si>
  <si>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</si>
  <si>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</si>
  <si>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</si>
  <si>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</si>
  <si>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</si>
  <si>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</si>
  <si>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</si>
  <si>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</si>
  <si>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</si>
  <si>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</si>
  <si>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</si>
  <si>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</si>
  <si>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</si>
  <si>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</si>
  <si>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</si>
  <si>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</si>
  <si>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</si>
  <si>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</si>
  <si>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</si>
  <si>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</si>
  <si>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</si>
  <si>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</si>
  <si>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</si>
  <si>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</si>
  <si>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</si>
  <si>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</si>
  <si>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</si>
  <si>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</si>
  <si>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</si>
  <si>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</si>
  <si>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</si>
  <si>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</si>
  <si>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</si>
  <si>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</si>
  <si>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</si>
  <si>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</si>
  <si>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</si>
  <si>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</si>
  <si>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</si>
  <si>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</si>
  <si>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</si>
  <si>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</si>
  <si>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</si>
  <si>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</si>
  <si>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</si>
  <si>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</si>
  <si>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</si>
  <si>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</si>
  <si>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</si>
  <si>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</si>
  <si>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</si>
  <si>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</si>
  <si>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</si>
  <si>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</si>
  <si>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</si>
  <si>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</si>
  <si>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</si>
  <si>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</si>
  <si>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</si>
  <si>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</si>
  <si>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</si>
  <si>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</si>
  <si>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</si>
  <si>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</si>
  <si>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</si>
  <si>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</si>
  <si>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</si>
  <si>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</si>
  <si>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</si>
  <si>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</si>
  <si>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</si>
  <si>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</si>
  <si>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</si>
  <si>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</si>
  <si>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</si>
  <si>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</si>
  <si>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</si>
  <si>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</si>
  <si>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</si>
  <si>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</si>
  <si>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</si>
  <si>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</si>
  <si>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</si>
  <si>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</si>
  <si>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</si>
  <si>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</si>
  <si>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</si>
  <si>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</si>
  <si>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</si>
  <si>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</si>
  <si>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</si>
  <si>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</si>
  <si>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</si>
  <si>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</si>
  <si>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</si>
  <si>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</si>
  <si>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</si>
  <si>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</si>
  <si>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</si>
  <si>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</si>
  <si>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</si>
  <si>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</si>
  <si>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</si>
  <si>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</si>
  <si>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</si>
  <si>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</si>
  <si>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</si>
  <si>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</si>
  <si>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</si>
  <si>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</si>
  <si>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</si>
  <si>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</si>
  <si>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</si>
  <si>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</si>
  <si>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</si>
  <si>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</si>
  <si>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</si>
  <si>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</si>
  <si>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</si>
  <si>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</si>
  <si>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</si>
  <si>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</si>
  <si>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</si>
  <si>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</si>
  <si>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</si>
  <si>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</si>
  <si>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</si>
  <si>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</si>
  <si>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</si>
  <si>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</si>
  <si>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</si>
  <si>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</si>
  <si>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</si>
  <si>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</si>
  <si>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</si>
  <si>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</si>
  <si>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</si>
  <si>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</si>
  <si>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</si>
  <si>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</si>
  <si>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</si>
  <si>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</si>
  <si>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</si>
  <si>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</si>
  <si>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</si>
  <si>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</si>
  <si>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</si>
  <si>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</si>
  <si>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</si>
  <si>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</si>
  <si>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</si>
  <si>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</si>
  <si>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</si>
  <si>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</si>
  <si>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</si>
  <si>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</si>
  <si>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</si>
  <si>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</si>
  <si>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</si>
  <si>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</si>
  <si>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</si>
  <si>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</si>
  <si>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</si>
  <si>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</si>
  <si>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</si>
  <si>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</si>
  <si>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</si>
  <si>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</si>
  <si>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</si>
  <si>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</si>
  <si>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</si>
  <si>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</si>
  <si>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</si>
  <si>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</si>
  <si>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</si>
  <si>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</si>
  <si>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</si>
  <si>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</si>
  <si>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</si>
  <si>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</si>
  <si>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</si>
  <si>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</si>
  <si>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</si>
  <si>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</si>
  <si>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</si>
  <si>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</si>
  <si>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</si>
  <si>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</si>
  <si>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</si>
  <si>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</si>
  <si>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</si>
  <si>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</si>
  <si>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</si>
  <si>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</si>
  <si>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</si>
  <si>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</si>
  <si>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</si>
  <si>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</si>
  <si>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</si>
  <si>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</si>
  <si>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</si>
  <si>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</si>
  <si>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</si>
  <si>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</si>
  <si>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</si>
  <si>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</si>
  <si>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</si>
  <si>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</si>
  <si>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</si>
  <si>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</si>
  <si>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</si>
  <si>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</si>
  <si>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</si>
  <si>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</si>
  <si>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</si>
  <si>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</si>
  <si>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</si>
  <si>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</si>
  <si>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</si>
  <si>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</si>
  <si>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</si>
  <si>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</si>
  <si>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</si>
  <si>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</si>
  <si>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</si>
  <si>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</si>
  <si>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</si>
  <si>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</si>
  <si>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</si>
  <si>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</si>
  <si>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</si>
  <si>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</si>
  <si>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</si>
  <si>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</si>
  <si>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</si>
  <si>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</si>
  <si>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</si>
  <si>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</si>
  <si>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</si>
  <si>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</si>
  <si>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</si>
  <si>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</si>
  <si>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</si>
  <si>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</si>
  <si>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</si>
  <si>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</si>
  <si>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</si>
  <si>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</si>
  <si>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</si>
  <si>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</si>
  <si>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</si>
  <si>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</si>
  <si>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</si>
  <si>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</si>
  <si>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</si>
  <si>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</si>
  <si>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</si>
  <si>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</si>
  <si>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</si>
  <si>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</si>
  <si>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</si>
  <si>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</si>
  <si>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</si>
  <si>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</si>
  <si>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</si>
  <si>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</si>
  <si>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</si>
  <si>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</si>
  <si>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</si>
  <si>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</si>
  <si>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</si>
  <si>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</si>
  <si>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</si>
  <si>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</si>
  <si>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</si>
  <si>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</si>
  <si>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</si>
  <si>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</si>
  <si>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</si>
  <si>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</si>
  <si>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</si>
  <si>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</si>
  <si>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</si>
  <si>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</si>
  <si>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</si>
  <si>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</si>
  <si>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</si>
  <si>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</si>
  <si>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</si>
  <si>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</si>
  <si>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</si>
  <si>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</si>
  <si>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</si>
  <si>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</si>
  <si>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</si>
  <si>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</si>
  <si>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</si>
  <si>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</si>
  <si>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</si>
  <si>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</si>
  <si>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</si>
  <si>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</si>
  <si>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</si>
  <si>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</si>
  <si>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</si>
  <si>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</si>
  <si>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</si>
  <si>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</si>
  <si>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</si>
  <si>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</si>
  <si>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</si>
  <si>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</si>
  <si>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</si>
  <si>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</si>
  <si>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</si>
  <si>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</si>
  <si>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</si>
  <si>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</si>
  <si>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</si>
  <si>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</si>
  <si>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</si>
  <si>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</si>
  <si>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</si>
  <si>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</si>
  <si>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</si>
  <si>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</si>
  <si>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</si>
  <si>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</si>
  <si>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</si>
  <si>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</si>
  <si>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</si>
  <si>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</si>
  <si>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</si>
  <si>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</si>
  <si>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</si>
  <si>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</si>
  <si>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</si>
  <si>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</si>
  <si>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</si>
  <si>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</si>
  <si>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</si>
  <si>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</si>
  <si>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</si>
  <si>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</si>
  <si>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</si>
  <si>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</si>
  <si>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</si>
  <si>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</si>
  <si>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</si>
  <si>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</si>
  <si>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</si>
  <si>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</si>
  <si>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</si>
  <si>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</si>
  <si>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</si>
  <si>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</si>
  <si>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</si>
  <si>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</si>
  <si>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</si>
  <si>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</si>
  <si>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</si>
  <si>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</si>
  <si>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</si>
  <si>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</si>
  <si>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</si>
  <si>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</si>
  <si>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</si>
  <si>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</si>
  <si>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</si>
  <si>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</si>
  <si>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</si>
  <si>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</si>
  <si>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</si>
  <si>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</si>
  <si>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</si>
  <si>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</si>
  <si>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</si>
  <si>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</si>
  <si>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</si>
  <si>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</si>
  <si>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</si>
  <si>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</si>
  <si>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</si>
  <si>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</si>
  <si>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</si>
  <si>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</si>
  <si>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</si>
  <si>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</si>
  <si>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</si>
  <si>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</si>
  <si>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</si>
  <si>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</si>
  <si>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</si>
  <si>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</si>
  <si>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</si>
  <si>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</si>
  <si>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</si>
  <si>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</si>
  <si>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</si>
  <si>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</si>
  <si>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</si>
  <si>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</si>
  <si>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</si>
  <si>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</si>
  <si>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</si>
  <si>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</si>
  <si>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</si>
  <si>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</si>
  <si>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</si>
  <si>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</si>
  <si>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</si>
  <si>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</si>
  <si>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</si>
  <si>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</si>
  <si>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</si>
  <si>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</si>
  <si>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</si>
  <si>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</si>
  <si>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</si>
  <si>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</si>
  <si>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</si>
  <si>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</si>
  <si>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</si>
  <si>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</si>
  <si>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</si>
  <si>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</si>
  <si>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</si>
  <si>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</si>
  <si>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</si>
  <si>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</si>
  <si>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</si>
  <si>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</si>
  <si>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</si>
  <si>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</si>
  <si>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</si>
  <si>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</si>
  <si>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</si>
  <si>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</si>
  <si>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</si>
  <si>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</si>
  <si>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</si>
  <si>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</si>
  <si>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</si>
  <si>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</si>
  <si>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</si>
  <si>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</si>
  <si>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</si>
  <si>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</si>
  <si>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</si>
  <si>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</si>
  <si>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</si>
  <si>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</si>
  <si>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</si>
  <si>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</si>
  <si>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</si>
  <si>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</si>
  <si>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</si>
  <si>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</si>
  <si>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</si>
  <si>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</si>
  <si>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</si>
  <si>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</si>
  <si>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</si>
  <si>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</si>
  <si>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</si>
  <si>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</si>
  <si>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</si>
  <si>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</si>
  <si>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</si>
  <si>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</si>
  <si>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</si>
  <si>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</si>
  <si>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</si>
  <si>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</si>
  <si>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</si>
  <si>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</si>
  <si>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</si>
  <si>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</si>
  <si>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</si>
  <si>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</si>
  <si>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</si>
  <si>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</si>
  <si>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</si>
  <si>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</si>
  <si>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</si>
  <si>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</si>
  <si>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</si>
  <si>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</si>
  <si>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</si>
  <si>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</si>
  <si>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</si>
  <si>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</si>
  <si>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</si>
  <si>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</si>
  <si>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</si>
  <si>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</si>
  <si>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</si>
  <si>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</si>
  <si>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</si>
  <si>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</si>
  <si>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</si>
  <si>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</si>
  <si>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</si>
  <si>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</si>
  <si>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</si>
  <si>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</si>
  <si>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</si>
  <si>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</si>
  <si>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</si>
  <si>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</si>
  <si>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</si>
  <si>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</si>
  <si>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</si>
  <si>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</si>
  <si>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</si>
  <si>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</si>
  <si>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</si>
  <si>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</si>
  <si>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</si>
  <si>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</si>
  <si>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</si>
  <si>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</si>
  <si>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</si>
  <si>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</si>
  <si>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</si>
  <si>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</si>
  <si>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</si>
  <si>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</si>
  <si>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</si>
  <si>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</si>
  <si>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</si>
  <si>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</si>
  <si>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</si>
  <si>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</si>
  <si>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</si>
  <si>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</si>
  <si>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</si>
  <si>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</si>
  <si>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</si>
  <si>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</si>
  <si>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</si>
  <si>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</si>
  <si>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</si>
  <si>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</si>
  <si>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</si>
  <si>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</si>
  <si>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</si>
  <si>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</si>
  <si>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</si>
  <si>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</si>
  <si>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</si>
  <si>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</si>
  <si>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</si>
  <si>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</si>
  <si>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</si>
  <si>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</si>
  <si>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</si>
  <si>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</si>
  <si>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</si>
  <si>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</si>
  <si>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</si>
  <si>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</si>
  <si>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</si>
  <si>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</si>
  <si>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</si>
  <si>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</si>
  <si>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</si>
  <si>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</si>
  <si>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</si>
  <si>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</si>
  <si>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</si>
  <si>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</si>
  <si>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</si>
  <si>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</si>
  <si>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</si>
  <si>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</si>
  <si>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</si>
  <si>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</si>
  <si>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</si>
  <si>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</si>
  <si>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</si>
  <si>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</si>
  <si>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</si>
  <si>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</si>
  <si>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</si>
  <si>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</si>
  <si>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</si>
  <si>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</si>
  <si>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</si>
  <si>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</si>
  <si>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</si>
  <si>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</si>
  <si>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</si>
  <si>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</si>
  <si>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</si>
  <si>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</si>
  <si>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</si>
  <si>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</si>
  <si>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</si>
  <si>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</si>
  <si>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</si>
  <si>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</si>
  <si>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</si>
  <si>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</si>
  <si>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</si>
  <si>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</si>
  <si>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</si>
  <si>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</si>
  <si>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</si>
  <si>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</si>
  <si>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</si>
  <si>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</si>
  <si>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</si>
  <si>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</si>
  <si>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</si>
  <si>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</si>
  <si>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</si>
  <si>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</si>
  <si>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</si>
  <si>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</si>
  <si>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</si>
  <si>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</si>
  <si>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</si>
  <si>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</si>
  <si>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</si>
  <si>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</si>
  <si>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</si>
  <si>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</si>
  <si>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</si>
  <si>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</si>
  <si>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</si>
  <si>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</si>
  <si>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</si>
  <si>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</si>
  <si>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</si>
  <si>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</si>
  <si>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</si>
  <si>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</si>
  <si>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</si>
  <si>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</si>
  <si>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</si>
  <si>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</si>
  <si>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</si>
  <si>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</si>
  <si>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</si>
  <si>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</si>
  <si>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</si>
  <si>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</si>
  <si>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</si>
  <si>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</si>
  <si>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</si>
  <si>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</si>
  <si>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</si>
  <si>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</si>
  <si>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</si>
  <si>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</si>
  <si>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</si>
  <si>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</si>
  <si>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</si>
  <si>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</si>
  <si>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</si>
  <si>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</si>
  <si>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</si>
  <si>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</si>
  <si>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</si>
  <si>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</si>
  <si>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</si>
  <si>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</si>
  <si>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</si>
  <si>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</si>
  <si>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</si>
  <si>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</si>
  <si>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</si>
  <si>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</si>
  <si>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</si>
  <si>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</si>
  <si>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</si>
  <si>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</si>
  <si>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</si>
  <si>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</si>
  <si>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</si>
  <si>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</si>
  <si>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</si>
  <si>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</si>
  <si>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</si>
  <si>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</si>
  <si>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</si>
  <si>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</si>
  <si>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</si>
  <si>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</si>
  <si>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</si>
  <si>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</si>
  <si>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</si>
  <si>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</si>
  <si>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</si>
  <si>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</si>
  <si>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</si>
  <si>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</si>
  <si>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</si>
  <si>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</si>
  <si>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</si>
  <si>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</si>
  <si>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</si>
  <si>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</si>
  <si>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</si>
  <si>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</si>
  <si>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</si>
  <si>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</si>
  <si>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</si>
  <si>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</si>
  <si>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</si>
  <si>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</si>
  <si>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</si>
  <si>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</si>
  <si>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</si>
  <si>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</si>
  <si>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</si>
  <si>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</si>
  <si>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</si>
  <si>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</si>
  <si>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</si>
  <si>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</si>
  <si>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</si>
  <si>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</si>
  <si>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</si>
  <si>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</si>
  <si>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</si>
  <si>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</si>
  <si>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</si>
  <si>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</si>
  <si>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</si>
  <si>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</si>
  <si>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</si>
  <si>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</si>
  <si>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</si>
  <si>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</si>
  <si>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</si>
  <si>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</si>
  <si>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</si>
  <si>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</si>
  <si>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</si>
  <si>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</si>
  <si>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</si>
  <si>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</si>
  <si>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</si>
  <si>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</si>
  <si>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</si>
  <si>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</si>
  <si>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</si>
  <si>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</si>
  <si>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</si>
  <si>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</si>
  <si>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</si>
  <si>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</si>
  <si>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</si>
  <si>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</si>
  <si>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</si>
  <si>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</si>
  <si>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</si>
  <si>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</si>
  <si>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</si>
  <si>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</si>
  <si>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</si>
  <si>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</si>
  <si>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</si>
  <si>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</si>
  <si>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</si>
  <si>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</si>
  <si>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</si>
  <si>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</si>
  <si>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</si>
  <si>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</si>
  <si>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</si>
  <si>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</si>
  <si>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</si>
  <si>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</si>
  <si>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</si>
  <si>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</si>
  <si>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</si>
  <si>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</si>
  <si>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</si>
  <si>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</si>
  <si>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</si>
  <si>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</si>
  <si>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</si>
  <si>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</si>
  <si>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</si>
  <si>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</si>
  <si>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</si>
  <si>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</si>
  <si>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</si>
  <si>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</si>
  <si>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</si>
  <si>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</si>
  <si>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</si>
  <si>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</si>
  <si>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</si>
  <si>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</si>
  <si>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</si>
  <si>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</si>
  <si>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</si>
  <si>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</si>
  <si>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</si>
  <si>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</si>
  <si>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</si>
  <si>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</si>
  <si>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</si>
  <si>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</si>
  <si>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</si>
  <si>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</si>
  <si>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</si>
  <si>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</si>
  <si>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</si>
  <si>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</si>
  <si>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</si>
  <si>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</si>
  <si>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</si>
  <si>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</si>
  <si>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</si>
  <si>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</si>
  <si>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</si>
  <si>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</si>
  <si>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</si>
  <si>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</si>
  <si>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</si>
  <si>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</si>
  <si>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</si>
  <si>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</si>
  <si>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</si>
  <si>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</si>
  <si>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</si>
  <si>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</si>
  <si>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</si>
  <si>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</si>
  <si>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</si>
  <si>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</si>
  <si>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</si>
  <si>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</si>
  <si>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</si>
  <si>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</si>
  <si>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</si>
  <si>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</si>
  <si>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</si>
  <si>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</si>
  <si>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</si>
  <si>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</si>
  <si>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</si>
  <si>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</si>
  <si>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</si>
  <si>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</si>
  <si>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</si>
  <si>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</si>
  <si>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</si>
  <si>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</si>
  <si>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</si>
  <si>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</si>
  <si>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</si>
  <si>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</si>
  <si>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</si>
  <si>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</si>
  <si>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</si>
  <si>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</si>
  <si>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</si>
  <si>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</si>
  <si>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</si>
  <si>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</si>
  <si>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</si>
  <si>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</si>
  <si>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</si>
  <si>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</si>
  <si>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</si>
  <si>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</si>
  <si>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</si>
  <si>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</si>
  <si>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</si>
  <si>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</si>
  <si>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</si>
  <si>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</si>
  <si>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</si>
  <si>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</si>
  <si>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</si>
  <si>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</si>
  <si>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</si>
  <si>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</si>
  <si>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</si>
  <si>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</si>
  <si>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</si>
  <si>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</si>
  <si>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</si>
  <si>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</si>
  <si>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</si>
  <si>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</si>
  <si>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</si>
  <si>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</si>
  <si>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</si>
  <si>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</si>
  <si>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</si>
  <si>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</si>
  <si>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</si>
  <si>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</si>
  <si>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</si>
  <si>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</si>
  <si>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</si>
  <si>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</si>
  <si>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</si>
  <si>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</si>
  <si>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</si>
  <si>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</si>
  <si>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</si>
  <si>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</si>
  <si>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</si>
  <si>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</si>
  <si>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</si>
  <si>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</si>
  <si>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</si>
  <si>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</si>
  <si>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</si>
  <si>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</si>
  <si>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</si>
  <si>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</si>
  <si>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</si>
  <si>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</si>
  <si>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</si>
  <si>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</si>
  <si>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</si>
  <si>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</si>
  <si>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</si>
  <si>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</si>
  <si>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</si>
  <si>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</si>
  <si>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</si>
  <si>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</si>
  <si>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</si>
  <si>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</si>
  <si>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</si>
  <si>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</si>
  <si>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</si>
  <si>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</si>
  <si>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</si>
  <si>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</si>
  <si>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</si>
  <si>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</si>
  <si>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</si>
  <si>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</si>
  <si>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</si>
  <si>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</si>
  <si>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</si>
  <si>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</si>
  <si>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</si>
  <si>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</si>
  <si>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</si>
  <si>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</si>
  <si>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</si>
  <si>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</si>
  <si>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</si>
  <si>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</si>
  <si>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</si>
  <si>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</si>
  <si>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</si>
  <si>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</si>
  <si>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</si>
  <si>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</si>
  <si>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</si>
  <si>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</si>
  <si>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</si>
  <si>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</si>
  <si>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</si>
  <si>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</si>
  <si>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</si>
  <si>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</si>
  <si>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</si>
  <si>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</si>
  <si>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</si>
  <si>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</si>
  <si>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</si>
  <si>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</si>
  <si>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</si>
  <si>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</si>
  <si>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</si>
  <si>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</si>
  <si>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</si>
  <si>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</si>
  <si>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</si>
  <si>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</si>
  <si>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</si>
  <si>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</si>
  <si>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</si>
  <si>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</si>
  <si>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</si>
  <si>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</si>
  <si>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</si>
  <si>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</si>
  <si>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</si>
  <si>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</si>
  <si>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</si>
  <si>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</si>
  <si>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</si>
  <si>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</si>
  <si>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</si>
  <si>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</si>
  <si>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</si>
  <si>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</si>
  <si>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</si>
  <si>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</si>
  <si>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</si>
  <si>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</si>
  <si>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</si>
  <si>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</si>
  <si>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</si>
  <si>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</si>
  <si>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</si>
  <si>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</si>
  <si>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</si>
  <si>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</si>
  <si>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</si>
  <si>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</si>
  <si>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</si>
  <si>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</si>
  <si>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</si>
  <si>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</si>
  <si>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</si>
  <si>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</si>
  <si>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</si>
  <si>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</si>
  <si>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</si>
  <si>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</si>
  <si>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</si>
  <si>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</si>
  <si>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</si>
  <si>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</si>
  <si>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</si>
  <si>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</si>
  <si>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</si>
  <si>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</si>
  <si>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</si>
  <si>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</si>
  <si>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</si>
  <si>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</si>
  <si>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</si>
  <si>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</si>
  <si>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</si>
  <si>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</si>
  <si>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</si>
  <si>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</si>
  <si>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</si>
  <si>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</si>
  <si>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</si>
  <si>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</si>
  <si>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</si>
  <si>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</si>
  <si>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</si>
  <si>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</si>
  <si>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</si>
  <si>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</si>
  <si>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</si>
  <si>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</si>
  <si>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</si>
  <si>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</si>
  <si>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</si>
  <si>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</si>
  <si>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</si>
  <si>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</si>
  <si>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</si>
  <si>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</si>
  <si>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</si>
  <si>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</si>
  <si>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</si>
  <si>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</si>
  <si>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</si>
  <si>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</si>
  <si>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</si>
  <si>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</si>
  <si>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</si>
  <si>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</si>
  <si>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</si>
  <si>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</si>
  <si>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</si>
  <si>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</si>
  <si>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</si>
  <si>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</si>
  <si>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</si>
  <si>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</si>
  <si>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</si>
  <si>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</si>
  <si>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</si>
  <si>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</si>
  <si>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</si>
  <si>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</si>
  <si>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</si>
  <si>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</si>
  <si>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</si>
  <si>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</si>
  <si>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</si>
  <si>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</si>
  <si>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</si>
  <si>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</si>
  <si>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</si>
  <si>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</si>
  <si>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</si>
  <si>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</si>
  <si>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</si>
  <si>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</si>
  <si>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</si>
  <si>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</si>
  <si>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</si>
  <si>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</si>
  <si>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</si>
  <si>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</si>
  <si>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</si>
  <si>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</si>
  <si>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</si>
  <si>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</si>
  <si>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</si>
  <si>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</si>
  <si>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</si>
  <si>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</si>
  <si>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</si>
  <si>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</si>
  <si>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</si>
  <si>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</si>
  <si>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</si>
  <si>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</si>
  <si>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</si>
  <si>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</si>
  <si>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</si>
  <si>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</si>
  <si>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</si>
  <si>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</si>
  <si>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</si>
  <si>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</si>
  <si>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</si>
  <si>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</si>
  <si>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</si>
  <si>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</si>
  <si>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</si>
  <si>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</si>
  <si>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</si>
  <si>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</si>
  <si>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</si>
  <si>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</si>
  <si>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</si>
  <si>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</si>
  <si>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</si>
  <si>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</si>
  <si>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</si>
  <si>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</si>
  <si>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</si>
  <si>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</si>
  <si>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</si>
  <si>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</si>
  <si>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</si>
  <si>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</si>
  <si>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</si>
  <si>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</si>
  <si>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</si>
  <si>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</si>
  <si>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</si>
  <si>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</si>
  <si>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</si>
  <si>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</si>
  <si>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</si>
  <si>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</si>
  <si>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</si>
  <si>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</si>
  <si>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</si>
  <si>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</si>
  <si>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</si>
  <si>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</si>
  <si>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</si>
  <si>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</si>
  <si>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</si>
  <si>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</si>
  <si>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</si>
  <si>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</si>
  <si>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</si>
  <si>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</si>
  <si>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</si>
  <si>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</si>
  <si>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</si>
  <si>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</si>
  <si>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</si>
  <si>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</si>
  <si>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</si>
  <si>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</si>
  <si>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</si>
  <si>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</si>
  <si>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</si>
  <si>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</si>
  <si>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</si>
  <si>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</si>
  <si>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</si>
  <si>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</si>
  <si>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</si>
  <si>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</si>
  <si>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</si>
  <si>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</si>
  <si>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</si>
  <si>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</si>
  <si>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</si>
  <si>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</si>
  <si>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</si>
  <si>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</si>
  <si>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</si>
  <si>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</si>
  <si>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</si>
  <si>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</si>
  <si>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</si>
  <si>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</si>
  <si>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</si>
  <si>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</si>
  <si>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</si>
  <si>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</si>
  <si>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</si>
  <si>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</si>
  <si>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</si>
  <si>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</si>
  <si>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</si>
  <si>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</si>
  <si>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</si>
  <si>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</si>
  <si>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</si>
  <si>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</si>
  <si>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</si>
  <si>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</si>
  <si>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</si>
  <si>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</si>
  <si>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</si>
  <si>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</si>
  <si>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</si>
  <si>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</si>
  <si>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</si>
  <si>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</si>
  <si>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</si>
  <si>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</si>
  <si>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</si>
  <si>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</si>
  <si>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</si>
  <si>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</si>
  <si>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</si>
  <si>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</si>
  <si>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</si>
  <si>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</si>
  <si>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</si>
  <si>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</si>
  <si>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</si>
  <si>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</si>
  <si>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</si>
  <si>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</si>
  <si>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</si>
  <si>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</si>
  <si>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</si>
  <si>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</si>
  <si>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</si>
  <si>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</si>
  <si>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</si>
  <si>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</si>
  <si>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</si>
  <si>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</si>
  <si>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</si>
  <si>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</si>
  <si>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</si>
  <si>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</si>
  <si>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</si>
  <si>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</si>
  <si>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</si>
  <si>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</si>
  <si>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</si>
  <si>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</si>
  <si>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</si>
  <si>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</si>
  <si>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</si>
  <si>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</si>
  <si>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</si>
  <si>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</si>
  <si>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</si>
  <si>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</si>
  <si>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</si>
  <si>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</si>
  <si>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</si>
  <si>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</si>
  <si>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</si>
  <si>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</si>
  <si>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</si>
  <si>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</si>
  <si>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</si>
  <si>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</si>
  <si>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</si>
  <si>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</si>
  <si>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</si>
  <si>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</si>
  <si>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</si>
  <si>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</si>
  <si>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</si>
  <si>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</si>
  <si>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</si>
  <si>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</si>
  <si>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</si>
  <si>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</si>
  <si>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</si>
  <si>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</si>
  <si>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</si>
  <si>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</si>
  <si>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</si>
  <si>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</si>
  <si>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</si>
  <si>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</si>
  <si>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</si>
  <si>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</si>
  <si>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</si>
  <si>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</si>
  <si>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</si>
  <si>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</si>
  <si>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</si>
  <si>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</si>
  <si>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</si>
  <si>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</si>
  <si>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</si>
  <si>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</si>
  <si>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</si>
  <si>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</si>
  <si>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</si>
  <si>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</si>
  <si>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</si>
  <si>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</si>
  <si>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</si>
  <si>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</si>
  <si>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</si>
  <si>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</si>
  <si>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</si>
  <si>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</si>
  <si>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</si>
  <si>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</si>
  <si>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</si>
  <si>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</si>
  <si>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</si>
  <si>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</si>
  <si>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</si>
  <si>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</si>
  <si>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</si>
  <si>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</si>
  <si>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</si>
  <si>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</si>
  <si>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</si>
  <si>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</si>
  <si>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</si>
  <si>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</si>
  <si>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</si>
  <si>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</si>
  <si>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</si>
  <si>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</si>
  <si>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</si>
  <si>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</si>
  <si>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</si>
  <si>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</si>
  <si>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</si>
  <si>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</si>
  <si>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</si>
  <si>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</si>
  <si>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</si>
  <si>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</si>
  <si>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</si>
  <si>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</si>
  <si>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</si>
  <si>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</si>
  <si>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</si>
  <si>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</si>
  <si>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</si>
  <si>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</si>
  <si>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</si>
  <si>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</si>
  <si>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</si>
  <si>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</si>
  <si>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</si>
  <si>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</si>
  <si>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</si>
  <si>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</si>
  <si>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</si>
  <si>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</si>
  <si>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</si>
  <si>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</si>
  <si>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</si>
  <si>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</si>
  <si>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</si>
  <si>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</si>
  <si>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</si>
  <si>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</si>
  <si>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</si>
  <si>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</si>
  <si>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</si>
  <si>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</si>
  <si>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</si>
  <si>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</si>
  <si>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</si>
  <si>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</si>
  <si>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</si>
  <si>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</si>
  <si>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</si>
  <si>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</si>
  <si>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</si>
  <si>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</si>
  <si>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</si>
  <si>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</si>
  <si>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</si>
  <si>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</si>
  <si>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</si>
  <si>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</si>
  <si>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</si>
  <si>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</si>
  <si>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</si>
  <si>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</si>
  <si>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</si>
  <si>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</si>
  <si>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</si>
  <si>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</si>
  <si>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</si>
  <si>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</si>
  <si>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</si>
  <si>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</si>
  <si>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</si>
  <si>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</si>
  <si>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</si>
  <si>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</si>
  <si>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</si>
  <si>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</si>
  <si>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</si>
  <si>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</si>
  <si>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</si>
  <si>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</si>
  <si>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</si>
  <si>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</si>
  <si>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</si>
  <si>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</si>
  <si>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</si>
  <si>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</si>
  <si>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</si>
  <si>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</si>
  <si>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</si>
  <si>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</si>
  <si>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</si>
  <si>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</si>
  <si>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</si>
  <si>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</si>
  <si>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</si>
  <si>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</si>
  <si>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</si>
  <si>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</si>
  <si>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</si>
  <si>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</si>
  <si>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</si>
  <si>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</si>
  <si>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</si>
  <si>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</si>
  <si>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</si>
  <si>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</si>
  <si>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</si>
  <si>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</si>
  <si>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</si>
  <si>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</si>
  <si>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</si>
  <si>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</si>
  <si>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</si>
  <si>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</si>
  <si>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</si>
  <si>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</si>
  <si>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</si>
  <si>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</si>
  <si>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</si>
  <si>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</si>
  <si>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</si>
  <si>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</si>
  <si>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</si>
  <si>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</si>
  <si>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</si>
  <si>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</si>
  <si>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</si>
  <si>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</si>
  <si>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</si>
  <si>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</si>
  <si>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</si>
  <si>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</si>
  <si>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</si>
  <si>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</si>
  <si>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</si>
  <si>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</si>
  <si>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</si>
  <si>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</si>
  <si>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</si>
  <si>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</si>
  <si>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</si>
  <si>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</si>
  <si>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</si>
  <si>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</si>
  <si>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</si>
  <si>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</si>
  <si>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</si>
  <si>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</si>
  <si>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</si>
  <si>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</si>
  <si>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</si>
  <si>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</si>
  <si>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</si>
  <si>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</si>
  <si>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</si>
  <si>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</si>
  <si>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</si>
  <si>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</si>
  <si>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</si>
  <si>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</si>
  <si>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</si>
  <si>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</si>
  <si>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</si>
  <si>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</si>
  <si>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</si>
  <si>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</si>
  <si>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</si>
  <si>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</si>
  <si>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</si>
  <si>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</si>
  <si>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</si>
  <si>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</si>
  <si>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</si>
  <si>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</si>
  <si>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</si>
  <si>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</si>
  <si>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</si>
  <si>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</si>
  <si>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</si>
  <si>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</si>
  <si>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</si>
  <si>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</si>
  <si>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</si>
  <si>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</si>
  <si>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</si>
  <si>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</si>
  <si>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</si>
  <si>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</si>
  <si>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</si>
  <si>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</si>
  <si>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</si>
  <si>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</si>
  <si>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</si>
  <si>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</si>
  <si>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</si>
  <si>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</si>
  <si>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</si>
  <si>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</si>
  <si>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</si>
  <si>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</si>
  <si>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</si>
  <si>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</si>
  <si>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</si>
  <si>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</si>
  <si>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</si>
  <si>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</si>
  <si>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</si>
  <si>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</si>
  <si>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</si>
  <si>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</si>
  <si>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</si>
  <si>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</si>
  <si>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</si>
  <si>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</si>
  <si>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</si>
  <si>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</si>
  <si>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</si>
  <si>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</si>
  <si>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</si>
  <si>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</si>
  <si>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</si>
  <si>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</si>
  <si>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</si>
  <si>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</si>
  <si>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</si>
  <si>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</si>
  <si>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</si>
  <si>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</si>
  <si>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</si>
  <si>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</si>
  <si>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</si>
  <si>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</si>
  <si>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</si>
  <si>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</si>
  <si>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</si>
  <si>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</si>
  <si>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</si>
  <si>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</si>
  <si>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</si>
  <si>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</si>
  <si>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</si>
  <si>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</si>
  <si>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</si>
  <si>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</si>
  <si>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</si>
  <si>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</si>
  <si>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</si>
  <si>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</si>
  <si>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</si>
  <si>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</si>
  <si>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</si>
  <si>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</si>
  <si>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</si>
  <si>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</si>
  <si>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</si>
  <si>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</si>
  <si>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</si>
  <si>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</si>
  <si>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</si>
  <si>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</si>
  <si>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</si>
  <si>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</si>
  <si>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</si>
  <si>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</si>
  <si>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</si>
  <si>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</si>
  <si>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</si>
  <si>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</si>
  <si>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</si>
  <si>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</si>
  <si>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</si>
  <si>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</si>
  <si>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</si>
  <si>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</si>
  <si>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</si>
  <si>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</si>
  <si>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</si>
  <si>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</si>
  <si>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</si>
  <si>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</si>
  <si>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</si>
  <si>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</si>
  <si>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</si>
  <si>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</si>
  <si>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</si>
  <si>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</si>
  <si>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</si>
  <si>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</si>
  <si>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</si>
  <si>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</si>
  <si>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</si>
  <si>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</si>
  <si>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</si>
  <si>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</si>
  <si>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</si>
  <si>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</si>
  <si>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</si>
  <si>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</si>
  <si>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</si>
  <si>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</si>
  <si>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</si>
  <si>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</si>
  <si>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</si>
  <si>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</si>
  <si>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</si>
  <si>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</si>
  <si>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</si>
  <si>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</si>
  <si>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</si>
  <si>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</si>
  <si>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</si>
  <si>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</si>
  <si>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</si>
  <si>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</si>
  <si>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</si>
  <si>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</si>
  <si>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</si>
  <si>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</si>
  <si>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</si>
  <si>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</si>
  <si>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</si>
  <si>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</si>
  <si>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</si>
  <si>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</si>
  <si>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</si>
  <si>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</si>
  <si>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</si>
  <si>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</si>
  <si>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</si>
  <si>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</si>
  <si>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</si>
  <si>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</si>
  <si>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</si>
  <si>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</si>
  <si>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</si>
  <si>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</si>
  <si>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</si>
  <si>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</si>
  <si>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</si>
  <si>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</si>
  <si>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</si>
  <si>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</si>
  <si>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</si>
  <si>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</si>
  <si>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</si>
  <si>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</si>
  <si>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</si>
  <si>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</si>
  <si>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</si>
  <si>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</si>
  <si>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</si>
  <si>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</si>
  <si>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</si>
  <si>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</si>
  <si>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</si>
  <si>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</si>
  <si>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</si>
  <si>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</si>
  <si>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</si>
  <si>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</si>
  <si>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</si>
  <si>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</si>
  <si>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</si>
  <si>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</si>
  <si>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</si>
  <si>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</si>
  <si>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</si>
  <si>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</si>
  <si>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</si>
  <si>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</si>
  <si>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</si>
  <si>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</si>
  <si>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</si>
  <si>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</si>
  <si>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</si>
  <si>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</si>
  <si>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</si>
  <si>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</si>
  <si>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</si>
  <si>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</si>
  <si>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</si>
  <si>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</si>
  <si>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</si>
  <si>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</si>
  <si>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</si>
  <si>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</si>
  <si>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</si>
  <si>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</si>
  <si>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</si>
  <si>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</si>
  <si>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</si>
  <si>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</si>
  <si>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</si>
  <si>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</si>
  <si>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</si>
  <si>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</si>
  <si>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</si>
  <si>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</si>
  <si>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</si>
  <si>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</si>
  <si>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</si>
  <si>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</si>
  <si>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</si>
  <si>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</si>
  <si>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</si>
  <si>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</si>
  <si>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</si>
  <si>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</si>
  <si>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</si>
  <si>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</si>
  <si>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</si>
  <si>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</si>
  <si>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</si>
  <si>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</si>
  <si>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</si>
  <si>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</si>
  <si>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</si>
  <si>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</si>
  <si>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</si>
  <si>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</si>
  <si>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</si>
  <si>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</si>
  <si>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</si>
  <si>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</si>
  <si>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</si>
  <si>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</si>
  <si>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</si>
  <si>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</si>
  <si>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</si>
  <si>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</si>
  <si>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</si>
  <si>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</si>
  <si>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</si>
  <si>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</si>
  <si>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</si>
  <si>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</si>
  <si>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</si>
  <si>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</si>
  <si>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</si>
  <si>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</si>
  <si>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</si>
  <si>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</si>
  <si>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</si>
  <si>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</si>
  <si>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</si>
  <si>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</si>
  <si>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</si>
  <si>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</si>
  <si>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</si>
  <si>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</si>
  <si>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</si>
  <si>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</si>
  <si>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</si>
  <si>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</si>
  <si>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</si>
  <si>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</si>
  <si>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</si>
  <si>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</si>
  <si>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</si>
  <si>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</si>
  <si>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</si>
  <si>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</si>
  <si>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</si>
  <si>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</si>
  <si>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</si>
  <si>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</si>
  <si>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</si>
  <si>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</si>
  <si>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</si>
  <si>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</si>
  <si>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</si>
  <si>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</si>
  <si>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</si>
  <si>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</si>
  <si>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</si>
  <si>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</si>
  <si>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</si>
  <si>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</si>
  <si>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</si>
  <si>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</si>
  <si>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</si>
  <si>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</si>
  <si>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</si>
  <si>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</si>
  <si>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</si>
  <si>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</si>
  <si>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</si>
  <si>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</si>
  <si>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</si>
  <si>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</si>
  <si>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</si>
  <si>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</si>
  <si>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</si>
  <si>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</si>
  <si>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</si>
  <si>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</si>
  <si>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</si>
  <si>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</si>
  <si>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</si>
  <si>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</si>
  <si>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</si>
  <si>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</si>
  <si>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</si>
  <si>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</si>
  <si>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</si>
  <si>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</si>
  <si>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</si>
  <si>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</si>
  <si>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</si>
  <si>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</si>
  <si>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</si>
  <si>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</si>
  <si>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</si>
  <si>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</si>
  <si>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</si>
  <si>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</si>
  <si>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</si>
  <si>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</si>
  <si>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</si>
  <si>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</si>
  <si>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</si>
  <si>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</si>
  <si>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</si>
  <si>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</si>
  <si>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</si>
  <si>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</si>
  <si>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</si>
  <si>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</si>
  <si>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</si>
  <si>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</si>
  <si>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</si>
  <si>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</si>
  <si>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</si>
  <si>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</si>
  <si>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</si>
  <si>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</si>
  <si>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</si>
  <si>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</si>
  <si>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</si>
  <si>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</si>
  <si>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</si>
  <si>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</si>
  <si>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</si>
  <si>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</si>
  <si>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</si>
  <si>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</si>
  <si>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</si>
  <si>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</si>
  <si>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</si>
  <si>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</si>
  <si>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</si>
  <si>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</si>
  <si>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</si>
  <si>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</si>
  <si>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</si>
  <si>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</si>
  <si>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</si>
  <si>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</si>
  <si>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</si>
  <si>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</si>
  <si>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</si>
  <si>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</si>
  <si>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</si>
  <si>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</si>
  <si>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</si>
  <si>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</si>
  <si>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</si>
  <si>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</si>
  <si>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</si>
  <si>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</si>
  <si>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</si>
  <si>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</si>
  <si>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</si>
  <si>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</si>
  <si>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</si>
  <si>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</si>
  <si>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</si>
  <si>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</si>
  <si>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</si>
  <si>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</si>
  <si>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</si>
  <si>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</si>
  <si>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</si>
  <si>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</si>
  <si>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</si>
  <si>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</si>
  <si>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</si>
  <si>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</si>
  <si>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</si>
  <si>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</si>
  <si>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</si>
  <si>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</si>
  <si>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</si>
  <si>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</si>
  <si>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</si>
  <si>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</si>
  <si>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</si>
  <si>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</si>
  <si>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</si>
  <si>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</si>
  <si>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</si>
  <si>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</si>
  <si>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</si>
  <si>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</si>
  <si>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</si>
  <si>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</si>
  <si>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</si>
  <si>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</si>
  <si>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</si>
  <si>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</si>
  <si>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</si>
  <si>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</si>
  <si>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</si>
  <si>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</si>
  <si>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</si>
  <si>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</si>
  <si>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</si>
  <si>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</si>
  <si>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</si>
  <si>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</si>
  <si>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</si>
  <si>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</si>
  <si>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</si>
  <si>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</si>
  <si>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</si>
  <si>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</si>
  <si>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</si>
  <si>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</si>
  <si>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</si>
  <si>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</si>
  <si>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</si>
  <si>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</si>
  <si>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</si>
  <si>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</si>
  <si>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</si>
  <si>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</si>
  <si>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</si>
  <si>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</si>
  <si>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</si>
  <si>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</si>
  <si>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</si>
  <si>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</si>
  <si>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</si>
  <si>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</si>
  <si>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</si>
  <si>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</si>
  <si>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</si>
  <si>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</si>
  <si>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</si>
  <si>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</si>
  <si>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</si>
  <si>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</si>
  <si>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</si>
  <si>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</si>
  <si>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</si>
  <si>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</si>
  <si>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</si>
  <si>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</si>
  <si>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</si>
  <si>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</si>
  <si>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2020PA-007</t>
  </si>
  <si>
    <t>9% Credit Competitive Round only</t>
  </si>
  <si>
    <t>Freedom's Path at Dublin</t>
  </si>
  <si>
    <t>1826 Veterans Boulevard</t>
  </si>
  <si>
    <t>City Limits</t>
  </si>
  <si>
    <t>9505.00</t>
  </si>
  <si>
    <t>Communities for Veterans LLC</t>
  </si>
  <si>
    <t>Don Paxton</t>
  </si>
  <si>
    <t>Member and Manager</t>
  </si>
  <si>
    <t>One Tower, 2 N. Tamiami Trail-Suite 800</t>
  </si>
  <si>
    <t>Sarasota</t>
  </si>
  <si>
    <t>Garrison for Veterans</t>
  </si>
  <si>
    <t>Terell Brown</t>
  </si>
  <si>
    <t>Garrison for Veterans, Inc.</t>
  </si>
  <si>
    <t>tbrown@gfveterans.com</t>
  </si>
  <si>
    <t>City of Dublin</t>
  </si>
  <si>
    <t>Phil Best</t>
  </si>
  <si>
    <t>Mayor</t>
  </si>
  <si>
    <t>www.cityofdublin.org</t>
  </si>
  <si>
    <t>100 S. Church Street</t>
  </si>
  <si>
    <t>mayorbest@dlcga.org</t>
  </si>
  <si>
    <t>Veterans Preference</t>
  </si>
  <si>
    <t>Direct</t>
  </si>
  <si>
    <t>Dublin Housing Authority</t>
  </si>
  <si>
    <t>Don Paxton-Communities for Veterans</t>
  </si>
  <si>
    <t>Terell Brown--Garrison for Veterans</t>
  </si>
  <si>
    <t>Terell Brown-Garrison for Veterans</t>
  </si>
  <si>
    <t>Dublin Veterans Residences Limited Partnership</t>
  </si>
  <si>
    <t>One Tower, 2. N. Tamiami Trail, Suite 800</t>
  </si>
  <si>
    <t>Manager of GP</t>
  </si>
  <si>
    <t>For Profit</t>
  </si>
  <si>
    <t>dpaxton@cfveterans.com</t>
  </si>
  <si>
    <t>Executive Director</t>
  </si>
  <si>
    <t>RBC Capital Markets</t>
  </si>
  <si>
    <t>Dave Urban</t>
  </si>
  <si>
    <t>Communities for Veterans Development LLC</t>
  </si>
  <si>
    <t>Garrsion for Veterans</t>
  </si>
  <si>
    <t>Allen Calhoun</t>
  </si>
  <si>
    <t>David Leon</t>
  </si>
  <si>
    <t>Bob Brown</t>
  </si>
  <si>
    <t>U. S. Dept of Veterans Affairs</t>
  </si>
  <si>
    <t>David Whitmer</t>
  </si>
  <si>
    <t>dwhitmer@va.gov</t>
  </si>
  <si>
    <t>President</t>
  </si>
  <si>
    <t>allen@luskco.com</t>
  </si>
  <si>
    <t>Fifth Third Bank</t>
  </si>
  <si>
    <t>State Historic Equity</t>
  </si>
  <si>
    <t>Physical Needs Assessment and Fannie Mae Worksheet Projection</t>
  </si>
  <si>
    <t>Historic Consultant Part 1 and Part 2 Certifications</t>
  </si>
  <si>
    <t>Communities for Veterans et. al.</t>
  </si>
  <si>
    <t>Amortizing</t>
  </si>
  <si>
    <t>The QAP requires a Physical Needs Assessment even in the case of Adaptive Re-use.  It also requires the preparation of an Expected Useful Life Reserve Analysis.  The cost for these was included here</t>
  </si>
  <si>
    <t>The cost is directly related to the renovation of the building and is included as a construction cost in the project.</t>
  </si>
  <si>
    <t>The Buildings are Historic.  To qualify for historic tax credits, this analysis and certification must be done.  These are the direct costs for achieving this certification of the two historic buildings.</t>
  </si>
  <si>
    <t>The cost is directly related to the historic certification and renovation of the building and is included as a construction cost in the project.</t>
  </si>
  <si>
    <t>Georgia Department of Community Affairs</t>
  </si>
  <si>
    <t>Owner is paying all utilities so no input was done in the tenant utility section.</t>
  </si>
  <si>
    <t>Internet</t>
  </si>
  <si>
    <t>Agree</t>
  </si>
  <si>
    <t xml:space="preserve">John Wall </t>
  </si>
  <si>
    <t>GEC-Terracon</t>
  </si>
  <si>
    <t>RFP Selection</t>
  </si>
  <si>
    <t>Georgia Power</t>
  </si>
  <si>
    <t xml:space="preserve">City of Dublin </t>
  </si>
  <si>
    <t>Room</t>
  </si>
  <si>
    <t>Gazebo</t>
  </si>
  <si>
    <t>Yes - W&amp;D hookups installed in each unit</t>
  </si>
  <si>
    <t>On-site laundry</t>
  </si>
  <si>
    <t>Newbanks.</t>
  </si>
  <si>
    <t>Zeffert</t>
  </si>
  <si>
    <t>Not Applicable</t>
  </si>
  <si>
    <t>N/a</t>
  </si>
  <si>
    <t>Carl Vinson VA Medical Center</t>
  </si>
  <si>
    <t>monthly</t>
  </si>
  <si>
    <t>Dublin City Schools</t>
  </si>
  <si>
    <t>Dublin Middle School</t>
  </si>
  <si>
    <t>Dublin High School</t>
  </si>
  <si>
    <t>Deemed historic via Ga DNRHPD approved NPS Part 1 Evaluation of Significance</t>
  </si>
  <si>
    <t>4708 Shallow Ridge Road</t>
  </si>
  <si>
    <t>www.gfveterans.com</t>
  </si>
  <si>
    <t>dhousing@bellsouth.net</t>
  </si>
  <si>
    <t>500 W. Mary Street</t>
  </si>
  <si>
    <t xml:space="preserve">Dublin  </t>
  </si>
  <si>
    <t>One Tower, 2 N. Tamiami Trail, Suite 800</t>
  </si>
  <si>
    <t>www.cfveterans.com</t>
  </si>
  <si>
    <t>Brenda Smith</t>
  </si>
  <si>
    <t>Nelson Mullins</t>
  </si>
  <si>
    <t>The Asset Management Fee is discontinued after year 18, as it is contemplated that by that point, the Limited Partner will have exited the Partnership.</t>
  </si>
  <si>
    <t xml:space="preserve">For the past eight years, the US Department of Veterans Affairs has been addressing several issues through one creative program called the Building Utilization Review and Repurposing (BURR) initiative.  Based on an audit of all VA facilities done about eight years ago, it was determined that there were approximately 1,400 vacant buildings on VA Medical Center campuses. The VA was spending millions to maintain the buildings to no benefit of anyone. At the same time, it was reported through the Annual Homeless Assessment Report provided to Congress each year that there were almost 80,000 homeless Veterans across the country, not to mention the number of disabled, senior and low income Veterans who were poorly housed or grossly rent-burdened.  This appalling situation was characterized as a national disgrace by politicians and bureaucrats across the political and agency landscape.
The VA decided to make a bold attempt to recruit the private sector in an effort to eliminate functional Veteran homelessness, reduce the number of vacant buildings on its campuses, and enhance the provision of services being offered to its homeless, disabled and low income Veterans through creative partnerships with developers and non-VA service providers.  Using its approved ability to lease land on its campuses (Enhanced Use Lease or EUL authority), the VA issued more than 50 Requests for Proposals across the country for this purpose.  Communities for Veterans (CfV) responded to several of these RFP’s and was eventually selected to redevelop ten properties, including this Carl Vinson VA/Dublin project in 2017.  Over the years (since 2012), CfV has completed  eight of the ten projects, which provide 423 units of housing for homeless, near homeless, disabled and senior low income Veterans in seven states.   Dublin will be the 10th to be redeveloped by CfV under this program.
The Dublin project includes 4.3 acres of land on which two historic VA structures are located.  The buildings were constructed toward the end of World War II to handle the needs of returning Veterans from that war.  Over the years with the development both of new buildings and new treatment modalities the buildings became obsolete.  In 2001 they were transferred to a State agency for residential services to patients with mental health challenges.  However, changes in Federal Laws, coupled with the deteriorating condition of the buildings led to their abandonment a second time with the buildings were transferred back to the VA.  Subsequently, they were offered through the RFP process referenced above, which is how CfV became involved.
This project includes the adaptive re-use and historic renovation of the two existing buildings to generate 44 units (22 efficiency and 22 one bedroom) with a leasing preference being afforded to Veterans who are homeless, near homeless, or disabled, who meet the income guidelines of the program.  Six two bedroom units are being developed to serve small households, which may include a single male or female Veteran or two parent households with a child.  With more women in the military, this has become an emerging issue in terms of housing Veterans with income or disability issues.
As noted above, the housing will include a preference for Veterans, but will not be restricted to Veterans.  Conversely, any Veterans with a HUD-VASH Housing Choice Voucher will be afforded a Housing First preference, meaning that typical underwriting that might preclude the Veteran from being able to access standard rental housing (e.g. job history, criminal record, prior rental history) will be relaxed.  The criterion for admission will be predicated on their selection for a Voucher by the PHA.
It has been shown through the Corporation for Supportive Housing, various National Equity Fund financed projects and through these completed VA BURR projects that Veterans living with other Veterans, in proximity to the panoply of VA services that are afforded to them via immediate access to the VA Medical Center that an on-campus housing option affords to them, has a remarkable success rate regarding remaining in permanent housing and moving forward with education, employment and life enrichment activities.  This is the model of housing and services, both VA and non-VA provided, that is being emulated here.
The City of Dublin has totally embraced this project and its goals, demonstrated in part by including this area of housing in its redevelopment plans and its Georgia Institute for Community Housing objectives. The City is also enabling this project to move forward with various fee waivers and other concessions to typical development and operating costs.  
The Dublin Housing Authority and Garrison for Veterans (a service connected disabled Veteran minority small business) are involved as joint venture partners with CfV, bringing local knowledge, relationships, services and resources to the project.  This is in addition to the VA itself, which will provide a tremendous array of medical, pharmacy, therapeutic and rehabilitation services to the future Veteran residents.  Finally, several Veteran Service Organizations and local non-profits will augment the services of the VA for those Veterans and non-Veterans (if any) who may elect not to utilize or not be eligible to use VA provided services.
The project will be financed using the availability of the land and buildings at no cost from the VA, federal and state historic tax credits, along with low income housing tax credits.  This is a model of financing that CfV has used in all of its other VA projects.  Given the population being served, this affords CfV the ability to utilize free cash flow to augment the VA and other non-profit services by contributing back into the project additional financial resources from cash flow.
The resident population will be drawn primarily from Veterans who are being treated at the Carl Vinson VA Medical Center upon their release as a transition from in-patient treatment programs to an out-patient locally available permanent housing option.  Further, Veterans reporting to the medical center as homeless or near homeless will be referred by the homeless coordinator for HUD-VASH voucher approval, or if resources through disability payments or other income can ensure the payment of rents, through direct provision of housing at the property.  The point here is that the VA Medical Center will be the primary locus of identification of Veterans who would need and benefit from the housing. 
The project will be managed by Pinnacle Management, a nationally recognized affordable housing property manager that manages all of the other CfV developed Veteran projects around the country.
CfV has successfully redeveloped three historic buildings on the Charlie Norwood VA Medical Center campus with a total of 98 units.  One of the two buildings on the Dublin campus is a scaled down version of one of the buildings on the Augusta campus, so there is a history of the successful completion of historic rehab projects in Georgia on a VA campus for Veterans.
</t>
  </si>
  <si>
    <t>RBC Tax Credit Equity Group</t>
  </si>
  <si>
    <t>4720 Piedmont Row Drive, Suite 240</t>
  </si>
  <si>
    <t>Director</t>
  </si>
  <si>
    <t>Charlotte</t>
  </si>
  <si>
    <t>www.rbccm.com</t>
  </si>
  <si>
    <t>david.urban@rbc.com</t>
  </si>
  <si>
    <t>Partner</t>
  </si>
  <si>
    <t>david.leon@nelsonmullins.com</t>
  </si>
  <si>
    <t>Kimberly Senior</t>
  </si>
  <si>
    <t>Regional VP</t>
  </si>
  <si>
    <t>Orlando</t>
  </si>
  <si>
    <t>www.nelsonmullins.com</t>
  </si>
  <si>
    <t>390 N. Orange Avenue&lt; Suite 1400</t>
  </si>
  <si>
    <t>2350 Justin Trail</t>
  </si>
  <si>
    <t>www.luskco.com</t>
  </si>
  <si>
    <t>6065 Roswell Road</t>
  </si>
  <si>
    <t>Pinnacle Living</t>
  </si>
  <si>
    <t>ksenior@pinnacleliving.com</t>
  </si>
  <si>
    <t>www.pinnacleliving.com</t>
  </si>
  <si>
    <t>BTBB Architects</t>
  </si>
  <si>
    <t>609 Cherry Street</t>
  </si>
  <si>
    <t>www.btbbinc.com</t>
  </si>
  <si>
    <t>bbrown@btbbinc.com</t>
  </si>
  <si>
    <t>Lusk and Company</t>
  </si>
  <si>
    <t>John Hoffman</t>
  </si>
  <si>
    <t>jhoffman@bracketpartners.com</t>
  </si>
  <si>
    <t>Bracket Partners</t>
  </si>
  <si>
    <t>Rolling Meadows</t>
  </si>
  <si>
    <t>1600 Golf Road, Suite 1200</t>
  </si>
  <si>
    <t>www.bracketpartners.com</t>
  </si>
  <si>
    <t>The project falls below the DCA stipulated cost caps, and since the buildings are existing, the site development questions are limited to the one new construction building.  This makes the feasibililty quite strong.  The Developer, Architect, and Contractor have extensive experience with historic rehabilitation, and this project does not offer any extraordinary issues.  The rehabilitation of the building, the new construction of the larger family units and this application as a whole have been prepared in total conformance with DCA's requirements and dictates.  As such, the project is feasible, viable and in conformation with the Qualified Allocation Plan.</t>
  </si>
  <si>
    <t xml:space="preserve">A part-time Activities Director/Coordinator will be hired for the project.  This is budgeted in the Operating Budget.  This person will work in tandem with the Health Services Coordinator, hired and funded by the VA, and with the Gardening Healthy eating program.  </t>
  </si>
  <si>
    <t>5 months</t>
  </si>
  <si>
    <t>Emerald Pointe</t>
  </si>
  <si>
    <t>HillCrest</t>
  </si>
  <si>
    <t>Meadowood Park</t>
  </si>
  <si>
    <t>Waterford Estates</t>
  </si>
  <si>
    <t>There was no appriasal required.</t>
  </si>
  <si>
    <t xml:space="preserve">As historic buildings constructed in 1945, there is lead based paint and asbestos in the buildings and in the soils surrounding the buildings.  The mitigation of these issues has been included in the rehab budget.  Overall the buildings have not been subject to significant water intrusions, but some mold was identified and is also included in the mitigation scope of work.  These are not unusual occurrences for historic buildings and given the experience of the Developer and Contractor in historic preservation projects, they do not pose any significant hurdles. </t>
  </si>
  <si>
    <t>The project is not utilizing HOME funds so this section is not applicable.  All environmental comments have been addressed above.</t>
  </si>
  <si>
    <t>In addition to the documentation for selection through a competitive RFP process, we have provided a Site Control Agreement and Support Letters from the VA which spell out the terms and conditions of the Leasehold interest the developer will have.  In essence, these constitute an Option to Lease, meeting the criteria spelled out by DCA for site control.</t>
  </si>
  <si>
    <t>Evidence of utilities has been provided.  Depending on final project design, gas service may be utilized for heating and hot water.  Therefore, both sources of utilities have been identified, though it is possible the project will be all electric.</t>
  </si>
  <si>
    <t>The project has access to City utilities for water and sewer, which already serve the buildings.  The project will replace existing laterals and in-building utilities, but utilize the existing utility infrastructure on the VA campus.  Letters for water and sewer have been provided.</t>
  </si>
  <si>
    <t>All required amenities will be provided.  Additionally, the project will have an equipped medical examination room and elevator service to the second floor in each building.</t>
  </si>
  <si>
    <t>Not applicable for adaptive re-use</t>
  </si>
  <si>
    <t>All documentation has been provided, with significant inclusion of pictures and drawings to give a substantial overview of the project.  Additional pictures are included in the Market Study, the Physical Needs Assessment, and the Environmental Phase I.</t>
  </si>
  <si>
    <t>As noted above, the project will qualify with a high score under the EarthCraft Sustainable Preservation Program.  The Developer sat through a most enjoyable presentation  and training program regarding the Building Sustainabililty aspects of DCA's programming and sustainable requirements and designation.</t>
  </si>
  <si>
    <t>The Developer has chosen to double the required disabled accessibililty units, given the population to be served and the expection that more units will be required up front with these special features.  As noted above, the buildings will be elevator equipped, allowing for visitability throughout the development.   All trainings, analysis and inspections will be done as required.  We hope and expect this project to be a bellwether for what historic preservation and accessibility can achieve.</t>
  </si>
  <si>
    <t>This project includes the new construction of 6 units, which will have in excess of 30% brick and utilize fiber cement siding for the balance of the exterior finishes.  The historic buildings will be renovated in accordance with Preservation Standards to ensure qualification for historic tax credits.</t>
  </si>
  <si>
    <t>Don Paxton with Communities for Veterans was provided the "Qualified"  determination as the Managing General Partner and Developer.  Additionally, two entities are involved in this project at the levels needed to begin the process of being certified:  The Dublin Housing Authority and Garrison for Veterans.</t>
  </si>
  <si>
    <t xml:space="preserve">The Developer will welcome residents who can benefit from the specific programs and services that this project will afford, expecially given the amenities and the number of one bedroom units available.  </t>
  </si>
  <si>
    <t xml:space="preserve">The Developer went through considerable time, effort and expense to qualify this project for Historic Tax Credits, which allow for the funds to effectively renovate the property without utilizing more than needed LIHTC's.  Further, the support of the VA and the City of Dublin with land cost and fee waivers further allows the project to make the most of the available resources for creating a highly desirable product with the least amount of scarce funding at the state level.  </t>
  </si>
  <si>
    <t>2004-007</t>
  </si>
  <si>
    <t>1995-088</t>
  </si>
  <si>
    <t>1997-008</t>
  </si>
  <si>
    <t>2008-019</t>
  </si>
  <si>
    <t>Riverview Heights</t>
  </si>
  <si>
    <t>2008-068</t>
  </si>
  <si>
    <t>N/Ap</t>
  </si>
  <si>
    <t>N/ap</t>
  </si>
  <si>
    <t>Diabetes Checks/Counseling/Treatment Options</t>
  </si>
  <si>
    <t>Depression/PTSD/Suicide information/Screening/Support Groups</t>
  </si>
  <si>
    <t>Blood Pressure Screening/Monitoring--Counseling and Treatment</t>
  </si>
  <si>
    <t>weekly</t>
  </si>
  <si>
    <t>Daily</t>
  </si>
  <si>
    <t>Nutrition Basics and Healthy Eating Option</t>
  </si>
  <si>
    <t>Weight Management Strategies and Objectives</t>
  </si>
  <si>
    <t>Exercise Programs, Options and Goals</t>
  </si>
  <si>
    <t>Linkages of Diet, Exercise, Physical Examinations and Treatment and Long-term Health Benefits</t>
  </si>
  <si>
    <t>Classes will be linked to the Gardening options, food lists for healthy nutrition buying and food preparation, healthy eating menus</t>
  </si>
  <si>
    <t xml:space="preserve">Regular weigh-ins, contests for weight loss, linkages between BMI and health, lipids understanding relative to diet </t>
  </si>
  <si>
    <t>Regular (daily) exercise program, information on linking proper exericise to physical condition, age and goals, training in proper exercise technique for desired results</t>
  </si>
  <si>
    <t>Classes in putting it all together, how the various factors of the components lead to a vital life, longer life, less medical conditions and treatment</t>
  </si>
  <si>
    <t>Susie Dasher Elementary School</t>
  </si>
  <si>
    <t>The three schools serving Dublin all beat the odds in either 2018 and/or 2019.  No CCRPI data is included.  Documentation has been provided in Tab 30 Section A along with letters from the respective school systems regarding the eligibility of Freedom's Path students to attend the schools.  The Jobs printout of the Latitude/Longitude coordinates used to identify the local jobs was also used and included as well as the printout of the jobs number.  When the jobs location is pulled up on the website, while close, it does not correspond exactly to the Lat/Long input.  However, the difference is minimal, by just what looks like a 100 feet or so, providing assurance that the jobs numbers are accurate</t>
  </si>
  <si>
    <t>Not Applicable.  Census tract does not score any points in either Category A or B.</t>
  </si>
  <si>
    <t>The project will receive both federal and state historic tax credits which provide the Favorable Financing in excess of the 10% requirement.  An equity letter from RBC Tax Credit Equity Group has been included inTab 1, Tab 41 and Tab 42 to evidence the financing for the financing.  Site control documentation has been provided from the VA regarding the willingness of the VA to enter into a 75 year ground lease on the project.  Regarding c) above, the VA, after conversations with DCA staff, has provided an Opinion from its office of General Counsel, regarding the compliance with Section 42 by pledging the Leasehold interest and not the underlying fee simple title to the land in terms of executing the LURA.</t>
  </si>
  <si>
    <t>While the project is certified, we chose to answer this area with the above description.</t>
  </si>
  <si>
    <t>keith.griffin@va.gov</t>
  </si>
  <si>
    <t>www.dublin.va.gov/location/directions.asp</t>
  </si>
  <si>
    <t>478-272-1210, ext 2729</t>
  </si>
  <si>
    <t>Not applicable--On call system</t>
  </si>
  <si>
    <t>k-4</t>
  </si>
  <si>
    <t>5-8</t>
  </si>
  <si>
    <t>Construction Costs were input into a cash flow model for the project and the interest carry was sized based on a construction period of 10 months and a lease up peiord of 6 months to calculate the total interest needed prior to full occupancy and final equity payment to pay off the construction loan.</t>
  </si>
  <si>
    <t>This project has been designated as family housing.  It has been explicitly noted that the target population is Veterans.  Veterans are not considered a protected class, so we did not ask for any special tenancy waivers.  Based on all empirical and anecdotal information, there is a significant need for Veteran-centric housing.  However, in the event that Veterans do not comprise the full population, there is nothing in the funding, nor the lease with the VA that requires the project to be Veterans-only.  This maximizes the market breadth while allowing the project to serve the focus market segment of Veterans.  We expect a large percentage of the Veteran population to utilize HUD-VASH vouchers as these are available and this housing is going to be highly attractive to that population of Veterans.</t>
  </si>
  <si>
    <t>The building was previously used as a dormitory facility by both the VA and the Middle Georgia Community Service Board.  It has been vacant for almost 10 years.  It has been heavily vandalized, as the PNA documentation shows.  The building will be mostly gutted and 22 studio and 22 one bedroom units will be built in the two buildings, along with installation of elevators for each building.  The retrofit will include all new plumbing, electrical, HVAC, fire suppression, wall, ceilings, doors, and floor coverings.  The buildings have Part 1 and Part 2 Certifications, which are being provided as part of this application.  The schematic plans have been reviewed by the SHPO and the National Park Service and all comments have been addressed.  An historic consultant has been retained for the project and will be utilized throughout the renovation.  NOTE:  The equity calculation in this section is only for Federal Historic Equity.  An additional $135,000 is projected to be raised through state state credits and should be added to this figure.</t>
  </si>
  <si>
    <t>As an 88% Historic Preservation project, the costs fall within the DCA mandated cost caps, with some cushion as well.    The costs are based on contractor provided pricing and Developer experience with similar projects in Georgia as well as other locales around the country, utilizing professional team members whose pricing and work quality are known.</t>
  </si>
  <si>
    <t>The overall market vacancy rate is 1%, which includes 3 of the 4 tax credit projects surveyed.  The VA has stipulated a substantial need for this product as an adjunct to its campus programming, giving the VA the ability to house vulnerable Veterans within proximity to the services on which they rely.  The VA has pledged to utilize some of its Tenant Based HUD-VASH vouchers to assist Veterans to utilize this housing for Veterans who qualify for HUD VASH and need the nearby housing.  There is a very strong market demand within the target population.</t>
  </si>
  <si>
    <t>The site is accessed through paved roads traversing the VA campus which are open to the general public.  The site itself is served by an existing paved road that ends in a traffic circle.  Documentation has been included that visually identifies and confirms this access.</t>
  </si>
  <si>
    <t>The site is zoned for public use.  A letter from the City of Dublin has been included that defers all zoning/site development matters to the VA.  It has been noted as well the VA's support for this project--in fact, this project was generated by the VA through an RFP process.  Typical city zoning is not applicable to this project.</t>
  </si>
  <si>
    <t>The project entails the adaptive re-use of a former dormitory building/treatment facility.  As such, none of the existing systems and much of the interior (subject to historic preservation limitations) will be redeveloped with new systems, walls, flooring, ceilings, doors and  windows (again as approved by the SHPO and NPS).  The project will qualify for the EarthCraft Sustainable Preservation program.</t>
  </si>
  <si>
    <t>The Developer working with the Management Company will  craft an Affirmative Fair Housing Marketing Plan and will engage in significant levels of activity to market the property to those who otherwise might not consider this as available housing.  Given the primary target population of Veterans, it is expected that there will be considerable opportunity to serve populations not usually housed in this area (based on the ethnic makeup of the armed services), and who will need and benefit from reasonable accommodation measures.</t>
  </si>
  <si>
    <t xml:space="preserve">The project is located on a VA Medical Center campus, where desirable features such as the Hospital, Emergency Care facility, pharmacy, post office, and police services are all available.  However, in the event that any non-Veterans may live at the property, we have included amenities that are accessible by any potential resident in sufficient number to qualify for the full 10 points.  Given the location, there are no undesirable activities located near the property.  We have utilized walking distances throughout to demonstrate the significant walkability of the site.  There is the possibility that the VA will be providing a sidewalk from the property to the intersecton of Hillcrest and Veterans Boulevard, which will even further reduce walking distances to many amenities.  While it is not possible to note the presence of the Home Depot in the amenities section, given that corporation's support of Veterans and having this store immediately adjacent to the site affords the opportunity for employment for residents who otherwise might have difficulty finding jobs.  While just outside of the limits for points, 2.1 miles from the property is a Super WalMart, another attractive feature to the location.  Middle Georgia College has a campus adjacent to the VA as well.  Again, this is not a point desirable (though it should be), but it is a highly desirable amenity for the population.  For the type of residency we project, the number of restaurants, job centers, education institutions and medical care facilities make this a spectacular location for housing. </t>
  </si>
  <si>
    <t>While Laurens County does not have a public transportion system the Carl Vinson VAMC is a federal reservation within the county which operates independent of the county government.  To serve its residents, it provides an on-campus transportation service to transport residents to and from VAMC medical appointments.  It also works in conjunction with local transportation companies to provide off-campus transportation vouchers to access services in the larger community to on-campus residents as a means of offering a public transportation option to its residents.   Within the parameters of the VA Medical Center, this constitutes a public transportation system.</t>
  </si>
  <si>
    <t xml:space="preserve">Alcohol Use/Smoking/Legal/Illegal Drug Use/Counseling/Treatments </t>
  </si>
  <si>
    <t>The Developer has established a core relationship with the Carl Vinson VA Medical Center to provide a comprehensive array of Healthcare Services for the population.  The VA will provide a Health Services Coordinator and the Developer will complement that with a Part-Time Activities Director/Coordinator.  A well-equipped examination room will be provided on site, and VA personnel will be available to the residents on a daily basis to provide medical screenings and services that can be done on site.  If required, the residents will be transported to the VA Medical Center for further diagnosis and treatment.  Classes across a broad range of physical health, fitness, mental health and lifestyle choices and implications will be conducted on a regular and ongoing basis for all residents.  A full scale Community Gardening program will be operating in conjunction with the Laurens County Extension Service and the Georgia Master Gardeners program which will hold classes and training in all aspects of small plot gardening, and reinforce that with classes and instruction regarding the above mentioned health programs, coordinated in conjunction with the VA, through its Health Services Coordinator.</t>
  </si>
  <si>
    <t>No competitive projects have been developed in Dublin since 2008, meeting the requirement for the 3 points in this section.  The LIHTC projects developed in Dublin are listed in the Market Study section of the Threshold Tab of this application.</t>
  </si>
  <si>
    <t>Dublin is an alumni of the GIHC program.  Letters from the GIHC and from the City have been included in the Tabs section.  We have worked very closely with the GIHC Board regarding the structuring and implementation of this project.</t>
  </si>
  <si>
    <t>Property is located on a federal reservation and is exempt from property taxation so the tax basis is $0 .   The property qualifies for historic property tax exemption and National Landmark status
Insurance estimate is based on estimate from insurance agency..
The Health Services Coordinator position is being funded by the Veterans Administration Medical Center.  
The Support Services and Activities Director positions are separated in the budget, but the duties will be performed by the same person, called a Peer Counselor in our personnel terminology.  Part of the duties will include working with the HSC on HealthCare coordination and services and part will be working on the Gardening-Healthy Eating program, along with coordinating the monthly programs and enrichment activities.</t>
  </si>
  <si>
    <t>2020-042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</si>
</sst>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133" xfId="1" applyNumberFormat="1" applyFont="1" applyFill="1" applyBorder="1" applyAlignment="1" applyProtection="1">
      <alignment horizontal="center" vertical="center"/>
    </xf>
    <xf numFmtId="1" fontId="45" fillId="5" borderId="135"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Freedom's Path at Dublin</v>
      </c>
    </row>
    <row r="3" spans="1:6" ht="15" customHeight="1">
      <c r="A3" s="830" t="str">
        <f>CONCATENATE('Part I-Project Information'!F38,", ", 'Part I-Project Information'!J39," County")</f>
        <v>Dublin, Laurens County</v>
      </c>
    </row>
    <row r="4" spans="1:6" ht="12" customHeight="1">
      <c r="A4" s="1350"/>
    </row>
    <row r="5" spans="1:6" ht="54.75" customHeight="1">
      <c r="A5" s="2400" t="s">
        <v>7073</v>
      </c>
      <c r="B5" s="2401" t="s">
        <v>4458</v>
      </c>
      <c r="C5" s="2401"/>
      <c r="D5" s="2401"/>
      <c r="E5" s="2401"/>
      <c r="F5" s="2401"/>
    </row>
    <row r="6" spans="1:6" ht="54.75" customHeight="1">
      <c r="A6" s="2400"/>
      <c r="B6" s="2401"/>
      <c r="C6" s="2401"/>
      <c r="D6" s="2401"/>
      <c r="E6" s="2401"/>
      <c r="F6" s="2401"/>
    </row>
    <row r="7" spans="1:6" ht="54.75" customHeight="1">
      <c r="A7" s="2400"/>
      <c r="B7" s="2401"/>
      <c r="C7" s="2401"/>
      <c r="D7" s="2401"/>
      <c r="E7" s="2401"/>
      <c r="F7" s="2401"/>
    </row>
    <row r="8" spans="1:6" ht="54.75" customHeight="1">
      <c r="A8" s="2400"/>
    </row>
    <row r="9" spans="1:6" ht="54.75" customHeight="1">
      <c r="A9" s="2400"/>
    </row>
    <row r="10" spans="1:6" ht="54.75" customHeight="1">
      <c r="A10" s="2400"/>
    </row>
    <row r="11" spans="1:6" ht="54.75" customHeight="1">
      <c r="A11" s="2400"/>
    </row>
    <row r="12" spans="1:6" ht="54.75" customHeight="1">
      <c r="A12" s="2400"/>
    </row>
    <row r="13" spans="1:6" ht="54.75" customHeight="1">
      <c r="A13" s="2400"/>
    </row>
    <row r="14" spans="1:6" ht="54.75" customHeight="1">
      <c r="A14" s="2400"/>
    </row>
    <row r="15" spans="1:6" ht="54.75" customHeight="1">
      <c r="A15" s="2400"/>
    </row>
    <row r="16" spans="1:6" ht="54.75" customHeight="1">
      <c r="A16" s="2400"/>
    </row>
    <row r="17" spans="1:1" ht="54.75" customHeight="1">
      <c r="A17" s="2400"/>
    </row>
    <row r="18" spans="1:1" ht="54.75" customHeight="1">
      <c r="A18" s="2400"/>
    </row>
    <row r="19" spans="1:1" ht="54.75" customHeight="1">
      <c r="A19" s="2400"/>
    </row>
    <row r="20" spans="1:1" ht="54.75" customHeight="1">
      <c r="A20" s="2400"/>
    </row>
    <row r="21" spans="1:1" ht="54.75" customHeight="1">
      <c r="A21" s="2400"/>
    </row>
    <row r="22" spans="1:1" ht="54.75" customHeight="1">
      <c r="A22" s="2400"/>
    </row>
    <row r="23" spans="1:1" ht="54.75" customHeight="1">
      <c r="A23" s="2400"/>
    </row>
  </sheetData>
  <sheetProtection algorithmName="SHA-512" hashValue="u+Z0RSqWV91vYNWmjs2ODny1ygGpSjH73lhc4ApqeOC5XAIbZ3NshNlu1qTK6RO3i1Estu2FH9k6fn8+jmeIHg==" saltValue="D6lL0m9bvlNx781nmotU9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2020-042 Freedom's Path at Dublin, Dublin, Laurens County</v>
      </c>
      <c r="B1" s="1748"/>
      <c r="C1" s="1748"/>
      <c r="D1" s="1748"/>
      <c r="E1" s="1748"/>
      <c r="F1" s="1748"/>
      <c r="G1" s="1748"/>
      <c r="H1" s="1748"/>
      <c r="I1" s="1750"/>
      <c r="J1" s="1748"/>
      <c r="K1" s="1748"/>
      <c r="L1" s="1748"/>
      <c r="M1" s="1748"/>
      <c r="N1" s="1748"/>
      <c r="O1" s="1748"/>
      <c r="P1" s="1748"/>
      <c r="Q1" s="1749"/>
      <c r="T1" s="1746" t="str">
        <f>A1</f>
        <v>PART SIX - PROJECTED REVENUES &amp; EXPENSES  -  2020-042 Freedom's Path at Dublin, Dublin, Laurens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2376</v>
      </c>
      <c r="IG3" s="447" t="s">
        <v>2377</v>
      </c>
      <c r="IH3" s="447" t="s">
        <v>2378</v>
      </c>
      <c r="II3" s="447" t="s">
        <v>2379</v>
      </c>
      <c r="IJ3" s="447" t="s">
        <v>476</v>
      </c>
      <c r="IK3" s="447" t="s">
        <v>2376</v>
      </c>
      <c r="IL3" s="447" t="s">
        <v>2377</v>
      </c>
      <c r="IM3" s="447" t="s">
        <v>2378</v>
      </c>
      <c r="IN3" s="447" t="s">
        <v>2379</v>
      </c>
      <c r="IO3" s="2243"/>
      <c r="IP3" s="2243"/>
      <c r="IQ3" s="2243"/>
      <c r="IR3" s="2243"/>
      <c r="IS3" s="2243"/>
      <c r="IT3" s="2243"/>
      <c r="IU3" s="2243"/>
      <c r="IV3" s="2243"/>
      <c r="IW3" s="2243"/>
      <c r="IX3" s="224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43" t="s">
        <v>3308</v>
      </c>
      <c r="MQ3" s="2643" t="s">
        <v>3309</v>
      </c>
      <c r="MR3" s="2643" t="s">
        <v>3310</v>
      </c>
      <c r="MS3" s="2643" t="s">
        <v>3311</v>
      </c>
      <c r="MT3" s="2643"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2"/>
      <c r="S4" s="413"/>
      <c r="T4" s="413"/>
      <c r="U4" s="413"/>
      <c r="W4" s="414"/>
      <c r="X4" s="2657" t="s">
        <v>4125</v>
      </c>
      <c r="Y4" s="2657" t="s">
        <v>4126</v>
      </c>
      <c r="Z4" s="2657" t="s">
        <v>4127</v>
      </c>
      <c r="AA4" s="2657" t="s">
        <v>4128</v>
      </c>
      <c r="AB4" s="2657" t="s">
        <v>4129</v>
      </c>
      <c r="AC4" s="2657" t="s">
        <v>4130</v>
      </c>
      <c r="AD4" s="2657" t="s">
        <v>4131</v>
      </c>
      <c r="AE4" s="2657" t="s">
        <v>4132</v>
      </c>
      <c r="AF4" s="2657" t="s">
        <v>4133</v>
      </c>
      <c r="AG4" s="2657" t="s">
        <v>4134</v>
      </c>
      <c r="AH4" s="2657" t="s">
        <v>898</v>
      </c>
      <c r="AI4" s="2657" t="s">
        <v>738</v>
      </c>
      <c r="AJ4" s="2657" t="s">
        <v>739</v>
      </c>
      <c r="AK4" s="2657" t="s">
        <v>740</v>
      </c>
      <c r="AL4" s="2657" t="s">
        <v>741</v>
      </c>
      <c r="AM4" s="2657" t="s">
        <v>899</v>
      </c>
      <c r="AN4" s="2657" t="s">
        <v>2250</v>
      </c>
      <c r="AO4" s="2657" t="s">
        <v>2251</v>
      </c>
      <c r="AP4" s="2657" t="s">
        <v>2252</v>
      </c>
      <c r="AQ4" s="2657" t="s">
        <v>2253</v>
      </c>
      <c r="AR4" s="2657" t="s">
        <v>4136</v>
      </c>
      <c r="AS4" s="2657" t="s">
        <v>4137</v>
      </c>
      <c r="AT4" s="2657" t="s">
        <v>4138</v>
      </c>
      <c r="AU4" s="2657" t="s">
        <v>4139</v>
      </c>
      <c r="AV4" s="2657" t="s">
        <v>4135</v>
      </c>
      <c r="AW4" s="2657" t="s">
        <v>900</v>
      </c>
      <c r="AX4" s="2657" t="s">
        <v>2254</v>
      </c>
      <c r="AY4" s="2657" t="s">
        <v>2255</v>
      </c>
      <c r="AZ4" s="2657" t="s">
        <v>2256</v>
      </c>
      <c r="BA4" s="2657" t="s">
        <v>2257</v>
      </c>
      <c r="BB4" s="2657" t="s">
        <v>4140</v>
      </c>
      <c r="BC4" s="2657" t="s">
        <v>4141</v>
      </c>
      <c r="BD4" s="2657" t="s">
        <v>4142</v>
      </c>
      <c r="BE4" s="2657" t="s">
        <v>4143</v>
      </c>
      <c r="BF4" s="2657" t="s">
        <v>4144</v>
      </c>
      <c r="BG4" s="2657" t="s">
        <v>126</v>
      </c>
      <c r="BH4" s="2657" t="s">
        <v>2258</v>
      </c>
      <c r="BI4" s="2657" t="s">
        <v>2259</v>
      </c>
      <c r="BJ4" s="2657" t="s">
        <v>2260</v>
      </c>
      <c r="BK4" s="2657" t="s">
        <v>1126</v>
      </c>
      <c r="BL4" s="2657" t="s">
        <v>4145</v>
      </c>
      <c r="BM4" s="2657" t="s">
        <v>4146</v>
      </c>
      <c r="BN4" s="2657" t="s">
        <v>4147</v>
      </c>
      <c r="BO4" s="2657" t="s">
        <v>4148</v>
      </c>
      <c r="BP4" s="2657" t="s">
        <v>4149</v>
      </c>
      <c r="BQ4" s="2657" t="s">
        <v>540</v>
      </c>
      <c r="BR4" s="2657" t="s">
        <v>541</v>
      </c>
      <c r="BS4" s="2657" t="s">
        <v>560</v>
      </c>
      <c r="BT4" s="2657" t="s">
        <v>561</v>
      </c>
      <c r="BU4" s="2657" t="s">
        <v>562</v>
      </c>
      <c r="BV4" s="2657" t="s">
        <v>4150</v>
      </c>
      <c r="BW4" s="2657" t="s">
        <v>4151</v>
      </c>
      <c r="BX4" s="2657" t="s">
        <v>4152</v>
      </c>
      <c r="BY4" s="2657" t="s">
        <v>4153</v>
      </c>
      <c r="BZ4" s="2657" t="s">
        <v>4154</v>
      </c>
      <c r="CA4" s="2657" t="s">
        <v>563</v>
      </c>
      <c r="CB4" s="2657" t="s">
        <v>564</v>
      </c>
      <c r="CC4" s="2657" t="s">
        <v>565</v>
      </c>
      <c r="CD4" s="2657" t="s">
        <v>566</v>
      </c>
      <c r="CE4" s="2657" t="s">
        <v>567</v>
      </c>
      <c r="CF4" s="2657" t="s">
        <v>568</v>
      </c>
      <c r="CG4" s="2657" t="s">
        <v>569</v>
      </c>
      <c r="CH4" s="2657" t="s">
        <v>909</v>
      </c>
      <c r="CI4" s="2657" t="s">
        <v>910</v>
      </c>
      <c r="CJ4" s="2657" t="s">
        <v>911</v>
      </c>
      <c r="CK4" s="2657" t="s">
        <v>4160</v>
      </c>
      <c r="CL4" s="2657" t="s">
        <v>4161</v>
      </c>
      <c r="CM4" s="2657" t="s">
        <v>4162</v>
      </c>
      <c r="CN4" s="2657" t="s">
        <v>4163</v>
      </c>
      <c r="CO4" s="2657" t="s">
        <v>4164</v>
      </c>
      <c r="CP4" s="2657" t="s">
        <v>4155</v>
      </c>
      <c r="CQ4" s="2657" t="s">
        <v>4156</v>
      </c>
      <c r="CR4" s="2657" t="s">
        <v>4157</v>
      </c>
      <c r="CS4" s="2657" t="s">
        <v>4158</v>
      </c>
      <c r="CT4" s="2657" t="s">
        <v>4159</v>
      </c>
      <c r="CU4" s="2657" t="s">
        <v>4165</v>
      </c>
      <c r="CV4" s="2657" t="s">
        <v>4166</v>
      </c>
      <c r="CW4" s="2657" t="s">
        <v>4167</v>
      </c>
      <c r="CX4" s="2657" t="s">
        <v>4168</v>
      </c>
      <c r="CY4" s="2657" t="s">
        <v>4169</v>
      </c>
      <c r="CZ4" s="2657" t="s">
        <v>485</v>
      </c>
      <c r="DA4" s="2657" t="s">
        <v>486</v>
      </c>
      <c r="DB4" s="2657" t="s">
        <v>487</v>
      </c>
      <c r="DC4" s="2657" t="s">
        <v>488</v>
      </c>
      <c r="DD4" s="2657" t="s">
        <v>489</v>
      </c>
      <c r="DE4" s="2657" t="s">
        <v>4170</v>
      </c>
      <c r="DF4" s="2657" t="s">
        <v>4171</v>
      </c>
      <c r="DG4" s="2657" t="s">
        <v>4172</v>
      </c>
      <c r="DH4" s="2657" t="s">
        <v>4173</v>
      </c>
      <c r="DI4" s="2657" t="s">
        <v>4174</v>
      </c>
      <c r="DJ4" s="2657" t="s">
        <v>859</v>
      </c>
      <c r="DK4" s="2657" t="s">
        <v>860</v>
      </c>
      <c r="DL4" s="2657" t="s">
        <v>861</v>
      </c>
      <c r="DM4" s="2657" t="s">
        <v>862</v>
      </c>
      <c r="DN4" s="2657" t="s">
        <v>863</v>
      </c>
      <c r="DO4" s="2657" t="s">
        <v>864</v>
      </c>
      <c r="DP4" s="2657" t="s">
        <v>865</v>
      </c>
      <c r="DQ4" s="2657" t="s">
        <v>866</v>
      </c>
      <c r="DR4" s="2657" t="s">
        <v>867</v>
      </c>
      <c r="DS4" s="2657" t="s">
        <v>868</v>
      </c>
      <c r="DT4" s="2657" t="s">
        <v>4175</v>
      </c>
      <c r="DU4" s="2657" t="s">
        <v>4176</v>
      </c>
      <c r="DV4" s="2657" t="s">
        <v>4177</v>
      </c>
      <c r="DW4" s="2657" t="s">
        <v>4178</v>
      </c>
      <c r="DX4" s="2657" t="s">
        <v>4179</v>
      </c>
      <c r="DY4" s="2657" t="s">
        <v>4180</v>
      </c>
      <c r="DZ4" s="2657" t="s">
        <v>4181</v>
      </c>
      <c r="EA4" s="2657" t="s">
        <v>4182</v>
      </c>
      <c r="EB4" s="2657" t="s">
        <v>4183</v>
      </c>
      <c r="EC4" s="2657" t="s">
        <v>4184</v>
      </c>
      <c r="ED4" s="2657" t="s">
        <v>2366</v>
      </c>
      <c r="EE4" s="2657" t="s">
        <v>2367</v>
      </c>
      <c r="EF4" s="2657" t="s">
        <v>2368</v>
      </c>
      <c r="EG4" s="2657" t="s">
        <v>2369</v>
      </c>
      <c r="EH4" s="2657" t="s">
        <v>2370</v>
      </c>
      <c r="EI4" s="2657" t="s">
        <v>4185</v>
      </c>
      <c r="EJ4" s="2657" t="s">
        <v>4186</v>
      </c>
      <c r="EK4" s="2657" t="s">
        <v>4187</v>
      </c>
      <c r="EL4" s="2657" t="s">
        <v>4188</v>
      </c>
      <c r="EM4" s="2657" t="s">
        <v>4189</v>
      </c>
      <c r="EN4" s="2657" t="s">
        <v>4190</v>
      </c>
      <c r="EO4" s="2657" t="s">
        <v>4191</v>
      </c>
      <c r="EP4" s="2657" t="s">
        <v>4192</v>
      </c>
      <c r="EQ4" s="2657" t="s">
        <v>4193</v>
      </c>
      <c r="ER4" s="2657" t="s">
        <v>4194</v>
      </c>
      <c r="ES4" s="2643" t="s">
        <v>114</v>
      </c>
      <c r="ET4" s="2643" t="s">
        <v>1129</v>
      </c>
      <c r="EU4" s="2643" t="s">
        <v>1130</v>
      </c>
      <c r="EV4" s="2643" t="s">
        <v>1187</v>
      </c>
      <c r="EW4" s="2643" t="s">
        <v>1188</v>
      </c>
      <c r="EX4" s="2643" t="s">
        <v>129</v>
      </c>
      <c r="EY4" s="2643" t="s">
        <v>1189</v>
      </c>
      <c r="EZ4" s="2643" t="s">
        <v>1190</v>
      </c>
      <c r="FA4" s="2643" t="s">
        <v>1191</v>
      </c>
      <c r="FB4" s="2643" t="s">
        <v>1192</v>
      </c>
      <c r="FC4" s="2657" t="s">
        <v>4195</v>
      </c>
      <c r="FD4" s="2657" t="s">
        <v>4196</v>
      </c>
      <c r="FE4" s="2657" t="s">
        <v>4197</v>
      </c>
      <c r="FF4" s="2657" t="s">
        <v>4198</v>
      </c>
      <c r="FG4" s="2657" t="s">
        <v>4199</v>
      </c>
      <c r="FH4" s="2643" t="s">
        <v>128</v>
      </c>
      <c r="FI4" s="2643" t="s">
        <v>890</v>
      </c>
      <c r="FJ4" s="2643" t="s">
        <v>891</v>
      </c>
      <c r="FK4" s="2643" t="s">
        <v>892</v>
      </c>
      <c r="FL4" s="2643" t="s">
        <v>893</v>
      </c>
      <c r="FM4" s="2657" t="s">
        <v>4200</v>
      </c>
      <c r="FN4" s="2657" t="s">
        <v>4201</v>
      </c>
      <c r="FO4" s="2657" t="s">
        <v>4202</v>
      </c>
      <c r="FP4" s="2657" t="s">
        <v>4203</v>
      </c>
      <c r="FQ4" s="2657" t="s">
        <v>4204</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1799</v>
      </c>
      <c r="D5" s="1"/>
      <c r="E5" s="4"/>
      <c r="F5" s="1"/>
      <c r="G5" s="3966" t="s">
        <v>197</v>
      </c>
      <c r="I5" s="2641" t="s">
        <v>4793</v>
      </c>
      <c r="K5" s="2374" t="s">
        <v>3432</v>
      </c>
      <c r="L5" s="2662" t="str">
        <f>'Part I-Project Information'!$B$6</f>
        <v>May 26, 2020 Version</v>
      </c>
      <c r="M5" s="2663"/>
      <c r="N5" s="2369" t="s">
        <v>559</v>
      </c>
      <c r="P5" s="2373" t="s">
        <v>4220</v>
      </c>
      <c r="Q5" s="2641"/>
      <c r="R5" s="2372"/>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3303</v>
      </c>
      <c r="MV5" s="2668" t="s">
        <v>3304</v>
      </c>
      <c r="MW5" s="2668" t="s">
        <v>3305</v>
      </c>
      <c r="MX5" s="2668" t="s">
        <v>3306</v>
      </c>
      <c r="MY5" s="2668" t="s">
        <v>3307</v>
      </c>
      <c r="MZ5" s="2643" t="s">
        <v>3317</v>
      </c>
      <c r="NA5" s="2643" t="s">
        <v>3319</v>
      </c>
      <c r="NB5" s="2643" t="s">
        <v>3320</v>
      </c>
      <c r="NC5" s="2643" t="s">
        <v>3321</v>
      </c>
      <c r="ND5" s="2643"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7" t="s">
        <v>2888</v>
      </c>
      <c r="G6" s="2374" t="s">
        <v>3489</v>
      </c>
      <c r="H6" s="2641" t="s">
        <v>3663</v>
      </c>
      <c r="I6" s="2641"/>
      <c r="J6" s="2374" t="s">
        <v>778</v>
      </c>
      <c r="K6" s="2374" t="s">
        <v>3492</v>
      </c>
      <c r="L6" s="2663"/>
      <c r="M6" s="2663"/>
      <c r="N6" s="2660" t="str">
        <f>'Part I-Project Information'!$O$40</f>
        <v>Laurens Co.</v>
      </c>
      <c r="O6" s="2660"/>
      <c r="P6" s="3968">
        <f>VLOOKUP('Part I-Project Information'!$O$40,'DCA Underwriting Assumptions'!$C$173:$D$283,2)</f>
        <v>45600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4207</v>
      </c>
      <c r="C7" s="1"/>
      <c r="D7" s="4"/>
      <c r="E7" s="1"/>
      <c r="F7" s="1"/>
      <c r="G7" s="2374" t="s">
        <v>3490</v>
      </c>
      <c r="H7" s="2641"/>
      <c r="I7" s="2641"/>
      <c r="J7" s="2374" t="s">
        <v>779</v>
      </c>
      <c r="K7" s="2374" t="s">
        <v>3493</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2376</v>
      </c>
      <c r="JA7" s="2244" t="s">
        <v>2377</v>
      </c>
      <c r="JB7" s="2244" t="s">
        <v>2378</v>
      </c>
      <c r="JC7" s="2244" t="s">
        <v>2379</v>
      </c>
      <c r="JD7" s="2244" t="s">
        <v>551</v>
      </c>
      <c r="JE7" s="2244" t="s">
        <v>2376</v>
      </c>
      <c r="JF7" s="2244" t="s">
        <v>2377</v>
      </c>
      <c r="JG7" s="2244" t="s">
        <v>2378</v>
      </c>
      <c r="JH7" s="2244" t="s">
        <v>2379</v>
      </c>
      <c r="JI7" s="2244" t="s">
        <v>551</v>
      </c>
      <c r="JJ7" s="2244" t="s">
        <v>2376</v>
      </c>
      <c r="JK7" s="2244" t="s">
        <v>2377</v>
      </c>
      <c r="JL7" s="2244" t="s">
        <v>2378</v>
      </c>
      <c r="JM7" s="2244" t="s">
        <v>2379</v>
      </c>
      <c r="JN7" s="2244" t="s">
        <v>551</v>
      </c>
      <c r="JO7" s="2244" t="s">
        <v>2376</v>
      </c>
      <c r="JP7" s="2244" t="s">
        <v>2377</v>
      </c>
      <c r="JQ7" s="2244" t="s">
        <v>2378</v>
      </c>
      <c r="JR7" s="2244" t="s">
        <v>2379</v>
      </c>
      <c r="JS7" s="2244" t="s">
        <v>551</v>
      </c>
      <c r="JT7" s="2244" t="s">
        <v>2376</v>
      </c>
      <c r="JU7" s="2244" t="s">
        <v>2377</v>
      </c>
      <c r="JV7" s="2244" t="s">
        <v>2378</v>
      </c>
      <c r="JW7" s="2244" t="s">
        <v>2379</v>
      </c>
      <c r="JX7" s="2244" t="s">
        <v>551</v>
      </c>
      <c r="JY7" s="2244" t="s">
        <v>2376</v>
      </c>
      <c r="JZ7" s="2244" t="s">
        <v>2377</v>
      </c>
      <c r="KA7" s="2244" t="s">
        <v>2378</v>
      </c>
      <c r="KB7" s="2244" t="s">
        <v>2379</v>
      </c>
      <c r="KC7" s="2244" t="s">
        <v>551</v>
      </c>
      <c r="KD7" s="2244" t="s">
        <v>2376</v>
      </c>
      <c r="KE7" s="2244" t="s">
        <v>2377</v>
      </c>
      <c r="KF7" s="2244" t="s">
        <v>2378</v>
      </c>
      <c r="KG7" s="2244" t="s">
        <v>2379</v>
      </c>
      <c r="KH7" s="2244" t="s">
        <v>551</v>
      </c>
      <c r="KI7" s="2244" t="s">
        <v>2376</v>
      </c>
      <c r="KJ7" s="2244" t="s">
        <v>2377</v>
      </c>
      <c r="KK7" s="2244" t="s">
        <v>2378</v>
      </c>
      <c r="KL7" s="2244" t="s">
        <v>2379</v>
      </c>
      <c r="KM7" s="2244" t="s">
        <v>551</v>
      </c>
      <c r="KN7" s="2244" t="s">
        <v>2376</v>
      </c>
      <c r="KO7" s="2244" t="s">
        <v>2377</v>
      </c>
      <c r="KP7" s="2244" t="s">
        <v>2378</v>
      </c>
      <c r="KQ7" s="2244" t="s">
        <v>2379</v>
      </c>
      <c r="KR7" s="2244" t="s">
        <v>551</v>
      </c>
      <c r="KS7" s="2244" t="s">
        <v>2376</v>
      </c>
      <c r="KT7" s="2244" t="s">
        <v>2377</v>
      </c>
      <c r="KU7" s="2244" t="s">
        <v>2378</v>
      </c>
      <c r="KV7" s="2244" t="s">
        <v>2379</v>
      </c>
      <c r="KW7" s="2244" t="s">
        <v>551</v>
      </c>
      <c r="KX7" s="2244" t="s">
        <v>2376</v>
      </c>
      <c r="KY7" s="2244" t="s">
        <v>2377</v>
      </c>
      <c r="KZ7" s="2244" t="s">
        <v>2378</v>
      </c>
      <c r="LA7" s="2244" t="s">
        <v>2379</v>
      </c>
      <c r="LB7" s="2244" t="s">
        <v>551</v>
      </c>
      <c r="LC7" s="2244" t="s">
        <v>2376</v>
      </c>
      <c r="LD7" s="2244" t="s">
        <v>2377</v>
      </c>
      <c r="LE7" s="2244" t="s">
        <v>2378</v>
      </c>
      <c r="LF7" s="2244" t="s">
        <v>2379</v>
      </c>
      <c r="LG7" s="2244" t="s">
        <v>551</v>
      </c>
      <c r="LH7" s="2244" t="s">
        <v>2376</v>
      </c>
      <c r="LI7" s="2244" t="s">
        <v>2377</v>
      </c>
      <c r="LJ7" s="2244" t="s">
        <v>2378</v>
      </c>
      <c r="LK7" s="2244" t="s">
        <v>2379</v>
      </c>
      <c r="LL7" s="2244" t="s">
        <v>551</v>
      </c>
      <c r="LM7" s="2244" t="s">
        <v>2376</v>
      </c>
      <c r="LN7" s="2244" t="s">
        <v>2377</v>
      </c>
      <c r="LO7" s="2244" t="s">
        <v>2378</v>
      </c>
      <c r="LP7" s="2244"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4208</v>
      </c>
      <c r="C8" s="2374" t="s">
        <v>168</v>
      </c>
      <c r="D8" s="2374" t="s">
        <v>530</v>
      </c>
      <c r="E8" s="2374" t="s">
        <v>1445</v>
      </c>
      <c r="F8" s="2374" t="s">
        <v>1445</v>
      </c>
      <c r="G8" s="2374" t="s">
        <v>1447</v>
      </c>
      <c r="H8" s="2374" t="s">
        <v>3490</v>
      </c>
      <c r="I8" s="2641"/>
      <c r="J8" s="2664" t="s">
        <v>4475</v>
      </c>
      <c r="K8" s="2374" t="s">
        <v>2343</v>
      </c>
      <c r="L8" s="2667" t="s">
        <v>142</v>
      </c>
      <c r="M8" s="2667"/>
      <c r="N8" s="2374" t="s">
        <v>2306</v>
      </c>
      <c r="O8" s="2374" t="s">
        <v>4788</v>
      </c>
      <c r="P8" s="2374" t="s">
        <v>377</v>
      </c>
      <c r="Q8" s="2641"/>
      <c r="R8" s="2374" t="s">
        <v>2614</v>
      </c>
      <c r="S8" s="2374"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4" t="s">
        <v>2376</v>
      </c>
      <c r="IB8" s="2244" t="s">
        <v>2377</v>
      </c>
      <c r="IC8" s="2244" t="s">
        <v>2378</v>
      </c>
      <c r="ID8" s="2244" t="s">
        <v>2379</v>
      </c>
      <c r="IE8" s="2643" t="s">
        <v>2431</v>
      </c>
      <c r="IF8" s="2643" t="s">
        <v>2431</v>
      </c>
      <c r="IG8" s="2643" t="s">
        <v>2431</v>
      </c>
      <c r="IH8" s="2643" t="s">
        <v>2431</v>
      </c>
      <c r="II8" s="2643" t="s">
        <v>2431</v>
      </c>
      <c r="IJ8" s="2643" t="s">
        <v>3259</v>
      </c>
      <c r="IK8" s="2643" t="s">
        <v>3259</v>
      </c>
      <c r="IL8" s="2643" t="s">
        <v>3259</v>
      </c>
      <c r="IM8" s="2643" t="s">
        <v>3259</v>
      </c>
      <c r="IN8" s="2643" t="s">
        <v>3259</v>
      </c>
      <c r="IO8" s="2244" t="s">
        <v>551</v>
      </c>
      <c r="IP8" s="2244" t="s">
        <v>2376</v>
      </c>
      <c r="IQ8" s="2244" t="s">
        <v>2377</v>
      </c>
      <c r="IR8" s="2244" t="s">
        <v>2378</v>
      </c>
      <c r="IS8" s="2244" t="s">
        <v>2379</v>
      </c>
      <c r="IT8" s="2244" t="s">
        <v>551</v>
      </c>
      <c r="IU8" s="2244" t="s">
        <v>2376</v>
      </c>
      <c r="IV8" s="2244" t="s">
        <v>2377</v>
      </c>
      <c r="IW8" s="2244" t="s">
        <v>2378</v>
      </c>
      <c r="IX8" s="2244" t="s">
        <v>2379</v>
      </c>
      <c r="IY8" s="2643" t="s">
        <v>2433</v>
      </c>
      <c r="IZ8" s="2643" t="s">
        <v>2433</v>
      </c>
      <c r="JA8" s="2643" t="s">
        <v>2433</v>
      </c>
      <c r="JB8" s="2643" t="s">
        <v>2433</v>
      </c>
      <c r="JC8" s="2643" t="s">
        <v>2433</v>
      </c>
      <c r="JD8" s="2643" t="s">
        <v>3255</v>
      </c>
      <c r="JE8" s="2643" t="s">
        <v>3255</v>
      </c>
      <c r="JF8" s="2643" t="s">
        <v>3255</v>
      </c>
      <c r="JG8" s="2643" t="s">
        <v>3255</v>
      </c>
      <c r="JH8" s="2643" t="s">
        <v>3255</v>
      </c>
      <c r="JI8" s="2643" t="s">
        <v>352</v>
      </c>
      <c r="JJ8" s="2643" t="s">
        <v>352</v>
      </c>
      <c r="JK8" s="2643" t="s">
        <v>352</v>
      </c>
      <c r="JL8" s="2643" t="s">
        <v>352</v>
      </c>
      <c r="JM8" s="2643" t="s">
        <v>352</v>
      </c>
      <c r="JN8" s="2643" t="s">
        <v>3254</v>
      </c>
      <c r="JO8" s="2643" t="s">
        <v>3254</v>
      </c>
      <c r="JP8" s="2643" t="s">
        <v>3254</v>
      </c>
      <c r="JQ8" s="2643" t="s">
        <v>3254</v>
      </c>
      <c r="JR8" s="2643" t="s">
        <v>3254</v>
      </c>
      <c r="JS8" s="2643" t="s">
        <v>353</v>
      </c>
      <c r="JT8" s="2643" t="s">
        <v>353</v>
      </c>
      <c r="JU8" s="2643" t="s">
        <v>353</v>
      </c>
      <c r="JV8" s="2643" t="s">
        <v>353</v>
      </c>
      <c r="JW8" s="2643" t="s">
        <v>353</v>
      </c>
      <c r="JX8" s="2643" t="s">
        <v>3253</v>
      </c>
      <c r="JY8" s="2643" t="s">
        <v>3253</v>
      </c>
      <c r="JZ8" s="2643" t="s">
        <v>3253</v>
      </c>
      <c r="KA8" s="2643" t="s">
        <v>3253</v>
      </c>
      <c r="KB8" s="2643" t="s">
        <v>3253</v>
      </c>
      <c r="KC8" s="2643" t="s">
        <v>354</v>
      </c>
      <c r="KD8" s="2643" t="s">
        <v>354</v>
      </c>
      <c r="KE8" s="2643" t="s">
        <v>354</v>
      </c>
      <c r="KF8" s="2643" t="s">
        <v>354</v>
      </c>
      <c r="KG8" s="2643" t="s">
        <v>354</v>
      </c>
      <c r="KH8" s="2643" t="s">
        <v>3256</v>
      </c>
      <c r="KI8" s="2643" t="s">
        <v>3256</v>
      </c>
      <c r="KJ8" s="2643" t="s">
        <v>3256</v>
      </c>
      <c r="KK8" s="2643" t="s">
        <v>3256</v>
      </c>
      <c r="KL8" s="2643" t="s">
        <v>3256</v>
      </c>
      <c r="KM8" s="2643" t="s">
        <v>355</v>
      </c>
      <c r="KN8" s="2643" t="s">
        <v>355</v>
      </c>
      <c r="KO8" s="2643" t="s">
        <v>355</v>
      </c>
      <c r="KP8" s="2643" t="s">
        <v>355</v>
      </c>
      <c r="KQ8" s="2643" t="s">
        <v>355</v>
      </c>
      <c r="KR8" s="2643" t="s">
        <v>3257</v>
      </c>
      <c r="KS8" s="2643" t="s">
        <v>3257</v>
      </c>
      <c r="KT8" s="2643" t="s">
        <v>3257</v>
      </c>
      <c r="KU8" s="2643" t="s">
        <v>3257</v>
      </c>
      <c r="KV8" s="2643" t="s">
        <v>3257</v>
      </c>
      <c r="KW8" s="2643" t="s">
        <v>1432</v>
      </c>
      <c r="KX8" s="2643" t="s">
        <v>1432</v>
      </c>
      <c r="KY8" s="2643" t="s">
        <v>1432</v>
      </c>
      <c r="KZ8" s="2643" t="s">
        <v>1432</v>
      </c>
      <c r="LA8" s="2643" t="s">
        <v>1432</v>
      </c>
      <c r="LB8" s="2643" t="s">
        <v>3258</v>
      </c>
      <c r="LC8" s="2643" t="s">
        <v>3258</v>
      </c>
      <c r="LD8" s="2643" t="s">
        <v>3258</v>
      </c>
      <c r="LE8" s="2643" t="s">
        <v>3258</v>
      </c>
      <c r="LF8" s="2643" t="s">
        <v>3258</v>
      </c>
      <c r="LG8" s="2643" t="s">
        <v>4794</v>
      </c>
      <c r="LH8" s="2643" t="s">
        <v>4794</v>
      </c>
      <c r="LI8" s="2643" t="s">
        <v>4794</v>
      </c>
      <c r="LJ8" s="2643" t="s">
        <v>4794</v>
      </c>
      <c r="LK8" s="2643" t="s">
        <v>4794</v>
      </c>
      <c r="LL8" s="2643" t="s">
        <v>4795</v>
      </c>
      <c r="LM8" s="2643" t="s">
        <v>4795</v>
      </c>
      <c r="LN8" s="2643" t="s">
        <v>4795</v>
      </c>
      <c r="LO8" s="2643" t="s">
        <v>4795</v>
      </c>
      <c r="LP8" s="2643" t="s">
        <v>4795</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4521</v>
      </c>
      <c r="C9" s="2374" t="s">
        <v>167</v>
      </c>
      <c r="D9" s="2374" t="s">
        <v>169</v>
      </c>
      <c r="E9" s="2374" t="s">
        <v>1446</v>
      </c>
      <c r="F9" s="2374" t="s">
        <v>1253</v>
      </c>
      <c r="G9" s="2374" t="s">
        <v>3491</v>
      </c>
      <c r="H9" s="2374" t="s">
        <v>1447</v>
      </c>
      <c r="I9" s="2642"/>
      <c r="J9" s="2665"/>
      <c r="K9" s="444" t="s">
        <v>344</v>
      </c>
      <c r="L9" s="2374" t="s">
        <v>1498</v>
      </c>
      <c r="M9" s="2374" t="s">
        <v>524</v>
      </c>
      <c r="N9" s="2374" t="s">
        <v>1445</v>
      </c>
      <c r="O9" s="2374" t="s">
        <v>3209</v>
      </c>
      <c r="P9" s="2374" t="s">
        <v>378</v>
      </c>
      <c r="Q9" s="2642"/>
      <c r="R9" s="2374" t="s">
        <v>1447</v>
      </c>
      <c r="S9" s="2374"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4" t="s">
        <v>2430</v>
      </c>
      <c r="IB9" s="2244" t="s">
        <v>2430</v>
      </c>
      <c r="IC9" s="2244" t="s">
        <v>2430</v>
      </c>
      <c r="ID9" s="2244" t="s">
        <v>2430</v>
      </c>
      <c r="IE9" s="2643"/>
      <c r="IF9" s="2643"/>
      <c r="IG9" s="2643"/>
      <c r="IH9" s="2643"/>
      <c r="II9" s="2643"/>
      <c r="IJ9" s="2643"/>
      <c r="IK9" s="2643"/>
      <c r="IL9" s="2643"/>
      <c r="IM9" s="2643"/>
      <c r="IN9" s="2643"/>
      <c r="IO9" s="2244" t="s">
        <v>2432</v>
      </c>
      <c r="IP9" s="2244" t="s">
        <v>2432</v>
      </c>
      <c r="IQ9" s="2244" t="s">
        <v>2432</v>
      </c>
      <c r="IR9" s="2244" t="s">
        <v>2432</v>
      </c>
      <c r="IS9" s="2244" t="s">
        <v>2432</v>
      </c>
      <c r="IT9" s="2244" t="s">
        <v>3260</v>
      </c>
      <c r="IU9" s="2244" t="s">
        <v>3260</v>
      </c>
      <c r="IV9" s="2244" t="s">
        <v>3260</v>
      </c>
      <c r="IW9" s="2244" t="s">
        <v>3260</v>
      </c>
      <c r="IX9" s="2244" t="s">
        <v>3260</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9" t="s">
        <v>4118</v>
      </c>
      <c r="C10" s="3970"/>
      <c r="D10" s="3971"/>
      <c r="E10" s="3972"/>
      <c r="F10" s="3972"/>
      <c r="G10" s="3972"/>
      <c r="H10" s="3972"/>
      <c r="I10" s="3973"/>
      <c r="J10" s="3974"/>
      <c r="K10" s="3975"/>
      <c r="L10" s="566">
        <f t="shared" ref="L10:L47" si="0">MAX(0,H10-I10-J10)</f>
        <v>0</v>
      </c>
      <c r="M10" s="566">
        <f t="shared" ref="M10:M47" si="1">MAX(0,E10*L10)</f>
        <v>0</v>
      </c>
      <c r="N10" s="3976"/>
      <c r="O10" s="3976"/>
      <c r="P10" s="3976"/>
      <c r="Q10" s="3977"/>
      <c r="R10" s="3978"/>
      <c r="S10" s="3979"/>
      <c r="T10" s="3980"/>
      <c r="U10" s="3981"/>
      <c r="V10" s="3981"/>
      <c r="W10" s="398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3983" t="s">
        <v>4118</v>
      </c>
      <c r="C11" s="3984"/>
      <c r="D11" s="3985"/>
      <c r="E11" s="3986"/>
      <c r="F11" s="3986"/>
      <c r="G11" s="3986"/>
      <c r="H11" s="3986"/>
      <c r="I11" s="3986"/>
      <c r="J11" s="3987"/>
      <c r="K11" s="3988"/>
      <c r="L11" s="567">
        <f t="shared" si="0"/>
        <v>0</v>
      </c>
      <c r="M11" s="567">
        <f t="shared" si="1"/>
        <v>0</v>
      </c>
      <c r="N11" s="3989"/>
      <c r="O11" s="3989"/>
      <c r="P11" s="3989"/>
      <c r="Q11" s="3990"/>
      <c r="R11" s="3991"/>
      <c r="S11" s="3992"/>
      <c r="T11" s="3993"/>
      <c r="U11" s="3994"/>
      <c r="V11" s="3994"/>
      <c r="W11" s="399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3983" t="s">
        <v>298</v>
      </c>
      <c r="C12" s="3984"/>
      <c r="D12" s="3985"/>
      <c r="E12" s="3986"/>
      <c r="F12" s="3986"/>
      <c r="G12" s="3986"/>
      <c r="H12" s="3986"/>
      <c r="I12" s="3986"/>
      <c r="J12" s="3987"/>
      <c r="K12" s="3988"/>
      <c r="L12" s="567">
        <f t="shared" si="0"/>
        <v>0</v>
      </c>
      <c r="M12" s="567">
        <f t="shared" si="1"/>
        <v>0</v>
      </c>
      <c r="N12" s="3989"/>
      <c r="O12" s="3989"/>
      <c r="P12" s="3989"/>
      <c r="Q12" s="3990"/>
      <c r="R12" s="3991"/>
      <c r="S12" s="3992"/>
      <c r="T12" s="3993"/>
      <c r="U12" s="3994"/>
      <c r="V12" s="3994"/>
      <c r="W12" s="399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3983" t="s">
        <v>298</v>
      </c>
      <c r="C13" s="3984"/>
      <c r="D13" s="3985"/>
      <c r="E13" s="3986"/>
      <c r="F13" s="3986"/>
      <c r="G13" s="3986"/>
      <c r="H13" s="3986"/>
      <c r="I13" s="3986"/>
      <c r="J13" s="3987"/>
      <c r="K13" s="3988"/>
      <c r="L13" s="567">
        <f t="shared" si="0"/>
        <v>0</v>
      </c>
      <c r="M13" s="567">
        <f t="shared" si="1"/>
        <v>0</v>
      </c>
      <c r="N13" s="3989"/>
      <c r="O13" s="3989"/>
      <c r="P13" s="3989"/>
      <c r="Q13" s="3990"/>
      <c r="R13" s="3991"/>
      <c r="S13" s="3992"/>
      <c r="T13" s="3993"/>
      <c r="U13" s="3994"/>
      <c r="V13" s="3994"/>
      <c r="W13" s="399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3983" t="s">
        <v>298</v>
      </c>
      <c r="C14" s="3984"/>
      <c r="D14" s="3985"/>
      <c r="E14" s="3986"/>
      <c r="F14" s="3986"/>
      <c r="G14" s="3986"/>
      <c r="H14" s="3986"/>
      <c r="I14" s="3986"/>
      <c r="J14" s="3987"/>
      <c r="K14" s="3988"/>
      <c r="L14" s="567">
        <f t="shared" si="0"/>
        <v>0</v>
      </c>
      <c r="M14" s="567">
        <f t="shared" si="1"/>
        <v>0</v>
      </c>
      <c r="N14" s="3989"/>
      <c r="O14" s="3989"/>
      <c r="P14" s="3989"/>
      <c r="Q14" s="3990"/>
      <c r="R14" s="3991"/>
      <c r="S14" s="3992"/>
      <c r="T14" s="3993"/>
      <c r="U14" s="3994"/>
      <c r="V14" s="3994"/>
      <c r="W14" s="399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3983" t="s">
        <v>298</v>
      </c>
      <c r="C15" s="3984"/>
      <c r="D15" s="3985"/>
      <c r="E15" s="3986"/>
      <c r="F15" s="3986"/>
      <c r="G15" s="3986"/>
      <c r="H15" s="3986"/>
      <c r="I15" s="3986"/>
      <c r="J15" s="3987"/>
      <c r="K15" s="3988"/>
      <c r="L15" s="567">
        <f t="shared" si="0"/>
        <v>0</v>
      </c>
      <c r="M15" s="567">
        <f t="shared" si="1"/>
        <v>0</v>
      </c>
      <c r="N15" s="3989"/>
      <c r="O15" s="3989"/>
      <c r="P15" s="3989"/>
      <c r="Q15" s="3990"/>
      <c r="R15" s="3991"/>
      <c r="S15" s="3992"/>
      <c r="T15" s="3993"/>
      <c r="U15" s="3994"/>
      <c r="V15" s="3994"/>
      <c r="W15" s="399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3996" t="s">
        <v>298</v>
      </c>
      <c r="C16" s="3997"/>
      <c r="D16" s="3998"/>
      <c r="E16" s="3999"/>
      <c r="F16" s="3999"/>
      <c r="G16" s="3999"/>
      <c r="H16" s="3999"/>
      <c r="I16" s="3999"/>
      <c r="J16" s="4000"/>
      <c r="K16" s="4001"/>
      <c r="L16" s="1338">
        <f t="shared" si="0"/>
        <v>0</v>
      </c>
      <c r="M16" s="1338">
        <f t="shared" si="1"/>
        <v>0</v>
      </c>
      <c r="N16" s="4002"/>
      <c r="O16" s="4002"/>
      <c r="P16" s="4002"/>
      <c r="Q16" s="4003"/>
      <c r="R16" s="3991"/>
      <c r="S16" s="3992"/>
      <c r="T16" s="3993"/>
      <c r="U16" s="3994"/>
      <c r="V16" s="3994"/>
      <c r="W16" s="399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4004">
        <v>50</v>
      </c>
      <c r="C17" s="4005" t="s">
        <v>551</v>
      </c>
      <c r="D17" s="4006">
        <v>1</v>
      </c>
      <c r="E17" s="4007">
        <v>11</v>
      </c>
      <c r="F17" s="4007">
        <v>470</v>
      </c>
      <c r="G17" s="4007">
        <v>530</v>
      </c>
      <c r="H17" s="4007">
        <v>525</v>
      </c>
      <c r="I17" s="4007">
        <v>0</v>
      </c>
      <c r="J17" s="4008">
        <f>IF(C17="",0,HLOOKUP(C17,'Part V-Utility Allowances'!$I$11:$M$22,12))</f>
        <v>0</v>
      </c>
      <c r="K17" s="4009"/>
      <c r="L17" s="1337">
        <f t="shared" si="0"/>
        <v>525</v>
      </c>
      <c r="M17" s="1337">
        <f t="shared" si="1"/>
        <v>5775</v>
      </c>
      <c r="N17" s="4010" t="s">
        <v>2888</v>
      </c>
      <c r="O17" s="4010" t="s">
        <v>2537</v>
      </c>
      <c r="P17" s="4010" t="s">
        <v>949</v>
      </c>
      <c r="Q17" s="4011" t="s">
        <v>2885</v>
      </c>
      <c r="R17" s="3991"/>
      <c r="S17" s="3992"/>
      <c r="T17" s="3993"/>
      <c r="U17" s="3994"/>
      <c r="V17" s="3994"/>
      <c r="W17" s="399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f t="shared" si="17"/>
        <v>11</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f t="shared" si="132"/>
        <v>5170</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f t="shared" si="197"/>
        <v>11</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f t="shared" si="212"/>
        <v>11</v>
      </c>
      <c r="IA17" s="2245" t="str">
        <f t="shared" si="213"/>
        <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f t="shared" si="272"/>
        <v>11</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0</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t="str">
        <f t="shared" si="337"/>
        <v/>
      </c>
      <c r="B18" s="4012">
        <v>60</v>
      </c>
      <c r="C18" s="3984" t="s">
        <v>551</v>
      </c>
      <c r="D18" s="3985">
        <v>1</v>
      </c>
      <c r="E18" s="3986">
        <v>9</v>
      </c>
      <c r="F18" s="3986">
        <v>470</v>
      </c>
      <c r="G18" s="3986">
        <v>636</v>
      </c>
      <c r="H18" s="3986">
        <v>625</v>
      </c>
      <c r="I18" s="4007">
        <v>0</v>
      </c>
      <c r="J18" s="4013">
        <f>IF(C18="",0,HLOOKUP(C18,'Part V-Utility Allowances'!$I$11:$M$22,12))</f>
        <v>0</v>
      </c>
      <c r="K18" s="3988"/>
      <c r="L18" s="567">
        <f t="shared" si="0"/>
        <v>625</v>
      </c>
      <c r="M18" s="567">
        <f t="shared" si="1"/>
        <v>5625</v>
      </c>
      <c r="N18" s="4010" t="s">
        <v>2888</v>
      </c>
      <c r="O18" s="3989" t="s">
        <v>2537</v>
      </c>
      <c r="P18" s="3989" t="s">
        <v>949</v>
      </c>
      <c r="Q18" s="3990" t="s">
        <v>2885</v>
      </c>
      <c r="R18" s="3991"/>
      <c r="S18" s="3992"/>
      <c r="T18" s="3993"/>
      <c r="U18" s="3994"/>
      <c r="V18" s="3994"/>
      <c r="W18" s="399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f t="shared" si="12"/>
        <v>9</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f t="shared" si="127"/>
        <v>4230</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f t="shared" si="197"/>
        <v>9</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f t="shared" si="212"/>
        <v>9</v>
      </c>
      <c r="IA18" s="2245" t="str">
        <f t="shared" si="213"/>
        <v/>
      </c>
      <c r="IB18" s="2245" t="str">
        <f t="shared" si="214"/>
        <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f t="shared" si="272"/>
        <v>9</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0</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t="str">
        <f t="shared" si="337"/>
        <v/>
      </c>
      <c r="B19" s="4012">
        <v>50</v>
      </c>
      <c r="C19" s="3984">
        <v>1</v>
      </c>
      <c r="D19" s="3985">
        <v>1</v>
      </c>
      <c r="E19" s="3986">
        <v>11</v>
      </c>
      <c r="F19" s="3986">
        <v>690</v>
      </c>
      <c r="G19" s="3986">
        <v>568</v>
      </c>
      <c r="H19" s="3986">
        <v>550</v>
      </c>
      <c r="I19" s="4007">
        <v>0</v>
      </c>
      <c r="J19" s="4013">
        <f>IF(C19="",0,HLOOKUP(C19,'Part V-Utility Allowances'!$I$11:$M$22,12))</f>
        <v>0</v>
      </c>
      <c r="K19" s="3988"/>
      <c r="L19" s="567">
        <f t="shared" si="0"/>
        <v>550</v>
      </c>
      <c r="M19" s="567">
        <f t="shared" si="1"/>
        <v>6050</v>
      </c>
      <c r="N19" s="4010" t="s">
        <v>2888</v>
      </c>
      <c r="O19" s="3989" t="s">
        <v>2537</v>
      </c>
      <c r="P19" s="3989" t="s">
        <v>949</v>
      </c>
      <c r="Q19" s="3990" t="s">
        <v>2885</v>
      </c>
      <c r="R19" s="3991"/>
      <c r="S19" s="3992"/>
      <c r="T19" s="3993"/>
      <c r="U19" s="3994"/>
      <c r="V19" s="3994"/>
      <c r="W19" s="399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11</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7590</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f t="shared" si="198"/>
        <v>11</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f t="shared" si="213"/>
        <v>11</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f t="shared" si="273"/>
        <v>11</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95" customHeight="1">
      <c r="A20" s="109" t="str">
        <f t="shared" si="337"/>
        <v/>
      </c>
      <c r="B20" s="4012">
        <v>60</v>
      </c>
      <c r="C20" s="3984">
        <v>1</v>
      </c>
      <c r="D20" s="3985">
        <v>1</v>
      </c>
      <c r="E20" s="3986">
        <v>9</v>
      </c>
      <c r="F20" s="3986">
        <v>690</v>
      </c>
      <c r="G20" s="3986">
        <v>681</v>
      </c>
      <c r="H20" s="3986">
        <v>650</v>
      </c>
      <c r="I20" s="4007">
        <v>0</v>
      </c>
      <c r="J20" s="4013">
        <f>IF(C20="",0,HLOOKUP(C20,'Part V-Utility Allowances'!$I$11:$M$22,12))</f>
        <v>0</v>
      </c>
      <c r="K20" s="3988"/>
      <c r="L20" s="567">
        <f t="shared" si="0"/>
        <v>650</v>
      </c>
      <c r="M20" s="567">
        <f t="shared" si="1"/>
        <v>5850</v>
      </c>
      <c r="N20" s="4010" t="s">
        <v>2888</v>
      </c>
      <c r="O20" s="3989" t="s">
        <v>2537</v>
      </c>
      <c r="P20" s="3989" t="s">
        <v>949</v>
      </c>
      <c r="Q20" s="3990" t="s">
        <v>2885</v>
      </c>
      <c r="R20" s="3991"/>
      <c r="S20" s="3992"/>
      <c r="T20" s="3993"/>
      <c r="U20" s="3994"/>
      <c r="V20" s="3994"/>
      <c r="W20" s="399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9</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6210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f t="shared" si="198"/>
        <v>9</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f t="shared" si="213"/>
        <v>9</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f t="shared" si="273"/>
        <v>9</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t="str">
        <f t="shared" si="337"/>
        <v/>
      </c>
      <c r="B21" s="4012">
        <v>50</v>
      </c>
      <c r="C21" s="3984">
        <v>2</v>
      </c>
      <c r="D21" s="3985">
        <v>2</v>
      </c>
      <c r="E21" s="3986">
        <v>3</v>
      </c>
      <c r="F21" s="3986">
        <v>900</v>
      </c>
      <c r="G21" s="3986">
        <v>681</v>
      </c>
      <c r="H21" s="3986">
        <v>600</v>
      </c>
      <c r="I21" s="4007">
        <v>0</v>
      </c>
      <c r="J21" s="4013">
        <f>IF(C21="",0,HLOOKUP(C21,'Part V-Utility Allowances'!$I$11:$M$22,12))</f>
        <v>0</v>
      </c>
      <c r="K21" s="3988"/>
      <c r="L21" s="567">
        <f t="shared" si="0"/>
        <v>600</v>
      </c>
      <c r="M21" s="567">
        <f t="shared" si="1"/>
        <v>1800</v>
      </c>
      <c r="N21" s="4010" t="s">
        <v>2888</v>
      </c>
      <c r="O21" s="3989" t="s">
        <v>2536</v>
      </c>
      <c r="P21" s="3989" t="s">
        <v>2236</v>
      </c>
      <c r="Q21" s="3990" t="s">
        <v>2888</v>
      </c>
      <c r="R21" s="3991"/>
      <c r="S21" s="3992"/>
      <c r="T21" s="3993"/>
      <c r="U21" s="3994"/>
      <c r="V21" s="3994"/>
      <c r="W21" s="399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f t="shared" si="19"/>
        <v>3</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f t="shared" si="134"/>
        <v>2700</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3</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f t="shared" si="214"/>
        <v>3</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f t="shared" si="259"/>
        <v>3</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3</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t="str">
        <f t="shared" si="337"/>
        <v/>
      </c>
      <c r="B22" s="4012">
        <v>60</v>
      </c>
      <c r="C22" s="3984">
        <v>2</v>
      </c>
      <c r="D22" s="3985">
        <v>2</v>
      </c>
      <c r="E22" s="3986">
        <v>2</v>
      </c>
      <c r="F22" s="3986">
        <v>900</v>
      </c>
      <c r="G22" s="3986">
        <v>817</v>
      </c>
      <c r="H22" s="3986">
        <v>700</v>
      </c>
      <c r="I22" s="4007">
        <v>0</v>
      </c>
      <c r="J22" s="4013">
        <f>IF(C22="",0,HLOOKUP(C22,'Part V-Utility Allowances'!$I$11:$M$22,12))</f>
        <v>0</v>
      </c>
      <c r="K22" s="3988"/>
      <c r="L22" s="567">
        <f t="shared" si="0"/>
        <v>700</v>
      </c>
      <c r="M22" s="567">
        <f t="shared" si="1"/>
        <v>1400</v>
      </c>
      <c r="N22" s="4010" t="s">
        <v>2888</v>
      </c>
      <c r="O22" s="3989" t="s">
        <v>2536</v>
      </c>
      <c r="P22" s="3989" t="s">
        <v>2236</v>
      </c>
      <c r="Q22" s="3990" t="s">
        <v>2888</v>
      </c>
      <c r="R22" s="3991"/>
      <c r="S22" s="3992"/>
      <c r="T22" s="3993"/>
      <c r="U22" s="3994"/>
      <c r="V22" s="3994"/>
      <c r="W22" s="399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f t="shared" si="14"/>
        <v>2</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f t="shared" si="129"/>
        <v>1800</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2</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f t="shared" si="214"/>
        <v>2</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f t="shared" si="259"/>
        <v>2</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2</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4012">
        <v>80</v>
      </c>
      <c r="C23" s="3984" t="s">
        <v>551</v>
      </c>
      <c r="D23" s="3985">
        <v>1</v>
      </c>
      <c r="E23" s="3986">
        <v>2</v>
      </c>
      <c r="F23" s="3986">
        <v>470</v>
      </c>
      <c r="G23" s="3986">
        <v>848</v>
      </c>
      <c r="H23" s="3986">
        <v>650</v>
      </c>
      <c r="I23" s="4007">
        <v>0</v>
      </c>
      <c r="J23" s="4013">
        <f>IF(C23="",0,HLOOKUP(C23,'Part V-Utility Allowances'!$I$11:$M$22,12))</f>
        <v>0</v>
      </c>
      <c r="K23" s="3988"/>
      <c r="L23" s="567">
        <f t="shared" si="0"/>
        <v>650</v>
      </c>
      <c r="M23" s="567">
        <f t="shared" si="1"/>
        <v>1300</v>
      </c>
      <c r="N23" s="4010" t="s">
        <v>2888</v>
      </c>
      <c r="O23" s="3989" t="s">
        <v>2537</v>
      </c>
      <c r="P23" s="3989" t="s">
        <v>949</v>
      </c>
      <c r="Q23" s="3990" t="s">
        <v>2885</v>
      </c>
      <c r="R23" s="3991"/>
      <c r="S23" s="3992"/>
      <c r="T23" s="3993"/>
      <c r="U23" s="3994"/>
      <c r="V23" s="3994"/>
      <c r="W23" s="3995"/>
      <c r="X23" s="443">
        <f t="shared" si="2"/>
        <v>2</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f t="shared" si="117"/>
        <v>940</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f t="shared" si="197"/>
        <v>2</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f t="shared" si="212"/>
        <v>2</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f t="shared" si="272"/>
        <v>2</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4012">
        <v>80</v>
      </c>
      <c r="C24" s="3984">
        <v>1</v>
      </c>
      <c r="D24" s="3985">
        <v>1</v>
      </c>
      <c r="E24" s="3986">
        <v>2</v>
      </c>
      <c r="F24" s="3986">
        <v>690</v>
      </c>
      <c r="G24" s="3986">
        <v>909</v>
      </c>
      <c r="H24" s="3986">
        <v>725</v>
      </c>
      <c r="I24" s="4007">
        <v>0</v>
      </c>
      <c r="J24" s="4013">
        <f>IF(C24="",0,HLOOKUP(C24,'Part V-Utility Allowances'!$I$11:$M$22,12))</f>
        <v>0</v>
      </c>
      <c r="K24" s="3988"/>
      <c r="L24" s="567">
        <f t="shared" si="0"/>
        <v>725</v>
      </c>
      <c r="M24" s="567">
        <f t="shared" si="1"/>
        <v>1450</v>
      </c>
      <c r="N24" s="4010" t="s">
        <v>2888</v>
      </c>
      <c r="O24" s="3989" t="s">
        <v>2537</v>
      </c>
      <c r="P24" s="3989" t="s">
        <v>949</v>
      </c>
      <c r="Q24" s="3990" t="s">
        <v>2885</v>
      </c>
      <c r="R24" s="3991"/>
      <c r="S24" s="3992"/>
      <c r="T24" s="3993"/>
      <c r="U24" s="3994"/>
      <c r="V24" s="3994"/>
      <c r="W24" s="3995"/>
      <c r="X24" s="443" t="str">
        <f t="shared" si="2"/>
        <v/>
      </c>
      <c r="Y24" s="443">
        <f t="shared" si="3"/>
        <v>2</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f t="shared" si="118"/>
        <v>1380</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f t="shared" si="198"/>
        <v>2</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f t="shared" si="213"/>
        <v>2</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f t="shared" si="273"/>
        <v>2</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4012">
        <v>80</v>
      </c>
      <c r="C25" s="3984">
        <v>2</v>
      </c>
      <c r="D25" s="3985">
        <v>2</v>
      </c>
      <c r="E25" s="3986">
        <v>1</v>
      </c>
      <c r="F25" s="3986">
        <v>900</v>
      </c>
      <c r="G25" s="3986">
        <v>1090</v>
      </c>
      <c r="H25" s="3986">
        <v>800</v>
      </c>
      <c r="I25" s="4007">
        <v>0</v>
      </c>
      <c r="J25" s="4013">
        <f>IF(C25="",0,HLOOKUP(C25,'Part V-Utility Allowances'!$I$11:$M$22,12))</f>
        <v>0</v>
      </c>
      <c r="K25" s="3988"/>
      <c r="L25" s="567">
        <f t="shared" si="0"/>
        <v>800</v>
      </c>
      <c r="M25" s="567">
        <f t="shared" si="1"/>
        <v>800</v>
      </c>
      <c r="N25" s="4010" t="s">
        <v>2888</v>
      </c>
      <c r="O25" s="3989" t="s">
        <v>2536</v>
      </c>
      <c r="P25" s="3989" t="s">
        <v>2236</v>
      </c>
      <c r="Q25" s="3990" t="s">
        <v>2888</v>
      </c>
      <c r="R25" s="3991"/>
      <c r="S25" s="3992"/>
      <c r="T25" s="3993"/>
      <c r="U25" s="3994"/>
      <c r="V25" s="3994"/>
      <c r="W25" s="3995"/>
      <c r="X25" s="443" t="str">
        <f t="shared" si="2"/>
        <v/>
      </c>
      <c r="Y25" s="443" t="str">
        <f t="shared" si="3"/>
        <v/>
      </c>
      <c r="Z25" s="443">
        <f t="shared" si="4"/>
        <v>1</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f t="shared" si="119"/>
        <v>900</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f t="shared" si="169"/>
        <v>1</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f t="shared" si="214"/>
        <v>1</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f t="shared" si="259"/>
        <v>1</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1</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4012"/>
      <c r="C26" s="3984"/>
      <c r="D26" s="3985"/>
      <c r="E26" s="3986"/>
      <c r="F26" s="3986"/>
      <c r="G26" s="3986"/>
      <c r="H26" s="3986"/>
      <c r="I26" s="3986"/>
      <c r="J26" s="4013">
        <f>IF(C26="",0,HLOOKUP(C26,'Part V-Utility Allowances'!$I$11:$M$22,12))</f>
        <v>0</v>
      </c>
      <c r="K26" s="3988"/>
      <c r="L26" s="567">
        <f t="shared" si="0"/>
        <v>0</v>
      </c>
      <c r="M26" s="567">
        <f t="shared" si="1"/>
        <v>0</v>
      </c>
      <c r="N26" s="3989"/>
      <c r="O26" s="3989"/>
      <c r="P26" s="3989"/>
      <c r="Q26" s="3990"/>
      <c r="R26" s="3991"/>
      <c r="S26" s="3992"/>
      <c r="T26" s="3993"/>
      <c r="U26" s="3994"/>
      <c r="V26" s="3994"/>
      <c r="W26" s="399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4012"/>
      <c r="C27" s="3984"/>
      <c r="D27" s="3985"/>
      <c r="E27" s="3986"/>
      <c r="F27" s="3986"/>
      <c r="G27" s="3986"/>
      <c r="H27" s="3986"/>
      <c r="I27" s="3986"/>
      <c r="J27" s="4013">
        <f>IF(C27="",0,HLOOKUP(C27,'Part V-Utility Allowances'!$I$11:$M$22,12))</f>
        <v>0</v>
      </c>
      <c r="K27" s="3988"/>
      <c r="L27" s="567">
        <f t="shared" si="0"/>
        <v>0</v>
      </c>
      <c r="M27" s="567">
        <f t="shared" si="1"/>
        <v>0</v>
      </c>
      <c r="N27" s="3989"/>
      <c r="O27" s="3989"/>
      <c r="P27" s="3989"/>
      <c r="Q27" s="3990"/>
      <c r="R27" s="3991"/>
      <c r="S27" s="3992"/>
      <c r="T27" s="3993"/>
      <c r="U27" s="3994"/>
      <c r="V27" s="3994"/>
      <c r="W27" s="399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4012"/>
      <c r="C28" s="3984"/>
      <c r="D28" s="3985"/>
      <c r="E28" s="3986"/>
      <c r="F28" s="3986"/>
      <c r="G28" s="3986"/>
      <c r="H28" s="3986"/>
      <c r="I28" s="3986"/>
      <c r="J28" s="4013">
        <f>IF(C28="",0,HLOOKUP(C28,'Part V-Utility Allowances'!$I$11:$M$22,12))</f>
        <v>0</v>
      </c>
      <c r="K28" s="3988"/>
      <c r="L28" s="567">
        <f t="shared" si="0"/>
        <v>0</v>
      </c>
      <c r="M28" s="567">
        <f t="shared" si="1"/>
        <v>0</v>
      </c>
      <c r="N28" s="3989"/>
      <c r="O28" s="3989"/>
      <c r="P28" s="3989"/>
      <c r="Q28" s="3990"/>
      <c r="R28" s="3991"/>
      <c r="S28" s="3992"/>
      <c r="T28" s="3993"/>
      <c r="U28" s="3994"/>
      <c r="V28" s="3994"/>
      <c r="W28" s="399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4012"/>
      <c r="C29" s="3984"/>
      <c r="D29" s="3985"/>
      <c r="E29" s="3986"/>
      <c r="F29" s="3986"/>
      <c r="G29" s="3986"/>
      <c r="H29" s="3986"/>
      <c r="I29" s="3986"/>
      <c r="J29" s="4013">
        <f>IF(C29="",0,HLOOKUP(C29,'Part V-Utility Allowances'!$I$11:$M$22,12))</f>
        <v>0</v>
      </c>
      <c r="K29" s="3988"/>
      <c r="L29" s="567">
        <f t="shared" si="0"/>
        <v>0</v>
      </c>
      <c r="M29" s="567">
        <f t="shared" si="1"/>
        <v>0</v>
      </c>
      <c r="N29" s="3989"/>
      <c r="O29" s="3989"/>
      <c r="P29" s="3989"/>
      <c r="Q29" s="3990"/>
      <c r="R29" s="3991"/>
      <c r="S29" s="3992"/>
      <c r="T29" s="3993"/>
      <c r="U29" s="3994"/>
      <c r="V29" s="3994"/>
      <c r="W29" s="399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4012"/>
      <c r="C30" s="3984"/>
      <c r="D30" s="3985"/>
      <c r="E30" s="3986"/>
      <c r="F30" s="3986"/>
      <c r="G30" s="3986"/>
      <c r="H30" s="3986"/>
      <c r="I30" s="3986"/>
      <c r="J30" s="4013">
        <f>IF(C30="",0,HLOOKUP(C30,'Part V-Utility Allowances'!$I$11:$M$22,12))</f>
        <v>0</v>
      </c>
      <c r="K30" s="3988"/>
      <c r="L30" s="567">
        <f t="shared" si="0"/>
        <v>0</v>
      </c>
      <c r="M30" s="567">
        <f t="shared" si="1"/>
        <v>0</v>
      </c>
      <c r="N30" s="3989"/>
      <c r="O30" s="3989"/>
      <c r="P30" s="3989"/>
      <c r="Q30" s="3990"/>
      <c r="R30" s="3991"/>
      <c r="S30" s="3992"/>
      <c r="T30" s="3993"/>
      <c r="U30" s="3994"/>
      <c r="V30" s="3994"/>
      <c r="W30" s="399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4012"/>
      <c r="C31" s="3984"/>
      <c r="D31" s="3985"/>
      <c r="E31" s="3986"/>
      <c r="F31" s="3986"/>
      <c r="G31" s="3986"/>
      <c r="H31" s="3986"/>
      <c r="I31" s="3986"/>
      <c r="J31" s="4013">
        <f>IF(C31="",0,HLOOKUP(C31,'Part V-Utility Allowances'!$I$11:$M$22,12))</f>
        <v>0</v>
      </c>
      <c r="K31" s="3988"/>
      <c r="L31" s="567">
        <f t="shared" si="0"/>
        <v>0</v>
      </c>
      <c r="M31" s="567">
        <f t="shared" si="1"/>
        <v>0</v>
      </c>
      <c r="N31" s="3989"/>
      <c r="O31" s="3989"/>
      <c r="P31" s="3989"/>
      <c r="Q31" s="3990"/>
      <c r="R31" s="3991"/>
      <c r="S31" s="3992"/>
      <c r="T31" s="3993"/>
      <c r="U31" s="3994"/>
      <c r="V31" s="3994"/>
      <c r="W31" s="399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4012"/>
      <c r="C32" s="3984"/>
      <c r="D32" s="3985"/>
      <c r="E32" s="3986"/>
      <c r="F32" s="3986"/>
      <c r="G32" s="3986"/>
      <c r="H32" s="3986"/>
      <c r="I32" s="3986"/>
      <c r="J32" s="4013">
        <f>IF(C32="",0,HLOOKUP(C32,'Part V-Utility Allowances'!$I$11:$M$22,12))</f>
        <v>0</v>
      </c>
      <c r="K32" s="3988"/>
      <c r="L32" s="567">
        <f t="shared" si="0"/>
        <v>0</v>
      </c>
      <c r="M32" s="567">
        <f t="shared" si="1"/>
        <v>0</v>
      </c>
      <c r="N32" s="3989"/>
      <c r="O32" s="3989"/>
      <c r="P32" s="3989"/>
      <c r="Q32" s="3990"/>
      <c r="R32" s="3991"/>
      <c r="S32" s="3992"/>
      <c r="T32" s="3993"/>
      <c r="U32" s="3994"/>
      <c r="V32" s="3994"/>
      <c r="W32" s="399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4012"/>
      <c r="C33" s="3984"/>
      <c r="D33" s="3985"/>
      <c r="E33" s="3986"/>
      <c r="F33" s="3986"/>
      <c r="G33" s="3986"/>
      <c r="H33" s="3986"/>
      <c r="I33" s="3986"/>
      <c r="J33" s="4013">
        <f>IF(C33="",0,HLOOKUP(C33,'Part V-Utility Allowances'!$I$11:$M$22,12))</f>
        <v>0</v>
      </c>
      <c r="K33" s="3988"/>
      <c r="L33" s="567">
        <f t="shared" si="0"/>
        <v>0</v>
      </c>
      <c r="M33" s="567">
        <f t="shared" si="1"/>
        <v>0</v>
      </c>
      <c r="N33" s="3989"/>
      <c r="O33" s="3989"/>
      <c r="P33" s="3989"/>
      <c r="Q33" s="3990"/>
      <c r="R33" s="3991"/>
      <c r="S33" s="3992"/>
      <c r="T33" s="3993"/>
      <c r="U33" s="3994"/>
      <c r="V33" s="3994"/>
      <c r="W33" s="399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4012"/>
      <c r="C34" s="3984"/>
      <c r="D34" s="3985"/>
      <c r="E34" s="3986"/>
      <c r="F34" s="3986"/>
      <c r="G34" s="3986"/>
      <c r="H34" s="3986"/>
      <c r="I34" s="3986"/>
      <c r="J34" s="4013">
        <f>IF(C34="",0,HLOOKUP(C34,'Part V-Utility Allowances'!$I$11:$M$22,12))</f>
        <v>0</v>
      </c>
      <c r="K34" s="3988"/>
      <c r="L34" s="567">
        <f t="shared" si="0"/>
        <v>0</v>
      </c>
      <c r="M34" s="567">
        <f t="shared" si="1"/>
        <v>0</v>
      </c>
      <c r="N34" s="3989"/>
      <c r="O34" s="3989"/>
      <c r="P34" s="3989"/>
      <c r="Q34" s="3990"/>
      <c r="R34" s="3991"/>
      <c r="S34" s="3992"/>
      <c r="T34" s="3993"/>
      <c r="U34" s="3994"/>
      <c r="V34" s="3994"/>
      <c r="W34" s="399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4012"/>
      <c r="C35" s="3984"/>
      <c r="D35" s="3985"/>
      <c r="E35" s="3986"/>
      <c r="F35" s="3986"/>
      <c r="G35" s="3986"/>
      <c r="H35" s="3986"/>
      <c r="I35" s="3986"/>
      <c r="J35" s="4013">
        <f>IF(C35="",0,HLOOKUP(C35,'Part V-Utility Allowances'!$I$11:$M$22,12))</f>
        <v>0</v>
      </c>
      <c r="K35" s="3988"/>
      <c r="L35" s="567">
        <f t="shared" si="0"/>
        <v>0</v>
      </c>
      <c r="M35" s="567">
        <f t="shared" si="1"/>
        <v>0</v>
      </c>
      <c r="N35" s="3989"/>
      <c r="O35" s="3989"/>
      <c r="P35" s="3989"/>
      <c r="Q35" s="3990"/>
      <c r="R35" s="3991"/>
      <c r="S35" s="3992"/>
      <c r="T35" s="3993"/>
      <c r="U35" s="3994"/>
      <c r="V35" s="3994"/>
      <c r="W35" s="399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4012"/>
      <c r="C36" s="3984"/>
      <c r="D36" s="3985"/>
      <c r="E36" s="3986"/>
      <c r="F36" s="3986"/>
      <c r="G36" s="3986"/>
      <c r="H36" s="3986"/>
      <c r="I36" s="3986"/>
      <c r="J36" s="4013">
        <f>IF(C36="",0,HLOOKUP(C36,'Part V-Utility Allowances'!$I$11:$M$22,12))</f>
        <v>0</v>
      </c>
      <c r="K36" s="3988"/>
      <c r="L36" s="567">
        <f t="shared" si="0"/>
        <v>0</v>
      </c>
      <c r="M36" s="567">
        <f t="shared" si="1"/>
        <v>0</v>
      </c>
      <c r="N36" s="3989"/>
      <c r="O36" s="3989"/>
      <c r="P36" s="3989"/>
      <c r="Q36" s="3990"/>
      <c r="R36" s="3991"/>
      <c r="S36" s="3992"/>
      <c r="T36" s="3993"/>
      <c r="U36" s="3994"/>
      <c r="V36" s="3994"/>
      <c r="W36" s="399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4012"/>
      <c r="C37" s="3984"/>
      <c r="D37" s="3985"/>
      <c r="E37" s="3986"/>
      <c r="F37" s="3986"/>
      <c r="G37" s="3986"/>
      <c r="H37" s="3986"/>
      <c r="I37" s="3986"/>
      <c r="J37" s="4013">
        <f>IF(C37="",0,HLOOKUP(C37,'Part V-Utility Allowances'!$I$11:$M$22,12))</f>
        <v>0</v>
      </c>
      <c r="K37" s="3988"/>
      <c r="L37" s="567">
        <f t="shared" si="0"/>
        <v>0</v>
      </c>
      <c r="M37" s="567">
        <f t="shared" si="1"/>
        <v>0</v>
      </c>
      <c r="N37" s="3989"/>
      <c r="O37" s="3989"/>
      <c r="P37" s="3989"/>
      <c r="Q37" s="3990"/>
      <c r="R37" s="3991"/>
      <c r="S37" s="3992"/>
      <c r="T37" s="3993"/>
      <c r="U37" s="3994"/>
      <c r="V37" s="3994"/>
      <c r="W37" s="399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4012"/>
      <c r="C38" s="3984"/>
      <c r="D38" s="3985"/>
      <c r="E38" s="3986"/>
      <c r="F38" s="3986"/>
      <c r="G38" s="3986"/>
      <c r="H38" s="3986"/>
      <c r="I38" s="3986"/>
      <c r="J38" s="4013">
        <f>IF(C38="",0,HLOOKUP(C38,'Part V-Utility Allowances'!$I$11:$M$22,12))</f>
        <v>0</v>
      </c>
      <c r="K38" s="3988"/>
      <c r="L38" s="567">
        <f t="shared" si="0"/>
        <v>0</v>
      </c>
      <c r="M38" s="567">
        <f t="shared" si="1"/>
        <v>0</v>
      </c>
      <c r="N38" s="3989"/>
      <c r="O38" s="3989"/>
      <c r="P38" s="3989"/>
      <c r="Q38" s="3990"/>
      <c r="R38" s="3991"/>
      <c r="S38" s="3992"/>
      <c r="T38" s="3993"/>
      <c r="U38" s="3994"/>
      <c r="V38" s="3994"/>
      <c r="W38" s="399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4012"/>
      <c r="C39" s="3984"/>
      <c r="D39" s="3985"/>
      <c r="E39" s="3986"/>
      <c r="F39" s="3986"/>
      <c r="G39" s="3986"/>
      <c r="H39" s="3986"/>
      <c r="I39" s="3986"/>
      <c r="J39" s="4013">
        <f>IF(C39="",0,HLOOKUP(C39,'Part V-Utility Allowances'!$I$11:$M$22,12))</f>
        <v>0</v>
      </c>
      <c r="K39" s="3988"/>
      <c r="L39" s="567">
        <f t="shared" si="0"/>
        <v>0</v>
      </c>
      <c r="M39" s="567">
        <f t="shared" si="1"/>
        <v>0</v>
      </c>
      <c r="N39" s="3989"/>
      <c r="O39" s="3989"/>
      <c r="P39" s="3989"/>
      <c r="Q39" s="3990"/>
      <c r="R39" s="3991"/>
      <c r="S39" s="3992"/>
      <c r="T39" s="3993"/>
      <c r="U39" s="3994"/>
      <c r="V39" s="3994"/>
      <c r="W39" s="399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4012"/>
      <c r="C40" s="3984"/>
      <c r="D40" s="3985"/>
      <c r="E40" s="3986"/>
      <c r="F40" s="3986"/>
      <c r="G40" s="3986"/>
      <c r="H40" s="3986"/>
      <c r="I40" s="3986"/>
      <c r="J40" s="4013">
        <f>IF(C40="",0,HLOOKUP(C40,'Part V-Utility Allowances'!$I$11:$M$22,12))</f>
        <v>0</v>
      </c>
      <c r="K40" s="3988"/>
      <c r="L40" s="567">
        <f t="shared" si="0"/>
        <v>0</v>
      </c>
      <c r="M40" s="567">
        <f t="shared" si="1"/>
        <v>0</v>
      </c>
      <c r="N40" s="3989"/>
      <c r="O40" s="3989"/>
      <c r="P40" s="3989"/>
      <c r="Q40" s="3990"/>
      <c r="R40" s="3991"/>
      <c r="S40" s="3992"/>
      <c r="T40" s="3993"/>
      <c r="U40" s="3994"/>
      <c r="V40" s="3994"/>
      <c r="W40" s="399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4012"/>
      <c r="C41" s="3984"/>
      <c r="D41" s="3985"/>
      <c r="E41" s="3986"/>
      <c r="F41" s="3986"/>
      <c r="G41" s="3986"/>
      <c r="H41" s="3986"/>
      <c r="I41" s="3986"/>
      <c r="J41" s="4013">
        <f>IF(C41="",0,HLOOKUP(C41,'Part V-Utility Allowances'!$I$11:$M$22,12))</f>
        <v>0</v>
      </c>
      <c r="K41" s="3988"/>
      <c r="L41" s="567">
        <f t="shared" si="0"/>
        <v>0</v>
      </c>
      <c r="M41" s="567">
        <f t="shared" si="1"/>
        <v>0</v>
      </c>
      <c r="N41" s="3989"/>
      <c r="O41" s="3989"/>
      <c r="P41" s="3989"/>
      <c r="Q41" s="3990"/>
      <c r="R41" s="3991"/>
      <c r="S41" s="3992"/>
      <c r="T41" s="3993"/>
      <c r="U41" s="3994"/>
      <c r="V41" s="3994"/>
      <c r="W41" s="399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4012"/>
      <c r="C42" s="3984"/>
      <c r="D42" s="3985"/>
      <c r="E42" s="3986"/>
      <c r="F42" s="3986"/>
      <c r="G42" s="3986"/>
      <c r="H42" s="3986"/>
      <c r="I42" s="3986"/>
      <c r="J42" s="4013">
        <f>IF(C42="",0,HLOOKUP(C42,'Part V-Utility Allowances'!$I$11:$M$22,12))</f>
        <v>0</v>
      </c>
      <c r="K42" s="3988"/>
      <c r="L42" s="567">
        <f t="shared" si="0"/>
        <v>0</v>
      </c>
      <c r="M42" s="567">
        <f t="shared" si="1"/>
        <v>0</v>
      </c>
      <c r="N42" s="3989"/>
      <c r="O42" s="3989"/>
      <c r="P42" s="3989"/>
      <c r="Q42" s="3990"/>
      <c r="R42" s="3991"/>
      <c r="S42" s="3992"/>
      <c r="T42" s="3993"/>
      <c r="U42" s="3994"/>
      <c r="V42" s="3994"/>
      <c r="W42" s="399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4012"/>
      <c r="C43" s="3984"/>
      <c r="D43" s="3985"/>
      <c r="E43" s="3986"/>
      <c r="F43" s="3986"/>
      <c r="G43" s="3986"/>
      <c r="H43" s="3986"/>
      <c r="I43" s="3986"/>
      <c r="J43" s="4013">
        <f>IF(C43="",0,HLOOKUP(C43,'Part V-Utility Allowances'!$I$11:$M$22,12))</f>
        <v>0</v>
      </c>
      <c r="K43" s="3988"/>
      <c r="L43" s="567">
        <f t="shared" si="0"/>
        <v>0</v>
      </c>
      <c r="M43" s="567">
        <f t="shared" si="1"/>
        <v>0</v>
      </c>
      <c r="N43" s="3989"/>
      <c r="O43" s="3989"/>
      <c r="P43" s="3989"/>
      <c r="Q43" s="3990"/>
      <c r="R43" s="3991"/>
      <c r="S43" s="3992"/>
      <c r="T43" s="3993"/>
      <c r="U43" s="3994"/>
      <c r="V43" s="3994"/>
      <c r="W43" s="399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4012"/>
      <c r="C44" s="3984"/>
      <c r="D44" s="3985"/>
      <c r="E44" s="3986"/>
      <c r="F44" s="3986"/>
      <c r="G44" s="3986"/>
      <c r="H44" s="3986"/>
      <c r="I44" s="3986"/>
      <c r="J44" s="4013">
        <f>IF(C44="",0,HLOOKUP(C44,'Part V-Utility Allowances'!$I$11:$M$22,12))</f>
        <v>0</v>
      </c>
      <c r="K44" s="3988"/>
      <c r="L44" s="567">
        <f t="shared" si="0"/>
        <v>0</v>
      </c>
      <c r="M44" s="567">
        <f t="shared" si="1"/>
        <v>0</v>
      </c>
      <c r="N44" s="3989"/>
      <c r="O44" s="3989"/>
      <c r="P44" s="3989"/>
      <c r="Q44" s="3990"/>
      <c r="R44" s="3991"/>
      <c r="S44" s="3992"/>
      <c r="T44" s="3993"/>
      <c r="U44" s="3994"/>
      <c r="V44" s="3994"/>
      <c r="W44" s="399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4012"/>
      <c r="C45" s="3984"/>
      <c r="D45" s="3985"/>
      <c r="E45" s="3986"/>
      <c r="F45" s="3986"/>
      <c r="G45" s="3986"/>
      <c r="H45" s="3986"/>
      <c r="I45" s="3986"/>
      <c r="J45" s="4013">
        <f>IF(C45="",0,HLOOKUP(C45,'Part V-Utility Allowances'!$I$11:$M$22,12))</f>
        <v>0</v>
      </c>
      <c r="K45" s="3988"/>
      <c r="L45" s="567">
        <f t="shared" si="0"/>
        <v>0</v>
      </c>
      <c r="M45" s="567">
        <f t="shared" si="1"/>
        <v>0</v>
      </c>
      <c r="N45" s="3989"/>
      <c r="O45" s="3989"/>
      <c r="P45" s="3989"/>
      <c r="Q45" s="3990"/>
      <c r="R45" s="3991"/>
      <c r="S45" s="3992"/>
      <c r="T45" s="3993"/>
      <c r="U45" s="3994"/>
      <c r="V45" s="3994"/>
      <c r="W45" s="399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4012"/>
      <c r="C46" s="3984"/>
      <c r="D46" s="3985"/>
      <c r="E46" s="3986"/>
      <c r="F46" s="3986"/>
      <c r="G46" s="3986"/>
      <c r="H46" s="3986"/>
      <c r="I46" s="3986"/>
      <c r="J46" s="4013">
        <f>IF(C46="",0,HLOOKUP(C46,'Part V-Utility Allowances'!$I$11:$M$22,12))</f>
        <v>0</v>
      </c>
      <c r="K46" s="3988"/>
      <c r="L46" s="567">
        <f t="shared" si="0"/>
        <v>0</v>
      </c>
      <c r="M46" s="567">
        <f t="shared" si="1"/>
        <v>0</v>
      </c>
      <c r="N46" s="3989"/>
      <c r="O46" s="3989"/>
      <c r="P46" s="3989"/>
      <c r="Q46" s="3990"/>
      <c r="R46" s="3991"/>
      <c r="S46" s="3992"/>
      <c r="T46" s="3993"/>
      <c r="U46" s="3994"/>
      <c r="V46" s="3994"/>
      <c r="W46" s="399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4014"/>
      <c r="C47" s="4015"/>
      <c r="D47" s="4016"/>
      <c r="E47" s="4017"/>
      <c r="F47" s="4017"/>
      <c r="G47" s="4017"/>
      <c r="H47" s="4017"/>
      <c r="I47" s="4017"/>
      <c r="J47" s="4018">
        <f>IF(C47="",0,HLOOKUP(C47,'Part V-Utility Allowances'!$I$11:$M$22,12))</f>
        <v>0</v>
      </c>
      <c r="K47" s="4019"/>
      <c r="L47" s="568">
        <f t="shared" si="0"/>
        <v>0</v>
      </c>
      <c r="M47" s="568">
        <f t="shared" si="1"/>
        <v>0</v>
      </c>
      <c r="N47" s="4020"/>
      <c r="O47" s="4020"/>
      <c r="P47" s="4020"/>
      <c r="Q47" s="4021"/>
      <c r="R47" s="4022"/>
      <c r="S47" s="4023"/>
      <c r="T47" s="4024"/>
      <c r="U47" s="4025"/>
      <c r="V47" s="4025"/>
      <c r="W47" s="402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2651" t="s">
        <v>4212</v>
      </c>
      <c r="C48" s="2652"/>
      <c r="D48" s="138" t="s">
        <v>996</v>
      </c>
      <c r="E48" s="1343">
        <f>SUM(E10:E47)</f>
        <v>50</v>
      </c>
      <c r="F48" s="1341">
        <f>(E10*F10+E11*F11+E12*F12+E13*F13+E14*F14+E15*F15+E16*F16+E17*F17+E18*F18+E19*F19+E20*F20+E21*F21+E22*F22+E23*F23+E24*F24+E25*F25+E26*F26+E27*F27+E28*F28+E29*F29+E30*F30+E31*F31+E32*F32+E33*F33+E34*F34+E35*F35+E36*F36+E37*F37+E38*F38+E39*F39+E40*F40+E41*F41+E42*F42+E43*F43+E44*F44+E45*F45+E46*F46+E47*F47)</f>
        <v>30920</v>
      </c>
      <c r="H48" s="2655" t="s">
        <v>4209</v>
      </c>
      <c r="I48" s="4027" t="s">
        <v>4210</v>
      </c>
      <c r="J48" s="1344" t="str">
        <f>IF(P67=0,"",IF(SUM(P58:P62)/P67&gt;=0.4,"Pass","Fail"))</f>
        <v>Pass</v>
      </c>
      <c r="K48" s="547"/>
      <c r="L48" s="872" t="s">
        <v>1276</v>
      </c>
      <c r="M48" s="123">
        <f>SUM(M10:M47)</f>
        <v>30050</v>
      </c>
      <c r="N48" s="94"/>
      <c r="O48" s="548"/>
      <c r="P48" s="94"/>
      <c r="Q48" s="461"/>
      <c r="R48" s="461"/>
      <c r="S48" s="461"/>
      <c r="T48" s="461"/>
      <c r="U48" s="461"/>
      <c r="V48" s="855"/>
      <c r="W48" s="549"/>
      <c r="X48" s="2247">
        <f t="shared" ref="X48:FA48" si="348">SUM(X10:X47)</f>
        <v>2</v>
      </c>
      <c r="Y48" s="2247">
        <f t="shared" si="348"/>
        <v>2</v>
      </c>
      <c r="Z48" s="2247">
        <f t="shared" si="348"/>
        <v>1</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9</v>
      </c>
      <c r="AI48" s="2247">
        <f t="shared" si="349"/>
        <v>9</v>
      </c>
      <c r="AJ48" s="2247">
        <f t="shared" si="349"/>
        <v>2</v>
      </c>
      <c r="AK48" s="2247">
        <f t="shared" si="349"/>
        <v>0</v>
      </c>
      <c r="AL48" s="2247">
        <f t="shared" si="349"/>
        <v>0</v>
      </c>
      <c r="AM48" s="2247">
        <f>SUM(AM10:AM47)</f>
        <v>11</v>
      </c>
      <c r="AN48" s="2247">
        <f>SUM(AN10:AN47)</f>
        <v>11</v>
      </c>
      <c r="AO48" s="2247">
        <f>SUM(AO10:AO47)</f>
        <v>3</v>
      </c>
      <c r="AP48" s="2247">
        <f>SUM(AP10:AP47)</f>
        <v>0</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940</v>
      </c>
      <c r="EJ48" s="2247">
        <f t="shared" si="348"/>
        <v>1380</v>
      </c>
      <c r="EK48" s="2247">
        <f t="shared" si="348"/>
        <v>900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4230</v>
      </c>
      <c r="ET48" s="2247">
        <f t="shared" si="352"/>
        <v>6210</v>
      </c>
      <c r="EU48" s="2247">
        <f t="shared" si="352"/>
        <v>1800</v>
      </c>
      <c r="EV48" s="2247">
        <f t="shared" si="352"/>
        <v>0</v>
      </c>
      <c r="EW48" s="2247">
        <f t="shared" si="352"/>
        <v>0</v>
      </c>
      <c r="EX48" s="2247">
        <f t="shared" si="348"/>
        <v>5170</v>
      </c>
      <c r="EY48" s="2247">
        <f t="shared" si="348"/>
        <v>7590</v>
      </c>
      <c r="EZ48" s="2247">
        <f t="shared" si="348"/>
        <v>2700</v>
      </c>
      <c r="FA48" s="2247">
        <f t="shared" si="348"/>
        <v>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0</v>
      </c>
      <c r="GI48" s="2247">
        <f t="shared" si="353"/>
        <v>6</v>
      </c>
      <c r="GJ48" s="2247">
        <f t="shared" si="353"/>
        <v>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22</v>
      </c>
      <c r="HL48" s="2247">
        <f t="shared" si="353"/>
        <v>22</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22</v>
      </c>
      <c r="IA48" s="2247">
        <f t="shared" si="354"/>
        <v>22</v>
      </c>
      <c r="IB48" s="2247">
        <f t="shared" si="354"/>
        <v>6</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6</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22</v>
      </c>
      <c r="KI48" s="2247">
        <f t="shared" si="354"/>
        <v>22</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0</v>
      </c>
      <c r="MW48" s="2247">
        <f t="shared" si="355"/>
        <v>6</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v>
      </c>
      <c r="C49" s="2654"/>
      <c r="D49" s="2373" t="s">
        <v>4119</v>
      </c>
      <c r="E49" s="1340">
        <f>SUM(E17:E47)</f>
        <v>50</v>
      </c>
      <c r="F49" s="1342">
        <f>(E17*F17+E18*F18+E19*F19+E20*F20+E21*F21+E22*F22+E23*F23+E24*F24+E25*F25+E26*F26+E27*F27+E28*F28+E29*F29+E30*F30+E31*F31+E32*F32+E33*F33+E34*F34+E35*F35+E36*F36+E37*F37+E38*F38+E39*F39+E40*F40+E41*F41+E42*F42+E43*F43+E44*F44+E45*F45+E46*F46+E47*F47)</f>
        <v>30920</v>
      </c>
      <c r="H49" s="2656"/>
      <c r="I49" s="4028" t="s">
        <v>4211</v>
      </c>
      <c r="J49" s="1345" t="str">
        <f>IF(P67=0,"",IF(SUM(P59:P62)/P67&gt;=0.2,"Pass","Fail"))</f>
        <v>Pass</v>
      </c>
      <c r="K49" s="547"/>
      <c r="L49" s="138" t="s">
        <v>794</v>
      </c>
      <c r="M49" s="123">
        <f>M48*12</f>
        <v>360600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50" t="s">
        <v>2552</v>
      </c>
      <c r="B51" s="4029"/>
      <c r="C51" s="4029"/>
      <c r="D51" s="4029"/>
      <c r="E51" s="4029"/>
      <c r="F51" s="4029"/>
      <c r="G51" s="4029"/>
      <c r="H51" s="4029"/>
      <c r="I51" s="4029"/>
      <c r="J51" s="4029"/>
      <c r="K51" s="4029"/>
      <c r="L51" s="4029"/>
      <c r="M51" s="4029"/>
      <c r="N51" s="4029"/>
      <c r="O51" s="4029"/>
      <c r="P51" s="4029"/>
      <c r="Q51" s="4029"/>
      <c r="R51" s="4030"/>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29"/>
      <c r="B52" s="4029"/>
      <c r="C52" s="4029"/>
      <c r="D52" s="4029"/>
      <c r="E52" s="4029"/>
      <c r="F52" s="4029"/>
      <c r="G52" s="4029"/>
      <c r="H52" s="4029"/>
      <c r="I52" s="4029"/>
      <c r="J52" s="4029"/>
      <c r="K52" s="4029"/>
      <c r="L52" s="4029"/>
      <c r="M52" s="4029"/>
      <c r="N52" s="4029"/>
      <c r="O52" s="4029"/>
      <c r="P52" s="4029"/>
      <c r="Q52" s="4029"/>
      <c r="R52" s="4030"/>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40" t="s">
        <v>4806</v>
      </c>
      <c r="B56" s="2640"/>
      <c r="C56" s="94" t="s">
        <v>1115</v>
      </c>
      <c r="D56" s="1"/>
      <c r="E56" s="1"/>
      <c r="F56" s="1"/>
      <c r="G56" s="82"/>
      <c r="H56" s="110" t="s">
        <v>4120</v>
      </c>
      <c r="I56" s="36"/>
      <c r="J56" s="82"/>
      <c r="K56" s="1353">
        <f>X48</f>
        <v>2</v>
      </c>
      <c r="L56" s="1354">
        <f>Y48</f>
        <v>2</v>
      </c>
      <c r="M56" s="1354">
        <f>Z48</f>
        <v>1</v>
      </c>
      <c r="N56" s="1354">
        <f>AA48</f>
        <v>0</v>
      </c>
      <c r="O56" s="1355">
        <f>AB48</f>
        <v>0</v>
      </c>
      <c r="P56" s="919">
        <f t="shared" ref="P56:P67" si="357">SUM(K56:O56)</f>
        <v>5</v>
      </c>
      <c r="Q56" s="2647" t="s">
        <v>3494</v>
      </c>
      <c r="R56" s="2380"/>
      <c r="S56" s="4031"/>
      <c r="T56" s="4032"/>
      <c r="U56" s="4032"/>
      <c r="V56" s="4032"/>
      <c r="W56" s="403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4121</v>
      </c>
      <c r="I57" s="36"/>
      <c r="J57" s="82"/>
      <c r="K57" s="1356">
        <f>AC48</f>
        <v>0</v>
      </c>
      <c r="L57" s="1357">
        <f>AD48</f>
        <v>0</v>
      </c>
      <c r="M57" s="1357">
        <f>AE48</f>
        <v>0</v>
      </c>
      <c r="N57" s="1357">
        <f>AF48</f>
        <v>0</v>
      </c>
      <c r="O57" s="1358">
        <f>AG48</f>
        <v>0</v>
      </c>
      <c r="P57" s="914">
        <f t="shared" si="357"/>
        <v>0</v>
      </c>
      <c r="Q57" s="2647"/>
      <c r="R57" s="2380"/>
      <c r="S57" s="3993"/>
      <c r="T57" s="3994"/>
      <c r="U57" s="3994"/>
      <c r="V57" s="3994"/>
      <c r="W57" s="399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9</v>
      </c>
      <c r="L58" s="1357">
        <f>AI48</f>
        <v>9</v>
      </c>
      <c r="M58" s="1357">
        <f>AJ48</f>
        <v>2</v>
      </c>
      <c r="N58" s="1357">
        <f>AK48</f>
        <v>0</v>
      </c>
      <c r="O58" s="1358">
        <f>AL48</f>
        <v>0</v>
      </c>
      <c r="P58" s="914">
        <f t="shared" si="357"/>
        <v>20</v>
      </c>
      <c r="Q58" s="2647"/>
      <c r="R58" s="2380"/>
      <c r="S58" s="3993"/>
      <c r="T58" s="3994"/>
      <c r="U58" s="3994"/>
      <c r="V58" s="3994"/>
      <c r="W58" s="399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11</v>
      </c>
      <c r="L59" s="1378">
        <f>AN48</f>
        <v>11</v>
      </c>
      <c r="M59" s="1378">
        <f>AO48</f>
        <v>3</v>
      </c>
      <c r="N59" s="1378">
        <f>AP48</f>
        <v>0</v>
      </c>
      <c r="O59" s="1379">
        <f>AQ48</f>
        <v>0</v>
      </c>
      <c r="P59" s="572">
        <f t="shared" si="357"/>
        <v>25</v>
      </c>
      <c r="Q59" s="2647"/>
      <c r="R59" s="2380"/>
      <c r="S59" s="3993"/>
      <c r="T59" s="3994"/>
      <c r="U59" s="3994"/>
      <c r="V59" s="3994"/>
      <c r="W59" s="399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4122</v>
      </c>
      <c r="I60" s="52"/>
      <c r="J60" s="1094"/>
      <c r="K60" s="1356">
        <f>AR48</f>
        <v>0</v>
      </c>
      <c r="L60" s="1357">
        <f>AS48</f>
        <v>0</v>
      </c>
      <c r="M60" s="1357">
        <f>AT48</f>
        <v>0</v>
      </c>
      <c r="N60" s="1357">
        <f>AU48</f>
        <v>0</v>
      </c>
      <c r="O60" s="1358">
        <f>AV48</f>
        <v>0</v>
      </c>
      <c r="P60" s="914">
        <f t="shared" si="357"/>
        <v>0</v>
      </c>
      <c r="Q60" s="2647"/>
      <c r="R60" s="2380"/>
      <c r="S60" s="3993"/>
      <c r="T60" s="3994"/>
      <c r="U60" s="3994"/>
      <c r="V60" s="3994"/>
      <c r="W60" s="399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4123</v>
      </c>
      <c r="I61" s="36"/>
      <c r="J61" s="82"/>
      <c r="K61" s="1356">
        <f>AW48</f>
        <v>0</v>
      </c>
      <c r="L61" s="1357">
        <f>AX48</f>
        <v>0</v>
      </c>
      <c r="M61" s="1357">
        <f>AY48</f>
        <v>0</v>
      </c>
      <c r="N61" s="1357">
        <f>AZ48</f>
        <v>0</v>
      </c>
      <c r="O61" s="1358">
        <f>BA48</f>
        <v>0</v>
      </c>
      <c r="P61" s="914">
        <f t="shared" si="357"/>
        <v>0</v>
      </c>
      <c r="Q61" s="2647"/>
      <c r="R61" s="2380"/>
      <c r="S61" s="3993"/>
      <c r="T61" s="3994"/>
      <c r="U61" s="3994"/>
      <c r="V61" s="3994"/>
      <c r="W61" s="399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4124</v>
      </c>
      <c r="I62" s="36"/>
      <c r="J62" s="82"/>
      <c r="K62" s="1359">
        <f>BB48</f>
        <v>0</v>
      </c>
      <c r="L62" s="1360">
        <f>BC48</f>
        <v>0</v>
      </c>
      <c r="M62" s="1360">
        <f>BD48</f>
        <v>0</v>
      </c>
      <c r="N62" s="1360">
        <f>BE48</f>
        <v>0</v>
      </c>
      <c r="O62" s="1361">
        <f>BF48</f>
        <v>0</v>
      </c>
      <c r="P62" s="572">
        <f t="shared" si="357"/>
        <v>0</v>
      </c>
      <c r="Q62" s="2647"/>
      <c r="R62" s="2380"/>
      <c r="S62" s="3993"/>
      <c r="T62" s="3994"/>
      <c r="U62" s="3994"/>
      <c r="V62" s="3994"/>
      <c r="W62" s="3995"/>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4206</v>
      </c>
      <c r="D63" s="1"/>
      <c r="E63" s="1"/>
      <c r="F63" s="1"/>
      <c r="G63" s="82"/>
      <c r="H63" s="89"/>
      <c r="I63" s="55"/>
      <c r="J63" s="82"/>
      <c r="K63" s="1327">
        <f>SUM(K56:K62)</f>
        <v>22</v>
      </c>
      <c r="L63" s="1327">
        <f>SUM(L56:L62)</f>
        <v>22</v>
      </c>
      <c r="M63" s="1327">
        <f>SUM(M56:M62)</f>
        <v>6</v>
      </c>
      <c r="N63" s="1327">
        <f>SUM(N56:N62)</f>
        <v>0</v>
      </c>
      <c r="O63" s="1327">
        <f>SUM(O56:O62)</f>
        <v>0</v>
      </c>
      <c r="P63" s="1327">
        <f t="shared" si="357"/>
        <v>50</v>
      </c>
      <c r="Q63" s="2648"/>
      <c r="S63" s="3993"/>
      <c r="T63" s="3994"/>
      <c r="U63" s="3994"/>
      <c r="V63" s="3994"/>
      <c r="W63" s="3995"/>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93"/>
      <c r="T64" s="3994"/>
      <c r="U64" s="3994"/>
      <c r="V64" s="3994"/>
      <c r="W64" s="399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22</v>
      </c>
      <c r="L65" s="1336">
        <f>SUM(L63:L64)</f>
        <v>22</v>
      </c>
      <c r="M65" s="1336">
        <f>SUM(M63:M64)</f>
        <v>6</v>
      </c>
      <c r="N65" s="1336">
        <f>SUM(N63:N64)</f>
        <v>0</v>
      </c>
      <c r="O65" s="1336">
        <f>SUM(O63:O64)</f>
        <v>0</v>
      </c>
      <c r="P65" s="1336">
        <f t="shared" si="357"/>
        <v>50</v>
      </c>
      <c r="S65" s="3993"/>
      <c r="T65" s="3994"/>
      <c r="U65" s="3994"/>
      <c r="V65" s="3994"/>
      <c r="W65" s="399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93"/>
      <c r="T66" s="3994"/>
      <c r="U66" s="3994"/>
      <c r="V66" s="3994"/>
      <c r="W66" s="399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22</v>
      </c>
      <c r="L67" s="1326">
        <f>SUM(L65:L66)</f>
        <v>22</v>
      </c>
      <c r="M67" s="1326">
        <f>SUM(M65:M66)</f>
        <v>6</v>
      </c>
      <c r="N67" s="1326">
        <f>SUM(N65:N66)</f>
        <v>0</v>
      </c>
      <c r="O67" s="1326">
        <f>SUM(O65:O66)</f>
        <v>0</v>
      </c>
      <c r="P67" s="1326">
        <f t="shared" si="357"/>
        <v>50</v>
      </c>
      <c r="S67" s="4024"/>
      <c r="T67" s="4025"/>
      <c r="U67" s="4025"/>
      <c r="V67" s="4025"/>
      <c r="W67" s="402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4225</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4120</v>
      </c>
      <c r="I70" s="36"/>
      <c r="J70" s="1741"/>
      <c r="K70" s="4034">
        <f t="shared" ref="K70:P70" si="358">IF(OR(K56=0,K$67=0),"",K56/K$67)</f>
        <v>9.0909090909090912E-2</v>
      </c>
      <c r="L70" s="4035">
        <f t="shared" si="358"/>
        <v>9.0909090909090912E-2</v>
      </c>
      <c r="M70" s="4035">
        <f t="shared" si="358"/>
        <v>0.16666666666666666</v>
      </c>
      <c r="N70" s="4035" t="str">
        <f t="shared" si="358"/>
        <v/>
      </c>
      <c r="O70" s="4035" t="str">
        <f t="shared" si="358"/>
        <v/>
      </c>
      <c r="P70" s="4036">
        <f t="shared" si="358"/>
        <v>0.1</v>
      </c>
      <c r="Q70" s="40" t="s">
        <v>4779</v>
      </c>
      <c r="S70" s="4031"/>
      <c r="T70" s="4032"/>
      <c r="U70" s="4032"/>
      <c r="V70" s="4032"/>
      <c r="W70" s="403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4801</v>
      </c>
      <c r="I71" s="36"/>
      <c r="J71" s="1"/>
      <c r="K71" s="4037">
        <f>IF(OR(K56=0,$P70="",K$67=0),"",$P70*K$67)</f>
        <v>2.2000000000000002</v>
      </c>
      <c r="L71" s="4037">
        <f>IF(OR(L56=0,$P70="",L$67=0),"",$P70*L$67)</f>
        <v>2.2000000000000002</v>
      </c>
      <c r="M71" s="4037">
        <f>IF(OR(M56=0,$P70="",M$67=0),"",$P70*M$67)</f>
        <v>0.60000000000000009</v>
      </c>
      <c r="N71" s="4037" t="str">
        <f>IF(OR(N56=0,$P70="",N$67=0),"",$P70*N$67)</f>
        <v/>
      </c>
      <c r="O71" s="4037" t="str">
        <f>IF(OR(O56=0,$P70="",O$67=0),"",$P70*O$67)</f>
        <v/>
      </c>
      <c r="P71" s="4038">
        <f t="shared" ref="P71" si="359">IF(OR($P70="",P$67=0),"",$P70*P$67)</f>
        <v>5</v>
      </c>
      <c r="S71" s="3993"/>
      <c r="T71" s="3994"/>
      <c r="U71" s="3994"/>
      <c r="V71" s="3994"/>
      <c r="W71" s="399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9" t="s">
        <v>4802</v>
      </c>
      <c r="I72" s="4040"/>
      <c r="J72" s="1"/>
      <c r="K72" s="4041">
        <f t="shared" ref="K72:P72" si="360">IF(OR(K71="",K56=0),"", K56-K71)</f>
        <v>-0.20000000000000018</v>
      </c>
      <c r="L72" s="4042">
        <f t="shared" si="360"/>
        <v>-0.20000000000000018</v>
      </c>
      <c r="M72" s="4042">
        <f t="shared" si="360"/>
        <v>0.39999999999999991</v>
      </c>
      <c r="N72" s="4042" t="str">
        <f t="shared" si="360"/>
        <v/>
      </c>
      <c r="O72" s="4042" t="str">
        <f t="shared" si="360"/>
        <v/>
      </c>
      <c r="P72" s="4043">
        <f t="shared" si="360"/>
        <v>0</v>
      </c>
      <c r="S72" s="3993"/>
      <c r="T72" s="3994"/>
      <c r="U72" s="3994"/>
      <c r="V72" s="3994"/>
      <c r="W72" s="399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4" t="s">
        <v>4778</v>
      </c>
      <c r="E73" s="4044"/>
      <c r="F73" s="4044"/>
      <c r="G73" s="8"/>
      <c r="H73" s="110" t="s">
        <v>4121</v>
      </c>
      <c r="I73" s="36"/>
      <c r="J73" s="1"/>
      <c r="K73" s="4045" t="str">
        <f t="shared" ref="K73:P73" si="361">IF(OR(K57=0,K$67=0),"",K57/K$67)</f>
        <v/>
      </c>
      <c r="L73" s="4046" t="str">
        <f t="shared" si="361"/>
        <v/>
      </c>
      <c r="M73" s="4046" t="str">
        <f t="shared" si="361"/>
        <v/>
      </c>
      <c r="N73" s="4046" t="str">
        <f t="shared" si="361"/>
        <v/>
      </c>
      <c r="O73" s="4046" t="str">
        <f t="shared" si="361"/>
        <v/>
      </c>
      <c r="P73" s="4047" t="str">
        <f t="shared" si="361"/>
        <v/>
      </c>
      <c r="S73" s="3993"/>
      <c r="T73" s="3994"/>
      <c r="U73" s="3994"/>
      <c r="V73" s="3994"/>
      <c r="W73" s="399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4"/>
      <c r="E74" s="4044"/>
      <c r="F74" s="4044"/>
      <c r="G74" s="8"/>
      <c r="H74" s="110" t="s">
        <v>4801</v>
      </c>
      <c r="I74" s="36"/>
      <c r="J74" s="1"/>
      <c r="K74" s="4037" t="str">
        <f>IF(OR(K57=0,$P73="",K$67=0),"",$P73*K$67)</f>
        <v/>
      </c>
      <c r="L74" s="4037" t="str">
        <f>IF(OR(L57=0,$P73="",L$67=0),"",$P73*L$67)</f>
        <v/>
      </c>
      <c r="M74" s="4037" t="str">
        <f>IF(OR(M57=0,$P73="",M$67=0),"",$P73*M$67)</f>
        <v/>
      </c>
      <c r="N74" s="4037" t="str">
        <f>IF(OR(N57=0,$P73="",N$67=0),"",$P73*N$67)</f>
        <v/>
      </c>
      <c r="O74" s="4037" t="str">
        <f>IF(OR(O57=0,$P73="",O$67=0),"",$P73*O$67)</f>
        <v/>
      </c>
      <c r="P74" s="4038" t="str">
        <f t="shared" ref="P74" si="362">IF(OR($P73="",P$67=0),"",$P73*P$67)</f>
        <v/>
      </c>
      <c r="S74" s="3993"/>
      <c r="T74" s="3994"/>
      <c r="U74" s="3994"/>
      <c r="V74" s="3994"/>
      <c r="W74" s="399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4"/>
      <c r="E75" s="4044"/>
      <c r="F75" s="4044"/>
      <c r="G75" s="8"/>
      <c r="H75" s="4039" t="s">
        <v>4802</v>
      </c>
      <c r="I75" s="4040"/>
      <c r="J75" s="1"/>
      <c r="K75" s="4041" t="str">
        <f t="shared" ref="K75:P75" si="363">IF(OR(K74="",K57=0),"", K57-K74)</f>
        <v/>
      </c>
      <c r="L75" s="4041" t="str">
        <f t="shared" si="363"/>
        <v/>
      </c>
      <c r="M75" s="4041" t="str">
        <f t="shared" si="363"/>
        <v/>
      </c>
      <c r="N75" s="4041" t="str">
        <f t="shared" si="363"/>
        <v/>
      </c>
      <c r="O75" s="4041" t="str">
        <f t="shared" si="363"/>
        <v/>
      </c>
      <c r="P75" s="4041" t="str">
        <f t="shared" si="363"/>
        <v/>
      </c>
      <c r="S75" s="3993"/>
      <c r="T75" s="3994"/>
      <c r="U75" s="3994"/>
      <c r="V75" s="3994"/>
      <c r="W75" s="399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44"/>
      <c r="E76" s="4044"/>
      <c r="F76" s="4044"/>
      <c r="G76" s="8"/>
      <c r="H76" s="110" t="s">
        <v>1127</v>
      </c>
      <c r="I76" s="36"/>
      <c r="J76" s="1"/>
      <c r="K76" s="4045">
        <f t="shared" ref="K76:P76" si="364">IF(OR(K58=0,K$67=0),"",K58/K$67)</f>
        <v>0.40909090909090912</v>
      </c>
      <c r="L76" s="4046">
        <f t="shared" si="364"/>
        <v>0.40909090909090912</v>
      </c>
      <c r="M76" s="4046">
        <f t="shared" si="364"/>
        <v>0.33333333333333331</v>
      </c>
      <c r="N76" s="4046" t="str">
        <f t="shared" si="364"/>
        <v/>
      </c>
      <c r="O76" s="4046" t="str">
        <f t="shared" si="364"/>
        <v/>
      </c>
      <c r="P76" s="4047">
        <f t="shared" si="364"/>
        <v>0.4</v>
      </c>
      <c r="S76" s="3993"/>
      <c r="T76" s="3994"/>
      <c r="U76" s="3994"/>
      <c r="V76" s="3994"/>
      <c r="W76" s="399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4"/>
      <c r="E77" s="4044"/>
      <c r="F77" s="4044"/>
      <c r="G77" s="8"/>
      <c r="H77" s="110" t="s">
        <v>4801</v>
      </c>
      <c r="I77" s="36"/>
      <c r="J77" s="1"/>
      <c r="K77" s="4037">
        <f>IF(OR(K58=0,$P76="",K$67=0),"",$P76*K$67)</f>
        <v>8.8000000000000007</v>
      </c>
      <c r="L77" s="4037">
        <f>IF(OR(L58=0,$P76="",L$67=0),"",$P76*L$67)</f>
        <v>8.8000000000000007</v>
      </c>
      <c r="M77" s="4037">
        <f>IF(OR(M58=0,$P76="",M$67=0),"",$P76*M$67)</f>
        <v>2.4000000000000004</v>
      </c>
      <c r="N77" s="4037" t="str">
        <f>IF(OR(N58=0,$P76="",N$67=0),"",$P76*N$67)</f>
        <v/>
      </c>
      <c r="O77" s="4037" t="str">
        <f>IF(OR(O58=0,$P76="",O$67=0),"",$P76*O$67)</f>
        <v/>
      </c>
      <c r="P77" s="4038">
        <f t="shared" ref="P77" si="365">IF(OR($P76="",P$67=0),"",$P76*P$67)</f>
        <v>20</v>
      </c>
      <c r="S77" s="4024"/>
      <c r="T77" s="4025"/>
      <c r="U77" s="4025"/>
      <c r="V77" s="4025"/>
      <c r="W77" s="402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9" t="s">
        <v>4802</v>
      </c>
      <c r="I78" s="4040"/>
      <c r="J78" s="1"/>
      <c r="K78" s="4041">
        <f t="shared" ref="K78:P78" si="366">IF(OR(K77="",K58=0),"", K58-K77)</f>
        <v>0.19999999999999929</v>
      </c>
      <c r="L78" s="4041">
        <f t="shared" si="366"/>
        <v>0.19999999999999929</v>
      </c>
      <c r="M78" s="4041">
        <f t="shared" si="366"/>
        <v>-0.40000000000000036</v>
      </c>
      <c r="N78" s="4041" t="str">
        <f t="shared" si="366"/>
        <v/>
      </c>
      <c r="O78" s="4041" t="str">
        <f t="shared" si="366"/>
        <v/>
      </c>
      <c r="P78" s="4041">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48"/>
      <c r="E79" s="4048"/>
      <c r="F79" s="8"/>
      <c r="G79" s="8"/>
      <c r="H79" s="110" t="s">
        <v>115</v>
      </c>
      <c r="I79" s="36"/>
      <c r="J79" s="1"/>
      <c r="K79" s="4045">
        <f t="shared" ref="K79:P79" si="367">IF(OR(K59=0,K$67=0),"",K59/K$67)</f>
        <v>0.5</v>
      </c>
      <c r="L79" s="4046">
        <f t="shared" si="367"/>
        <v>0.5</v>
      </c>
      <c r="M79" s="4046">
        <f t="shared" si="367"/>
        <v>0.5</v>
      </c>
      <c r="N79" s="4046" t="str">
        <f t="shared" si="367"/>
        <v/>
      </c>
      <c r="O79" s="4046" t="str">
        <f t="shared" si="367"/>
        <v/>
      </c>
      <c r="P79" s="4047">
        <f t="shared" si="367"/>
        <v>0.5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8"/>
      <c r="E80" s="4048"/>
      <c r="F80" s="8"/>
      <c r="G80" s="8"/>
      <c r="H80" s="110" t="s">
        <v>4801</v>
      </c>
      <c r="I80" s="36"/>
      <c r="J80" s="1"/>
      <c r="K80" s="4037">
        <f>IF(OR(K59=0,$P79="",K$67=0),"",$P79*K$67)</f>
        <v>11</v>
      </c>
      <c r="L80" s="4037">
        <f>IF(OR(L59=0,$P79="",L$67=0),"",$P79*L$67)</f>
        <v>11</v>
      </c>
      <c r="M80" s="4037">
        <f>IF(OR(M59=0,$P79="",M$67=0),"",$P79*M$67)</f>
        <v>3</v>
      </c>
      <c r="N80" s="4037" t="str">
        <f>IF(OR(N59=0,$P79="",N$67=0),"",$P79*N$67)</f>
        <v/>
      </c>
      <c r="O80" s="4037" t="str">
        <f>IF(OR(O59=0,$P79="",O$67=0),"",$P79*O$67)</f>
        <v/>
      </c>
      <c r="P80" s="4038">
        <f t="shared" ref="P80" si="368">IF(OR($P79="",P$67=0),"",$P79*P$67)</f>
        <v>25</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8"/>
      <c r="E81" s="4048"/>
      <c r="F81" s="8"/>
      <c r="G81" s="8"/>
      <c r="H81" s="4039" t="s">
        <v>4802</v>
      </c>
      <c r="I81" s="4040"/>
      <c r="J81" s="1"/>
      <c r="K81" s="4041">
        <f t="shared" ref="K81:P81" si="369">IF(OR(K80="",K59=0),"", K59-K80)</f>
        <v>0</v>
      </c>
      <c r="L81" s="4041">
        <f t="shared" si="369"/>
        <v>0</v>
      </c>
      <c r="M81" s="4041">
        <f t="shared" si="369"/>
        <v>0</v>
      </c>
      <c r="N81" s="4041" t="str">
        <f t="shared" si="369"/>
        <v/>
      </c>
      <c r="O81" s="4041" t="str">
        <f t="shared" si="369"/>
        <v/>
      </c>
      <c r="P81" s="4041">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48"/>
      <c r="E82" s="4048"/>
      <c r="F82" s="8"/>
      <c r="G82" s="8"/>
      <c r="H82" s="110" t="s">
        <v>4122</v>
      </c>
      <c r="I82" s="36"/>
      <c r="J82" s="1"/>
      <c r="K82" s="4045" t="str">
        <f t="shared" ref="K82:P82" si="370">IF(OR(K60=0,K$67=0),"",K60/K$67)</f>
        <v/>
      </c>
      <c r="L82" s="4046" t="str">
        <f t="shared" si="370"/>
        <v/>
      </c>
      <c r="M82" s="4046" t="str">
        <f t="shared" si="370"/>
        <v/>
      </c>
      <c r="N82" s="4046" t="str">
        <f t="shared" si="370"/>
        <v/>
      </c>
      <c r="O82" s="4046" t="str">
        <f t="shared" si="370"/>
        <v/>
      </c>
      <c r="P82" s="404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37" t="str">
        <f>IF(OR(K60=0,$P82="",K$67=0),"",$P82*K$67)</f>
        <v/>
      </c>
      <c r="L83" s="4037" t="str">
        <f>IF(OR(L60=0,$P82="",L$67=0),"",$P82*L$67)</f>
        <v/>
      </c>
      <c r="M83" s="4037" t="str">
        <f>IF(OR(M60=0,$P82="",M$67=0),"",$P82*M$67)</f>
        <v/>
      </c>
      <c r="N83" s="4037" t="str">
        <f>IF(OR(N60=0,$P82="",N$67=0),"",$P82*N$67)</f>
        <v/>
      </c>
      <c r="O83" s="4037" t="str">
        <f>IF(OR(O60=0,$P82="",O$67=0),"",$P82*O$67)</f>
        <v/>
      </c>
      <c r="P83" s="4038"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9" t="s">
        <v>4802</v>
      </c>
      <c r="I84" s="4040"/>
      <c r="J84" s="1"/>
      <c r="K84" s="4041" t="str">
        <f t="shared" ref="K84:P84" si="372">IF(OR(K83="",K60=0),"", K60-K83)</f>
        <v/>
      </c>
      <c r="L84" s="4041" t="str">
        <f t="shared" si="372"/>
        <v/>
      </c>
      <c r="M84" s="4041" t="str">
        <f t="shared" si="372"/>
        <v/>
      </c>
      <c r="N84" s="4041" t="str">
        <f t="shared" si="372"/>
        <v/>
      </c>
      <c r="O84" s="4041" t="str">
        <f t="shared" si="372"/>
        <v/>
      </c>
      <c r="P84" s="4041"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4123</v>
      </c>
      <c r="I85" s="36"/>
      <c r="J85" s="1"/>
      <c r="K85" s="4045" t="str">
        <f t="shared" ref="K85:P85" si="373">IF(OR(K61=0,K$67=0),"",K61/K$67)</f>
        <v/>
      </c>
      <c r="L85" s="4046" t="str">
        <f t="shared" si="373"/>
        <v/>
      </c>
      <c r="M85" s="4046" t="str">
        <f t="shared" si="373"/>
        <v/>
      </c>
      <c r="N85" s="4046" t="str">
        <f t="shared" si="373"/>
        <v/>
      </c>
      <c r="O85" s="4046" t="str">
        <f t="shared" si="373"/>
        <v/>
      </c>
      <c r="P85" s="404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37" t="str">
        <f>IF(OR(K61=0,$P85="",K$67=0),"",$P85*K$67)</f>
        <v/>
      </c>
      <c r="L86" s="4037" t="str">
        <f>IF(OR(L61=0,$P85="",L$67=0),"",$P85*L$67)</f>
        <v/>
      </c>
      <c r="M86" s="4037" t="str">
        <f>IF(OR(M61=0,$P85="",M$67=0),"",$P85*M$67)</f>
        <v/>
      </c>
      <c r="N86" s="4037" t="str">
        <f>IF(OR(N61=0,$P85="",N$67=0),"",$P85*N$67)</f>
        <v/>
      </c>
      <c r="O86" s="4037" t="str">
        <f>IF(OR(O61=0,$P85="",O$67=0),"",$P85*O$67)</f>
        <v/>
      </c>
      <c r="P86" s="4038"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9" t="s">
        <v>4802</v>
      </c>
      <c r="I87" s="4040"/>
      <c r="J87" s="1"/>
      <c r="K87" s="4041" t="str">
        <f t="shared" ref="K87:P87" si="375">IF(OR(K86="",K61=0),"", K61-K86)</f>
        <v/>
      </c>
      <c r="L87" s="4041" t="str">
        <f t="shared" si="375"/>
        <v/>
      </c>
      <c r="M87" s="4041" t="str">
        <f t="shared" si="375"/>
        <v/>
      </c>
      <c r="N87" s="4041" t="str">
        <f t="shared" si="375"/>
        <v/>
      </c>
      <c r="O87" s="4041" t="str">
        <f t="shared" si="375"/>
        <v/>
      </c>
      <c r="P87" s="4041"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4124</v>
      </c>
      <c r="I88" s="52"/>
      <c r="J88" s="1"/>
      <c r="K88" s="4045" t="str">
        <f t="shared" ref="K88:P88" si="376">IF(OR(K62=0,K$67=0),"",K62/K$67)</f>
        <v/>
      </c>
      <c r="L88" s="4046" t="str">
        <f t="shared" si="376"/>
        <v/>
      </c>
      <c r="M88" s="4046" t="str">
        <f t="shared" si="376"/>
        <v/>
      </c>
      <c r="N88" s="4046" t="str">
        <f t="shared" si="376"/>
        <v/>
      </c>
      <c r="O88" s="4046" t="str">
        <f t="shared" si="376"/>
        <v/>
      </c>
      <c r="P88" s="404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9"/>
      <c r="E89" s="4049"/>
      <c r="F89" s="8"/>
      <c r="G89" s="8"/>
      <c r="H89" s="110" t="s">
        <v>4801</v>
      </c>
      <c r="I89" s="36"/>
      <c r="J89" s="1"/>
      <c r="K89" s="4037" t="str">
        <f>IF(OR(K62=0,$P88="",K$67=0),"",$P88*K$67)</f>
        <v/>
      </c>
      <c r="L89" s="4037" t="str">
        <f>IF(OR(L62=0,$P88="",L$67=0),"",$P88*L$67)</f>
        <v/>
      </c>
      <c r="M89" s="4037" t="str">
        <f>IF(OR(M62=0,$P88="",M$67=0),"",$P88*M$67)</f>
        <v/>
      </c>
      <c r="N89" s="4037" t="str">
        <f>IF(OR(N62=0,$P88="",N$67=0),"",$P88*N$67)</f>
        <v/>
      </c>
      <c r="O89" s="4037" t="str">
        <f>IF(OR(O62=0,$P88="",O$67=0),"",$P88*O$67)</f>
        <v/>
      </c>
      <c r="P89" s="4038"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8"/>
      <c r="E90" s="4048"/>
      <c r="F90" s="8"/>
      <c r="G90" s="8"/>
      <c r="H90" s="4039" t="s">
        <v>4802</v>
      </c>
      <c r="I90" s="4040"/>
      <c r="J90" s="1"/>
      <c r="K90" s="4050" t="str">
        <f t="shared" ref="K90:P90" si="378">IF(OR(K89="",K62=0),"", K62-K89)</f>
        <v/>
      </c>
      <c r="L90" s="4050" t="str">
        <f t="shared" si="378"/>
        <v/>
      </c>
      <c r="M90" s="4050" t="str">
        <f t="shared" si="378"/>
        <v/>
      </c>
      <c r="N90" s="4050" t="str">
        <f t="shared" si="378"/>
        <v/>
      </c>
      <c r="O90" s="4050" t="str">
        <f t="shared" si="378"/>
        <v/>
      </c>
      <c r="P90" s="405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4120</v>
      </c>
      <c r="I93" s="36"/>
      <c r="J93" s="82"/>
      <c r="K93" s="1362">
        <f>CP48</f>
        <v>0</v>
      </c>
      <c r="L93" s="1363">
        <f>CQ48</f>
        <v>0</v>
      </c>
      <c r="M93" s="1363">
        <f>CR48</f>
        <v>0</v>
      </c>
      <c r="N93" s="1363">
        <f>CS48</f>
        <v>0</v>
      </c>
      <c r="O93" s="1364">
        <f>CT48</f>
        <v>0</v>
      </c>
      <c r="P93" s="916">
        <f t="shared" ref="P93:P100" si="379">SUM(K93:O93)</f>
        <v>0</v>
      </c>
      <c r="S93" s="4031"/>
      <c r="T93" s="4032"/>
      <c r="U93" s="4032"/>
      <c r="V93" s="4032"/>
      <c r="W93" s="403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4121</v>
      </c>
      <c r="I94" s="36"/>
      <c r="J94" s="82"/>
      <c r="K94" s="1365">
        <f>CK48</f>
        <v>0</v>
      </c>
      <c r="L94" s="1366">
        <f>CL48</f>
        <v>0</v>
      </c>
      <c r="M94" s="1366">
        <f>CM48</f>
        <v>0</v>
      </c>
      <c r="N94" s="1366">
        <f>CN48</f>
        <v>0</v>
      </c>
      <c r="O94" s="1367">
        <f>CO48</f>
        <v>0</v>
      </c>
      <c r="P94" s="1325">
        <f t="shared" si="379"/>
        <v>0</v>
      </c>
      <c r="S94" s="3993"/>
      <c r="T94" s="3994"/>
      <c r="U94" s="3994"/>
      <c r="V94" s="3994"/>
      <c r="W94" s="399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3"/>
      <c r="T95" s="3994"/>
      <c r="U95" s="3994"/>
      <c r="V95" s="3994"/>
      <c r="W95" s="399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3"/>
      <c r="T96" s="3994"/>
      <c r="U96" s="3994"/>
      <c r="V96" s="3994"/>
      <c r="W96" s="399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4122</v>
      </c>
      <c r="I97" s="52"/>
      <c r="J97" s="1094"/>
      <c r="K97" s="1365">
        <f>BV48</f>
        <v>0</v>
      </c>
      <c r="L97" s="1366">
        <f>BW48</f>
        <v>0</v>
      </c>
      <c r="M97" s="1366">
        <f>BX48</f>
        <v>0</v>
      </c>
      <c r="N97" s="1366">
        <f>BY48</f>
        <v>0</v>
      </c>
      <c r="O97" s="1367">
        <f>BZ48</f>
        <v>0</v>
      </c>
      <c r="P97" s="1325">
        <f t="shared" si="379"/>
        <v>0</v>
      </c>
      <c r="S97" s="3993"/>
      <c r="T97" s="3994"/>
      <c r="U97" s="3994"/>
      <c r="V97" s="3994"/>
      <c r="W97" s="399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4123</v>
      </c>
      <c r="I98" s="36"/>
      <c r="J98" s="82"/>
      <c r="K98" s="1365">
        <f>BQ48</f>
        <v>0</v>
      </c>
      <c r="L98" s="1366">
        <f>BR48</f>
        <v>0</v>
      </c>
      <c r="M98" s="1366">
        <f>BS48</f>
        <v>0</v>
      </c>
      <c r="N98" s="1366">
        <f>BT48</f>
        <v>0</v>
      </c>
      <c r="O98" s="1367">
        <f>BU48</f>
        <v>0</v>
      </c>
      <c r="P98" s="1325">
        <f t="shared" si="379"/>
        <v>0</v>
      </c>
      <c r="S98" s="3993"/>
      <c r="T98" s="3994"/>
      <c r="U98" s="3994"/>
      <c r="V98" s="3994"/>
      <c r="W98" s="399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4124</v>
      </c>
      <c r="I99" s="36"/>
      <c r="J99" s="82"/>
      <c r="K99" s="1368">
        <f>BL48</f>
        <v>0</v>
      </c>
      <c r="L99" s="1369">
        <f>BM48</f>
        <v>0</v>
      </c>
      <c r="M99" s="1369">
        <f>BN48</f>
        <v>0</v>
      </c>
      <c r="N99" s="1369">
        <f>BO48</f>
        <v>0</v>
      </c>
      <c r="O99" s="1370">
        <f>BP48</f>
        <v>0</v>
      </c>
      <c r="P99" s="918">
        <f t="shared" si="379"/>
        <v>0</v>
      </c>
      <c r="S99" s="3993"/>
      <c r="T99" s="3994"/>
      <c r="U99" s="3994"/>
      <c r="V99" s="3994"/>
      <c r="W99" s="399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4"/>
      <c r="T100" s="4025"/>
      <c r="U100" s="4025"/>
      <c r="V100" s="4025"/>
      <c r="W100" s="4026"/>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4424</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4120</v>
      </c>
      <c r="I104" s="36"/>
      <c r="J104" s="82"/>
      <c r="K104" s="1362">
        <f>DY48</f>
        <v>0</v>
      </c>
      <c r="L104" s="1363">
        <f>DZ48</f>
        <v>0</v>
      </c>
      <c r="M104" s="1363">
        <f>EA48</f>
        <v>0</v>
      </c>
      <c r="N104" s="1363">
        <f>EB48</f>
        <v>0</v>
      </c>
      <c r="O104" s="1364">
        <f>EC48</f>
        <v>0</v>
      </c>
      <c r="P104" s="919">
        <f t="shared" ref="P104:P111" si="380">SUM(K104:O104)</f>
        <v>0</v>
      </c>
      <c r="S104" s="4031"/>
      <c r="T104" s="4032"/>
      <c r="U104" s="4032"/>
      <c r="V104" s="4032"/>
      <c r="W104" s="403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4121</v>
      </c>
      <c r="I105" s="36"/>
      <c r="J105" s="82"/>
      <c r="K105" s="1365">
        <f>DT48</f>
        <v>0</v>
      </c>
      <c r="L105" s="1366">
        <f>DU48</f>
        <v>0</v>
      </c>
      <c r="M105" s="1366">
        <f>DV48</f>
        <v>0</v>
      </c>
      <c r="N105" s="1366">
        <f>DW48</f>
        <v>0</v>
      </c>
      <c r="O105" s="1367">
        <f>DX48</f>
        <v>0</v>
      </c>
      <c r="P105" s="914">
        <f t="shared" si="380"/>
        <v>0</v>
      </c>
      <c r="S105" s="3993"/>
      <c r="T105" s="3994"/>
      <c r="U105" s="3994"/>
      <c r="V105" s="3994"/>
      <c r="W105" s="399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3"/>
      <c r="T106" s="3994"/>
      <c r="U106" s="3994"/>
      <c r="V106" s="3994"/>
      <c r="W106" s="399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3"/>
      <c r="T107" s="3994"/>
      <c r="U107" s="3994"/>
      <c r="V107" s="3994"/>
      <c r="W107" s="399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4122</v>
      </c>
      <c r="I108" s="52"/>
      <c r="J108" s="1094"/>
      <c r="K108" s="1365">
        <f>DE48</f>
        <v>0</v>
      </c>
      <c r="L108" s="1366">
        <f>DF48</f>
        <v>0</v>
      </c>
      <c r="M108" s="1366">
        <f>DG48</f>
        <v>0</v>
      </c>
      <c r="N108" s="1366">
        <f>DH48</f>
        <v>0</v>
      </c>
      <c r="O108" s="1367">
        <f>DI48</f>
        <v>0</v>
      </c>
      <c r="P108" s="914">
        <f t="shared" si="380"/>
        <v>0</v>
      </c>
      <c r="S108" s="3993"/>
      <c r="T108" s="3994"/>
      <c r="U108" s="3994"/>
      <c r="V108" s="3994"/>
      <c r="W108" s="399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4123</v>
      </c>
      <c r="I109" s="36"/>
      <c r="J109" s="82"/>
      <c r="K109" s="1365">
        <f>CZ48</f>
        <v>0</v>
      </c>
      <c r="L109" s="1366">
        <f>DA48</f>
        <v>0</v>
      </c>
      <c r="M109" s="1366">
        <f>DB48</f>
        <v>0</v>
      </c>
      <c r="N109" s="1366">
        <f>DC48</f>
        <v>0</v>
      </c>
      <c r="O109" s="1367">
        <f>DD48</f>
        <v>0</v>
      </c>
      <c r="P109" s="914">
        <f t="shared" si="380"/>
        <v>0</v>
      </c>
      <c r="S109" s="3993"/>
      <c r="T109" s="3994"/>
      <c r="U109" s="3994"/>
      <c r="V109" s="3994"/>
      <c r="W109" s="399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4124</v>
      </c>
      <c r="I110" s="36"/>
      <c r="J110" s="82"/>
      <c r="K110" s="1368">
        <f>CU48</f>
        <v>0</v>
      </c>
      <c r="L110" s="1369">
        <f>CV48</f>
        <v>0</v>
      </c>
      <c r="M110" s="1369">
        <f>CW48</f>
        <v>0</v>
      </c>
      <c r="N110" s="1369">
        <f>CX48</f>
        <v>0</v>
      </c>
      <c r="O110" s="1370">
        <f>CY48</f>
        <v>0</v>
      </c>
      <c r="P110" s="915">
        <f t="shared" si="380"/>
        <v>0</v>
      </c>
      <c r="S110" s="3993"/>
      <c r="T110" s="3994"/>
      <c r="U110" s="3994"/>
      <c r="V110" s="3994"/>
      <c r="W110" s="3995"/>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4"/>
      <c r="T111" s="4025"/>
      <c r="U111" s="4025"/>
      <c r="V111" s="4025"/>
      <c r="W111" s="4026"/>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0</v>
      </c>
      <c r="M113" s="1354">
        <f>GI48</f>
        <v>6</v>
      </c>
      <c r="N113" s="1354">
        <f>GJ48</f>
        <v>0</v>
      </c>
      <c r="O113" s="1355">
        <f>GK48</f>
        <v>0</v>
      </c>
      <c r="P113" s="919">
        <f t="shared" ref="P113:P123" si="381">SUM(K113:O113)</f>
        <v>6</v>
      </c>
      <c r="S113" s="4031"/>
      <c r="T113" s="4032"/>
      <c r="U113" s="4032"/>
      <c r="V113" s="4032"/>
      <c r="W113" s="403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3993"/>
      <c r="T114" s="3994"/>
      <c r="U114" s="3994"/>
      <c r="V114" s="3994"/>
      <c r="W114" s="399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0</v>
      </c>
      <c r="M115" s="1328">
        <f>SUM(M113:M114)+GS48</f>
        <v>6</v>
      </c>
      <c r="N115" s="1328">
        <f>SUM(N113:N114)+GT48</f>
        <v>0</v>
      </c>
      <c r="O115" s="1328">
        <f>SUM(O113:O114)+GU48</f>
        <v>0</v>
      </c>
      <c r="P115" s="1328">
        <f t="shared" si="381"/>
        <v>6</v>
      </c>
      <c r="S115" s="3993"/>
      <c r="T115" s="3994"/>
      <c r="U115" s="3994"/>
      <c r="V115" s="3994"/>
      <c r="W115" s="3995"/>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3"/>
      <c r="T116" s="3994"/>
      <c r="U116" s="3994"/>
      <c r="V116" s="3994"/>
      <c r="W116" s="399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3"/>
      <c r="T117" s="3994"/>
      <c r="U117" s="3994"/>
      <c r="V117" s="3994"/>
      <c r="W117" s="399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3"/>
      <c r="T118" s="3994"/>
      <c r="U118" s="3994"/>
      <c r="V118" s="3994"/>
      <c r="W118" s="3995"/>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22</v>
      </c>
      <c r="L119" s="1354">
        <f>HL48</f>
        <v>22</v>
      </c>
      <c r="M119" s="1354">
        <f>HM48</f>
        <v>0</v>
      </c>
      <c r="N119" s="1354">
        <f>HN48</f>
        <v>0</v>
      </c>
      <c r="O119" s="1355">
        <f>HO48</f>
        <v>0</v>
      </c>
      <c r="P119" s="919">
        <f t="shared" si="381"/>
        <v>44</v>
      </c>
      <c r="S119" s="3993"/>
      <c r="T119" s="3994"/>
      <c r="U119" s="3994"/>
      <c r="V119" s="3994"/>
      <c r="W119" s="399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3"/>
      <c r="T120" s="3994"/>
      <c r="U120" s="3994"/>
      <c r="V120" s="3994"/>
      <c r="W120" s="399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22</v>
      </c>
      <c r="L121" s="1328">
        <f>SUM(L119:L120)+HV48</f>
        <v>22</v>
      </c>
      <c r="M121" s="1328">
        <f>SUM(M119:M120)+HW48</f>
        <v>0</v>
      </c>
      <c r="N121" s="1328">
        <f>SUM(N119:N120)+HX48</f>
        <v>0</v>
      </c>
      <c r="O121" s="1328">
        <f>SUM(O119:O120)+HY48</f>
        <v>0</v>
      </c>
      <c r="P121" s="1328">
        <f t="shared" si="381"/>
        <v>44</v>
      </c>
      <c r="S121" s="3993"/>
      <c r="T121" s="3994"/>
      <c r="U121" s="3994"/>
      <c r="V121" s="3994"/>
      <c r="W121" s="3995"/>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1"/>
      <c r="L122" s="4051"/>
      <c r="M122" s="4051"/>
      <c r="N122" s="4051"/>
      <c r="O122" s="4051"/>
      <c r="P122" s="569">
        <f t="shared" si="381"/>
        <v>0</v>
      </c>
      <c r="S122" s="3993"/>
      <c r="T122" s="3994"/>
      <c r="U122" s="3994"/>
      <c r="V122" s="3994"/>
      <c r="W122" s="399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3282</v>
      </c>
      <c r="F123" s="1"/>
      <c r="G123" s="172"/>
      <c r="H123" s="111"/>
      <c r="I123" s="82"/>
      <c r="J123" s="82"/>
      <c r="K123" s="4052">
        <v>22</v>
      </c>
      <c r="L123" s="4052">
        <v>22</v>
      </c>
      <c r="M123" s="4052"/>
      <c r="N123" s="4052"/>
      <c r="O123" s="4052"/>
      <c r="P123" s="570">
        <f t="shared" si="381"/>
        <v>44</v>
      </c>
      <c r="S123" s="3993"/>
      <c r="T123" s="3994"/>
      <c r="U123" s="3994"/>
      <c r="V123" s="3994"/>
      <c r="W123" s="399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3"/>
      <c r="T124" s="3994"/>
      <c r="U124" s="3994"/>
      <c r="V124" s="3994"/>
      <c r="W124" s="399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22</v>
      </c>
      <c r="L125" s="1372">
        <f>L129+L131+L133+L135+L139+L141+L143+L145</f>
        <v>22</v>
      </c>
      <c r="M125" s="1372">
        <f>M129+M131+M133+M135+M139+M141+M143+M145</f>
        <v>0</v>
      </c>
      <c r="N125" s="1372">
        <f>N129+N131+N133+N135+N139+N141+N143+N145</f>
        <v>0</v>
      </c>
      <c r="O125" s="1373">
        <f>O129+O131+O133+O135+O139+O141+O143+O145</f>
        <v>0</v>
      </c>
      <c r="P125" s="578">
        <f>SUM(K125:O125)</f>
        <v>44</v>
      </c>
      <c r="S125" s="4024"/>
      <c r="T125" s="4025"/>
      <c r="U125" s="4025"/>
      <c r="V125" s="4025"/>
      <c r="W125" s="402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3773</v>
      </c>
      <c r="D127" s="2670"/>
      <c r="E127" s="1090" t="s">
        <v>37</v>
      </c>
      <c r="F127" s="948"/>
      <c r="G127" s="1091"/>
      <c r="H127" s="1755"/>
      <c r="I127" s="1092"/>
      <c r="J127" s="1093"/>
      <c r="K127" s="1374">
        <f>SUM(K128:K137)</f>
        <v>22</v>
      </c>
      <c r="L127" s="1375">
        <f>SUM(L128:L137)</f>
        <v>22</v>
      </c>
      <c r="M127" s="1375">
        <f t="shared" ref="M127:N127" si="382">SUM(M128:M137)</f>
        <v>6</v>
      </c>
      <c r="N127" s="1375">
        <f t="shared" si="382"/>
        <v>0</v>
      </c>
      <c r="O127" s="1376">
        <f>SUM(O128:O137)</f>
        <v>0</v>
      </c>
      <c r="P127" s="1333">
        <f>SUM(P128:P137)</f>
        <v>50</v>
      </c>
      <c r="S127" s="4031"/>
      <c r="T127" s="4032"/>
      <c r="U127" s="4032"/>
      <c r="V127" s="4032"/>
      <c r="W127" s="403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6</v>
      </c>
      <c r="N128" s="1357">
        <f>JV48</f>
        <v>0</v>
      </c>
      <c r="O128" s="1358">
        <f>JW48</f>
        <v>0</v>
      </c>
      <c r="P128" s="914">
        <f t="shared" ref="P128:P145" si="383">SUM(K128:O128)</f>
        <v>6</v>
      </c>
      <c r="S128" s="3993"/>
      <c r="T128" s="3994"/>
      <c r="U128" s="3994"/>
      <c r="V128" s="3994"/>
      <c r="W128" s="399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3250</v>
      </c>
      <c r="I129" s="95"/>
      <c r="J129" s="1094"/>
      <c r="K129" s="1377">
        <f>JX48</f>
        <v>0</v>
      </c>
      <c r="L129" s="1378">
        <f>JY48</f>
        <v>0</v>
      </c>
      <c r="M129" s="1378">
        <f>JZ48</f>
        <v>0</v>
      </c>
      <c r="N129" s="1378">
        <f>KA48</f>
        <v>0</v>
      </c>
      <c r="O129" s="1379">
        <f>KB48</f>
        <v>0</v>
      </c>
      <c r="P129" s="572">
        <f t="shared" si="383"/>
        <v>0</v>
      </c>
      <c r="S129" s="3993"/>
      <c r="T129" s="3994"/>
      <c r="U129" s="3994"/>
      <c r="V129" s="3994"/>
      <c r="W129" s="399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3993"/>
      <c r="T130" s="3994"/>
      <c r="U130" s="3994"/>
      <c r="V130" s="3994"/>
      <c r="W130" s="399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3250</v>
      </c>
      <c r="I131" s="95"/>
      <c r="J131" s="1094"/>
      <c r="K131" s="1377">
        <f>KH48</f>
        <v>22</v>
      </c>
      <c r="L131" s="1378">
        <f>KI48</f>
        <v>22</v>
      </c>
      <c r="M131" s="1378">
        <f>KJ48</f>
        <v>0</v>
      </c>
      <c r="N131" s="1378">
        <f>KK48</f>
        <v>0</v>
      </c>
      <c r="O131" s="1379">
        <f>KL48</f>
        <v>0</v>
      </c>
      <c r="P131" s="572">
        <f t="shared" si="383"/>
        <v>44</v>
      </c>
      <c r="S131" s="3993"/>
      <c r="T131" s="3994"/>
      <c r="U131" s="3994"/>
      <c r="V131" s="3994"/>
      <c r="W131" s="399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3993"/>
      <c r="T132" s="3994"/>
      <c r="U132" s="3994"/>
      <c r="V132" s="3994"/>
      <c r="W132" s="399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3250</v>
      </c>
      <c r="I133" s="95"/>
      <c r="J133" s="1094"/>
      <c r="K133" s="1377">
        <f>KR48</f>
        <v>0</v>
      </c>
      <c r="L133" s="1378">
        <f>KS48</f>
        <v>0</v>
      </c>
      <c r="M133" s="1378">
        <f>KT48</f>
        <v>0</v>
      </c>
      <c r="N133" s="1378">
        <f>KU48</f>
        <v>0</v>
      </c>
      <c r="O133" s="1379">
        <f>KV48</f>
        <v>0</v>
      </c>
      <c r="P133" s="572">
        <f t="shared" si="383"/>
        <v>0</v>
      </c>
      <c r="S133" s="3993"/>
      <c r="T133" s="3994"/>
      <c r="U133" s="3994"/>
      <c r="V133" s="3994"/>
      <c r="W133" s="399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3993"/>
      <c r="T134" s="3994"/>
      <c r="U134" s="3994"/>
      <c r="V134" s="3994"/>
      <c r="W134" s="399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3250</v>
      </c>
      <c r="I135" s="852"/>
      <c r="J135" s="82"/>
      <c r="K135" s="1377">
        <f>LB48</f>
        <v>0</v>
      </c>
      <c r="L135" s="1378">
        <f>LC48</f>
        <v>0</v>
      </c>
      <c r="M135" s="1378">
        <f>LD48</f>
        <v>0</v>
      </c>
      <c r="N135" s="1378">
        <f>LE48</f>
        <v>0</v>
      </c>
      <c r="O135" s="1379">
        <f>LF48</f>
        <v>0</v>
      </c>
      <c r="P135" s="914">
        <f t="shared" si="383"/>
        <v>0</v>
      </c>
      <c r="S135" s="3993"/>
      <c r="T135" s="3994"/>
      <c r="U135" s="3994"/>
      <c r="V135" s="3994"/>
      <c r="W135" s="399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0"/>
      <c r="D136" s="2370"/>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3993"/>
      <c r="T136" s="3994"/>
      <c r="U136" s="3994"/>
      <c r="V136" s="3994"/>
      <c r="W136" s="399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0"/>
      <c r="D137" s="2370"/>
      <c r="E137" s="103"/>
      <c r="F137" s="1"/>
      <c r="G137" s="82"/>
      <c r="H137" s="1757" t="s">
        <v>3250</v>
      </c>
      <c r="I137" s="852"/>
      <c r="J137" s="82"/>
      <c r="K137" s="1356">
        <f>LL48</f>
        <v>0</v>
      </c>
      <c r="L137" s="1357">
        <f>LM48</f>
        <v>0</v>
      </c>
      <c r="M137" s="1357">
        <f>LN48</f>
        <v>0</v>
      </c>
      <c r="N137" s="1357">
        <f>LO48</f>
        <v>0</v>
      </c>
      <c r="O137" s="1358">
        <f>LP48</f>
        <v>0</v>
      </c>
      <c r="P137" s="914">
        <f t="shared" si="384"/>
        <v>0</v>
      </c>
      <c r="S137" s="3993"/>
      <c r="T137" s="3994"/>
      <c r="U137" s="3994"/>
      <c r="V137" s="3994"/>
      <c r="W137" s="399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3"/>
      <c r="T138" s="3994"/>
      <c r="U138" s="3994"/>
      <c r="V138" s="3994"/>
      <c r="W138" s="399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993"/>
      <c r="T139" s="3994"/>
      <c r="U139" s="3994"/>
      <c r="V139" s="3994"/>
      <c r="W139" s="399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3"/>
      <c r="T140" s="3994"/>
      <c r="U140" s="3994"/>
      <c r="V140" s="3994"/>
      <c r="W140" s="399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993"/>
      <c r="T141" s="3994"/>
      <c r="U141" s="3994"/>
      <c r="V141" s="3994"/>
      <c r="W141" s="399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3"/>
      <c r="T142" s="3994"/>
      <c r="U142" s="3994"/>
      <c r="V142" s="3994"/>
      <c r="W142" s="399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993"/>
      <c r="T143" s="3994"/>
      <c r="U143" s="3994"/>
      <c r="V143" s="3994"/>
      <c r="W143" s="399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3"/>
      <c r="T144" s="3994"/>
      <c r="U144" s="3994"/>
      <c r="V144" s="3994"/>
      <c r="W144" s="399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24"/>
      <c r="T145" s="4025"/>
      <c r="U145" s="4025"/>
      <c r="V145" s="4025"/>
      <c r="W145" s="402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4115</v>
      </c>
      <c r="D149" s="2670"/>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1"/>
      <c r="T149" s="4032"/>
      <c r="U149" s="4032"/>
      <c r="V149" s="4032"/>
      <c r="W149" s="403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993"/>
      <c r="T150" s="3994"/>
      <c r="U150" s="3994"/>
      <c r="V150" s="3994"/>
      <c r="W150" s="399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3246</v>
      </c>
      <c r="F151" s="483"/>
      <c r="G151" s="151"/>
      <c r="H151" s="1020"/>
      <c r="I151" s="483"/>
      <c r="J151" s="1094"/>
      <c r="K151" s="1389">
        <f t="shared" ref="K151:O152" si="387">K128+K140</f>
        <v>0</v>
      </c>
      <c r="L151" s="1390">
        <f t="shared" si="387"/>
        <v>0</v>
      </c>
      <c r="M151" s="1390">
        <f t="shared" si="387"/>
        <v>6</v>
      </c>
      <c r="N151" s="1390">
        <f t="shared" si="387"/>
        <v>0</v>
      </c>
      <c r="O151" s="1391">
        <f t="shared" si="387"/>
        <v>0</v>
      </c>
      <c r="P151" s="917">
        <f t="shared" si="386"/>
        <v>6</v>
      </c>
      <c r="S151" s="3993"/>
      <c r="T151" s="3994"/>
      <c r="U151" s="3994"/>
      <c r="V151" s="3994"/>
      <c r="W151" s="399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993"/>
      <c r="T152" s="3994"/>
      <c r="U152" s="3994"/>
      <c r="V152" s="3994"/>
      <c r="W152" s="399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3"/>
      <c r="T153" s="3994"/>
      <c r="U153" s="3994"/>
      <c r="V153" s="3994"/>
      <c r="W153" s="399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993"/>
      <c r="T154" s="3994"/>
      <c r="U154" s="3994"/>
      <c r="V154" s="3994"/>
      <c r="W154" s="399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3248</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3"/>
      <c r="T155" s="3994"/>
      <c r="U155" s="3994"/>
      <c r="V155" s="3994"/>
      <c r="W155" s="399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22</v>
      </c>
      <c r="L156" s="1393">
        <f t="shared" si="389"/>
        <v>22</v>
      </c>
      <c r="M156" s="1393">
        <f t="shared" si="389"/>
        <v>0</v>
      </c>
      <c r="N156" s="1393">
        <f t="shared" si="389"/>
        <v>0</v>
      </c>
      <c r="O156" s="1394">
        <f t="shared" si="389"/>
        <v>0</v>
      </c>
      <c r="P156" s="918">
        <f t="shared" si="386"/>
        <v>44</v>
      </c>
      <c r="Q156" s="2649" t="s">
        <v>4449</v>
      </c>
      <c r="S156" s="4024"/>
      <c r="T156" s="4025"/>
      <c r="U156" s="4025"/>
      <c r="V156" s="4025"/>
      <c r="W156" s="402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4120</v>
      </c>
      <c r="I159" s="55"/>
      <c r="J159" s="82"/>
      <c r="K159" s="1362">
        <f>EI48</f>
        <v>940</v>
      </c>
      <c r="L159" s="1363">
        <f>EJ48</f>
        <v>1380</v>
      </c>
      <c r="M159" s="1363">
        <f>EK48</f>
        <v>900</v>
      </c>
      <c r="N159" s="1363">
        <f>EL48</f>
        <v>0</v>
      </c>
      <c r="O159" s="1364">
        <f>EM48</f>
        <v>0</v>
      </c>
      <c r="P159" s="1322">
        <f t="shared" ref="P159:P165" si="390">SUM(K159:O159)</f>
        <v>3220</v>
      </c>
      <c r="Q159" s="1555">
        <f t="shared" ref="Q159:Q165" si="391">IF(OR(P56=0,P56=""),"",P159/P56)</f>
        <v>644</v>
      </c>
      <c r="S159" s="4031"/>
      <c r="T159" s="4032"/>
      <c r="U159" s="4032"/>
      <c r="V159" s="4032"/>
      <c r="W159" s="403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4121</v>
      </c>
      <c r="I160" s="40"/>
      <c r="J160" s="82"/>
      <c r="K160" s="1395">
        <f>EN48</f>
        <v>0</v>
      </c>
      <c r="L160" s="1396">
        <f>EO48</f>
        <v>0</v>
      </c>
      <c r="M160" s="1396">
        <f>EP48</f>
        <v>0</v>
      </c>
      <c r="N160" s="1396">
        <f>EQ48</f>
        <v>0</v>
      </c>
      <c r="O160" s="1397">
        <f>ER48</f>
        <v>0</v>
      </c>
      <c r="P160" s="1323">
        <f t="shared" si="390"/>
        <v>0</v>
      </c>
      <c r="Q160" s="1555" t="str">
        <f t="shared" si="391"/>
        <v/>
      </c>
      <c r="S160" s="3993"/>
      <c r="T160" s="3994"/>
      <c r="U160" s="3994"/>
      <c r="V160" s="3994"/>
      <c r="W160" s="399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4230</v>
      </c>
      <c r="L161" s="1396">
        <f>ET48</f>
        <v>6210</v>
      </c>
      <c r="M161" s="1396">
        <f>EU48</f>
        <v>1800</v>
      </c>
      <c r="N161" s="1396">
        <f>EV48</f>
        <v>0</v>
      </c>
      <c r="O161" s="1397">
        <f>EW48</f>
        <v>0</v>
      </c>
      <c r="P161" s="1323">
        <f t="shared" si="390"/>
        <v>12240</v>
      </c>
      <c r="Q161" s="1555">
        <f t="shared" si="391"/>
        <v>612</v>
      </c>
      <c r="S161" s="3993"/>
      <c r="T161" s="3994"/>
      <c r="U161" s="3994"/>
      <c r="V161" s="3994"/>
      <c r="W161" s="399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5170</v>
      </c>
      <c r="L162" s="1491">
        <f>EY48</f>
        <v>7590</v>
      </c>
      <c r="M162" s="1491">
        <f>EZ48</f>
        <v>2700</v>
      </c>
      <c r="N162" s="1491">
        <f>FA48</f>
        <v>0</v>
      </c>
      <c r="O162" s="1492">
        <f>FB48</f>
        <v>0</v>
      </c>
      <c r="P162" s="1493">
        <f t="shared" si="390"/>
        <v>15460</v>
      </c>
      <c r="Q162" s="1555">
        <f t="shared" si="391"/>
        <v>618.4</v>
      </c>
      <c r="S162" s="3993"/>
      <c r="T162" s="3994"/>
      <c r="U162" s="3994"/>
      <c r="V162" s="3994"/>
      <c r="W162" s="399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4122</v>
      </c>
      <c r="I163" s="856"/>
      <c r="J163" s="1094"/>
      <c r="K163" s="1395">
        <f>FC48</f>
        <v>0</v>
      </c>
      <c r="L163" s="1396">
        <f>FD48</f>
        <v>0</v>
      </c>
      <c r="M163" s="1396">
        <f>FE48</f>
        <v>0</v>
      </c>
      <c r="N163" s="1396">
        <f>FF48</f>
        <v>0</v>
      </c>
      <c r="O163" s="1397">
        <f>FG48</f>
        <v>0</v>
      </c>
      <c r="P163" s="1323">
        <f t="shared" si="390"/>
        <v>0</v>
      </c>
      <c r="Q163" s="1555" t="str">
        <f t="shared" si="391"/>
        <v/>
      </c>
      <c r="S163" s="3993"/>
      <c r="T163" s="3994"/>
      <c r="U163" s="3994"/>
      <c r="V163" s="3994"/>
      <c r="W163" s="399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4123</v>
      </c>
      <c r="I164" s="40"/>
      <c r="J164" s="82"/>
      <c r="K164" s="1395">
        <f>FH48</f>
        <v>0</v>
      </c>
      <c r="L164" s="1396">
        <f>FI48</f>
        <v>0</v>
      </c>
      <c r="M164" s="1396">
        <f>FJ48</f>
        <v>0</v>
      </c>
      <c r="N164" s="1396">
        <f>FK48</f>
        <v>0</v>
      </c>
      <c r="O164" s="1397">
        <f>FL48</f>
        <v>0</v>
      </c>
      <c r="P164" s="1323">
        <f t="shared" si="390"/>
        <v>0</v>
      </c>
      <c r="Q164" s="1555" t="str">
        <f t="shared" si="391"/>
        <v/>
      </c>
      <c r="S164" s="3993"/>
      <c r="T164" s="3994"/>
      <c r="U164" s="3994"/>
      <c r="V164" s="3994"/>
      <c r="W164" s="399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68">
        <f>FM48</f>
        <v>0</v>
      </c>
      <c r="L165" s="1369">
        <f>FN48</f>
        <v>0</v>
      </c>
      <c r="M165" s="1369">
        <f>FO48</f>
        <v>0</v>
      </c>
      <c r="N165" s="1369">
        <f>FP48</f>
        <v>0</v>
      </c>
      <c r="O165" s="1370">
        <f>FQ48</f>
        <v>0</v>
      </c>
      <c r="P165" s="1324">
        <f t="shared" si="390"/>
        <v>0</v>
      </c>
      <c r="Q165" s="1555" t="str">
        <f t="shared" si="391"/>
        <v/>
      </c>
      <c r="S165" s="3993"/>
      <c r="T165" s="3994"/>
      <c r="U165" s="3994"/>
      <c r="V165" s="3994"/>
      <c r="W165" s="3995"/>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4205</v>
      </c>
      <c r="I166" s="40"/>
      <c r="J166" s="82"/>
      <c r="K166" s="1332">
        <f>SUM(K159:K165)</f>
        <v>10340</v>
      </c>
      <c r="L166" s="1332">
        <f>SUM(L159:L165)</f>
        <v>15180</v>
      </c>
      <c r="M166" s="1332">
        <f>SUM(M159:M165)</f>
        <v>5400</v>
      </c>
      <c r="N166" s="1332">
        <f>SUM(N159:N165)</f>
        <v>0</v>
      </c>
      <c r="O166" s="1332">
        <f>SUM(O159:O165)</f>
        <v>0</v>
      </c>
      <c r="P166" s="1332">
        <f>SUM(K166:O166)</f>
        <v>30920</v>
      </c>
      <c r="S166" s="3993"/>
      <c r="T166" s="3994"/>
      <c r="U166" s="3994"/>
      <c r="V166" s="3994"/>
      <c r="W166" s="3995"/>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3"/>
      <c r="T167" s="3994"/>
      <c r="U167" s="3994"/>
      <c r="V167" s="3994"/>
      <c r="W167" s="399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10340</v>
      </c>
      <c r="L168" s="1331">
        <f>SUM(L166:L167)</f>
        <v>15180</v>
      </c>
      <c r="M168" s="1331">
        <f>SUM(M166:M167)</f>
        <v>5400</v>
      </c>
      <c r="N168" s="1331">
        <f>SUM(N166:N167)</f>
        <v>0</v>
      </c>
      <c r="O168" s="1331">
        <f>SUM(O166:O167)</f>
        <v>0</v>
      </c>
      <c r="P168" s="1331">
        <f>SUM(K168:O168)</f>
        <v>30920</v>
      </c>
      <c r="S168" s="3993"/>
      <c r="T168" s="3994"/>
      <c r="U168" s="3994"/>
      <c r="V168" s="3994"/>
      <c r="W168" s="399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3"/>
      <c r="T169" s="3994"/>
      <c r="U169" s="3994"/>
      <c r="V169" s="3994"/>
      <c r="W169" s="399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10340</v>
      </c>
      <c r="L170" s="1329">
        <f>SUM(L168:L169)</f>
        <v>15180</v>
      </c>
      <c r="M170" s="1329">
        <f>SUM(M168:M169)</f>
        <v>5400</v>
      </c>
      <c r="N170" s="1329">
        <f>SUM(N168:N169)</f>
        <v>0</v>
      </c>
      <c r="O170" s="1329">
        <f>SUM(O168:O169)</f>
        <v>0</v>
      </c>
      <c r="P170" s="1329">
        <f>SUM(K170:O170)</f>
        <v>30920</v>
      </c>
      <c r="S170" s="4024"/>
      <c r="T170" s="4025"/>
      <c r="U170" s="4025"/>
      <c r="V170" s="4025"/>
      <c r="W170" s="402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f>IF(OR(K67="",K67=0),"",K170/K67)</f>
        <v>470</v>
      </c>
      <c r="L173" s="1554">
        <f>IF(OR(L67="",L67=0),"",L170/L67)</f>
        <v>690</v>
      </c>
      <c r="M173" s="1554">
        <f>IF(OR(M67="",M67=0),"",M170/M67)</f>
        <v>900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3">
        <f>'Part VII-Pro Forma'!B9*M49</f>
        <v>7212</v>
      </c>
      <c r="I178" s="4054"/>
      <c r="J178" s="4055"/>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6"/>
      <c r="I182" s="4056"/>
      <c r="J182" s="4056"/>
      <c r="K182" s="4056"/>
      <c r="L182" s="4056"/>
      <c r="M182" s="4056"/>
      <c r="N182" s="4056"/>
      <c r="O182" s="4056"/>
      <c r="P182" s="4056"/>
      <c r="Q182" s="4056"/>
      <c r="R182" s="837"/>
      <c r="S182" s="4031"/>
      <c r="T182" s="4032"/>
      <c r="U182" s="4032"/>
      <c r="V182" s="4032"/>
      <c r="W182" s="4033"/>
    </row>
    <row r="183" spans="1:503" ht="15.6" customHeight="1">
      <c r="B183" s="110" t="s">
        <v>723</v>
      </c>
      <c r="C183" s="4057"/>
      <c r="D183" s="4058"/>
      <c r="E183" s="4058"/>
      <c r="F183" s="4059"/>
      <c r="H183" s="4060"/>
      <c r="I183" s="4060"/>
      <c r="J183" s="4060"/>
      <c r="K183" s="4060"/>
      <c r="L183" s="4061"/>
      <c r="M183" s="4060"/>
      <c r="N183" s="4060"/>
      <c r="O183" s="4060"/>
      <c r="P183" s="4060"/>
      <c r="Q183" s="4060"/>
      <c r="R183" s="837"/>
      <c r="S183" s="3993"/>
      <c r="T183" s="3994"/>
      <c r="U183" s="3994"/>
      <c r="V183" s="3994"/>
      <c r="W183" s="3995"/>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4"/>
      <c r="T184" s="4025"/>
      <c r="U184" s="4025"/>
      <c r="V184" s="4025"/>
      <c r="W184" s="4026"/>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6"/>
      <c r="I186" s="4056"/>
      <c r="J186" s="4056"/>
      <c r="K186" s="4056"/>
      <c r="L186" s="4056"/>
      <c r="M186" s="4056"/>
      <c r="N186" s="4056"/>
      <c r="O186" s="4056"/>
      <c r="P186" s="4056"/>
      <c r="Q186" s="4056"/>
      <c r="R186" s="837"/>
      <c r="S186" s="4031"/>
      <c r="T186" s="4032"/>
      <c r="U186" s="4032"/>
      <c r="V186" s="4032"/>
      <c r="W186" s="4033"/>
    </row>
    <row r="187" spans="1:503" ht="15.6" customHeight="1">
      <c r="B187" s="110" t="s">
        <v>723</v>
      </c>
      <c r="C187" s="4057"/>
      <c r="D187" s="4058"/>
      <c r="E187" s="4058"/>
      <c r="F187" s="4059"/>
      <c r="H187" s="4060"/>
      <c r="I187" s="4060"/>
      <c r="J187" s="4060"/>
      <c r="K187" s="4060"/>
      <c r="L187" s="4061"/>
      <c r="M187" s="4060"/>
      <c r="N187" s="4060"/>
      <c r="O187" s="4060"/>
      <c r="P187" s="4060"/>
      <c r="Q187" s="4060"/>
      <c r="R187" s="837"/>
      <c r="S187" s="3993"/>
      <c r="T187" s="3994"/>
      <c r="U187" s="3994"/>
      <c r="V187" s="3994"/>
      <c r="W187" s="3995"/>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4"/>
      <c r="T188" s="4025"/>
      <c r="U188" s="4025"/>
      <c r="V188" s="4025"/>
      <c r="W188" s="402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6"/>
      <c r="I191" s="4056"/>
      <c r="J191" s="4056"/>
      <c r="K191" s="4056"/>
      <c r="L191" s="4062"/>
      <c r="M191" s="4056"/>
      <c r="N191" s="4056"/>
      <c r="O191" s="4056"/>
      <c r="P191" s="4056"/>
      <c r="Q191" s="4056"/>
      <c r="R191" s="837"/>
      <c r="S191" s="4031"/>
      <c r="T191" s="4032"/>
      <c r="U191" s="4032"/>
      <c r="V191" s="4032"/>
      <c r="W191" s="403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7"/>
      <c r="D192" s="4058"/>
      <c r="E192" s="4058"/>
      <c r="F192" s="4059"/>
      <c r="H192" s="4060"/>
      <c r="I192" s="4060"/>
      <c r="J192" s="4060"/>
      <c r="K192" s="4060"/>
      <c r="L192" s="4061"/>
      <c r="M192" s="4060"/>
      <c r="N192" s="4060"/>
      <c r="O192" s="4060"/>
      <c r="P192" s="4060"/>
      <c r="Q192" s="4060"/>
      <c r="R192" s="837"/>
      <c r="S192" s="3993"/>
      <c r="T192" s="3994"/>
      <c r="U192" s="3994"/>
      <c r="V192" s="3994"/>
      <c r="W192" s="399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4"/>
      <c r="T193" s="4025"/>
      <c r="U193" s="4025"/>
      <c r="V193" s="4025"/>
      <c r="W193" s="402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6"/>
      <c r="I195" s="4056"/>
      <c r="J195" s="4056"/>
      <c r="K195" s="4056"/>
      <c r="L195" s="4062"/>
      <c r="M195" s="4056"/>
      <c r="N195" s="4056"/>
      <c r="O195" s="4056"/>
      <c r="P195" s="4056"/>
      <c r="Q195" s="4056"/>
      <c r="R195" s="837"/>
      <c r="S195" s="4031"/>
      <c r="T195" s="4032"/>
      <c r="U195" s="4032"/>
      <c r="V195" s="4032"/>
      <c r="W195" s="403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7"/>
      <c r="D196" s="4058"/>
      <c r="E196" s="4058"/>
      <c r="F196" s="4059"/>
      <c r="H196" s="4060"/>
      <c r="I196" s="4060"/>
      <c r="J196" s="4060"/>
      <c r="K196" s="4060"/>
      <c r="L196" s="4061"/>
      <c r="M196" s="4060"/>
      <c r="N196" s="4060"/>
      <c r="O196" s="4060"/>
      <c r="P196" s="4060"/>
      <c r="Q196" s="4060"/>
      <c r="R196" s="837"/>
      <c r="S196" s="3993"/>
      <c r="T196" s="3994"/>
      <c r="U196" s="3994"/>
      <c r="V196" s="3994"/>
      <c r="W196" s="399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4"/>
      <c r="T197" s="4025"/>
      <c r="U197" s="4025"/>
      <c r="V197" s="4025"/>
      <c r="W197" s="402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6"/>
      <c r="I200" s="4056"/>
      <c r="J200" s="4056"/>
      <c r="K200" s="4056"/>
      <c r="L200" s="4062"/>
      <c r="M200" s="4056"/>
      <c r="N200" s="4056"/>
      <c r="O200" s="4056"/>
      <c r="P200" s="4056"/>
      <c r="Q200" s="4056"/>
      <c r="R200" s="837"/>
      <c r="S200" s="4031"/>
      <c r="T200" s="4032"/>
      <c r="U200" s="4032"/>
      <c r="V200" s="4032"/>
      <c r="W200" s="403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7"/>
      <c r="D201" s="4058"/>
      <c r="E201" s="4058"/>
      <c r="F201" s="4059"/>
      <c r="H201" s="4060"/>
      <c r="I201" s="4060"/>
      <c r="J201" s="4060"/>
      <c r="K201" s="4060"/>
      <c r="L201" s="4061"/>
      <c r="M201" s="4060"/>
      <c r="N201" s="4060"/>
      <c r="O201" s="4060"/>
      <c r="P201" s="4060"/>
      <c r="Q201" s="4060"/>
      <c r="R201" s="837"/>
      <c r="S201" s="3993"/>
      <c r="T201" s="3994"/>
      <c r="U201" s="3994"/>
      <c r="V201" s="3994"/>
      <c r="W201" s="399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4"/>
      <c r="T202" s="4025"/>
      <c r="U202" s="4025"/>
      <c r="V202" s="4025"/>
      <c r="W202" s="402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6"/>
      <c r="I204" s="4056"/>
      <c r="J204" s="4056"/>
      <c r="K204" s="4056"/>
      <c r="L204" s="4062"/>
      <c r="M204" s="4056"/>
      <c r="N204" s="4056"/>
      <c r="O204" s="4056"/>
      <c r="P204" s="4056"/>
      <c r="Q204" s="4056"/>
      <c r="R204" s="837"/>
      <c r="S204" s="4031"/>
      <c r="T204" s="4032"/>
      <c r="U204" s="4032"/>
      <c r="V204" s="4032"/>
      <c r="W204" s="403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7"/>
      <c r="D205" s="4058"/>
      <c r="E205" s="4058"/>
      <c r="F205" s="4059"/>
      <c r="H205" s="4060"/>
      <c r="I205" s="4060"/>
      <c r="J205" s="4060"/>
      <c r="K205" s="4060"/>
      <c r="L205" s="4061"/>
      <c r="M205" s="4060"/>
      <c r="N205" s="4060"/>
      <c r="O205" s="4060"/>
      <c r="P205" s="4060"/>
      <c r="Q205" s="4060"/>
      <c r="R205" s="837"/>
      <c r="S205" s="3993"/>
      <c r="T205" s="3994"/>
      <c r="U205" s="3994"/>
      <c r="V205" s="3994"/>
      <c r="W205" s="399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4"/>
      <c r="T206" s="4025"/>
      <c r="U206" s="4025"/>
      <c r="V206" s="4025"/>
      <c r="W206" s="402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6"/>
      <c r="I209" s="4056"/>
      <c r="J209" s="4056"/>
      <c r="K209" s="4056"/>
      <c r="L209" s="4062"/>
      <c r="M209" s="89"/>
      <c r="N209" s="89"/>
      <c r="O209" s="89"/>
      <c r="P209" s="89"/>
      <c r="Q209" s="89"/>
      <c r="R209" s="8"/>
      <c r="S209" s="4031"/>
      <c r="T209" s="4032"/>
      <c r="U209" s="4032"/>
      <c r="V209" s="4032"/>
      <c r="W209" s="4033"/>
    </row>
    <row r="210" spans="1:503" ht="15.6" customHeight="1">
      <c r="B210" s="110" t="s">
        <v>723</v>
      </c>
      <c r="C210" s="4057"/>
      <c r="D210" s="4058"/>
      <c r="E210" s="4058"/>
      <c r="F210" s="4059"/>
      <c r="H210" s="4060"/>
      <c r="I210" s="4060"/>
      <c r="J210" s="4060"/>
      <c r="K210" s="4060"/>
      <c r="L210" s="4061"/>
      <c r="M210" s="89"/>
      <c r="N210" s="89"/>
      <c r="O210" s="89"/>
      <c r="P210" s="89"/>
      <c r="Q210" s="89"/>
      <c r="R210" s="8"/>
      <c r="S210" s="3993"/>
      <c r="T210" s="3994"/>
      <c r="U210" s="3994"/>
      <c r="V210" s="3994"/>
      <c r="W210" s="399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4"/>
      <c r="T211" s="4025"/>
      <c r="U211" s="4025"/>
      <c r="V211" s="4025"/>
      <c r="W211" s="4026"/>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6"/>
      <c r="I213" s="4056"/>
      <c r="J213" s="4056"/>
      <c r="K213" s="4056"/>
      <c r="L213" s="4062"/>
      <c r="M213" s="89"/>
      <c r="N213" s="89"/>
      <c r="O213" s="89"/>
      <c r="P213" s="89"/>
      <c r="Q213" s="89"/>
      <c r="R213" s="8"/>
      <c r="S213" s="4031"/>
      <c r="T213" s="4032"/>
      <c r="U213" s="4032"/>
      <c r="V213" s="4032"/>
      <c r="W213" s="4033"/>
    </row>
    <row r="214" spans="1:503" ht="15.6" customHeight="1">
      <c r="B214" s="110" t="s">
        <v>723</v>
      </c>
      <c r="C214" s="4057"/>
      <c r="D214" s="4058"/>
      <c r="E214" s="4058"/>
      <c r="F214" s="4059"/>
      <c r="H214" s="4060"/>
      <c r="I214" s="4060"/>
      <c r="J214" s="4060"/>
      <c r="K214" s="4060"/>
      <c r="L214" s="4061"/>
      <c r="M214" s="89"/>
      <c r="N214" s="89"/>
      <c r="O214" s="89"/>
      <c r="P214" s="89"/>
      <c r="Q214" s="89"/>
      <c r="R214" s="8"/>
      <c r="S214" s="3993"/>
      <c r="T214" s="3994"/>
      <c r="U214" s="3994"/>
      <c r="V214" s="3994"/>
      <c r="W214" s="399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4"/>
      <c r="T215" s="4025"/>
      <c r="U215" s="4025"/>
      <c r="V215" s="4025"/>
      <c r="W215" s="402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17103</v>
      </c>
      <c r="R219" s="1"/>
      <c r="S219" s="4031"/>
      <c r="T219" s="4032"/>
      <c r="U219" s="4032"/>
      <c r="V219" s="4032"/>
      <c r="W219" s="403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3">
        <v>40000</v>
      </c>
      <c r="G220" s="4064"/>
      <c r="H220" s="1"/>
      <c r="I220" s="1" t="s">
        <v>1351</v>
      </c>
      <c r="K220" s="1"/>
      <c r="L220" s="4063"/>
      <c r="M220" s="4064"/>
      <c r="N220" s="1"/>
      <c r="O220" s="391">
        <f>+Q219/(P67*0.93)</f>
        <v>367.80645161290323</v>
      </c>
      <c r="P220" s="66" t="s">
        <v>2666</v>
      </c>
      <c r="Q220" s="1"/>
      <c r="R220" s="837"/>
      <c r="S220" s="3993"/>
      <c r="T220" s="3994"/>
      <c r="U220" s="3994"/>
      <c r="V220" s="3994"/>
      <c r="W220" s="399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5">
        <v>36000</v>
      </c>
      <c r="G221" s="4066"/>
      <c r="H221" s="1"/>
      <c r="I221" s="1" t="s">
        <v>1352</v>
      </c>
      <c r="K221" s="1"/>
      <c r="L221" s="4067"/>
      <c r="M221" s="4068"/>
      <c r="N221" s="1"/>
      <c r="O221" s="391">
        <f>+Q219/(P67*0.93)/12</f>
        <v>30.650537634408604</v>
      </c>
      <c r="P221" s="66" t="s">
        <v>2667</v>
      </c>
      <c r="Q221" s="1"/>
      <c r="R221" s="837"/>
      <c r="S221" s="3993"/>
      <c r="T221" s="3994"/>
      <c r="U221" s="3994"/>
      <c r="V221" s="3994"/>
      <c r="W221" s="399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5">
        <v>7500</v>
      </c>
      <c r="G222" s="4066"/>
      <c r="H222" s="1"/>
      <c r="I222" s="1"/>
      <c r="K222" s="122" t="s">
        <v>187</v>
      </c>
      <c r="L222" s="2674">
        <f>SUM(L220:M221)</f>
        <v>0</v>
      </c>
      <c r="M222" s="2675"/>
      <c r="N222" s="1"/>
      <c r="O222" s="36" t="s">
        <v>3545</v>
      </c>
      <c r="P222" s="930"/>
      <c r="Q222" s="930"/>
      <c r="R222" s="837"/>
      <c r="S222" s="3993"/>
      <c r="T222" s="3994"/>
      <c r="U222" s="3994"/>
      <c r="V222" s="3994"/>
      <c r="W222" s="399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065">
        <v>0</v>
      </c>
      <c r="G223" s="4066"/>
      <c r="H223" s="1"/>
      <c r="I223" s="1"/>
      <c r="K223" s="1"/>
      <c r="L223" s="1"/>
      <c r="M223" s="1"/>
      <c r="N223" s="1"/>
      <c r="R223" s="837"/>
      <c r="S223" s="3993"/>
      <c r="T223" s="3994"/>
      <c r="U223" s="3994"/>
      <c r="V223" s="3994"/>
      <c r="W223" s="399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065">
        <v>6000</v>
      </c>
      <c r="G224" s="4066"/>
      <c r="H224" s="1"/>
      <c r="I224" s="1"/>
      <c r="K224" s="1"/>
      <c r="L224" s="1"/>
      <c r="M224" s="1"/>
      <c r="N224" s="1"/>
      <c r="R224" s="837"/>
      <c r="S224" s="3993"/>
      <c r="T224" s="3994"/>
      <c r="U224" s="3994"/>
      <c r="V224" s="3994"/>
      <c r="W224" s="399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9" t="s">
        <v>49</v>
      </c>
      <c r="C225" s="4070"/>
      <c r="D225" s="4070"/>
      <c r="E225" s="4071"/>
      <c r="F225" s="4067"/>
      <c r="G225" s="4068"/>
      <c r="H225" s="1"/>
      <c r="I225" s="10" t="s">
        <v>1266</v>
      </c>
      <c r="K225" s="1"/>
      <c r="L225" s="1"/>
      <c r="M225" s="1"/>
      <c r="N225" s="1"/>
      <c r="R225" s="837"/>
      <c r="S225" s="3993"/>
      <c r="T225" s="3994"/>
      <c r="U225" s="3994"/>
      <c r="V225" s="3994"/>
      <c r="W225" s="399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89500</v>
      </c>
      <c r="G226" s="2675"/>
      <c r="H226" s="1"/>
      <c r="I226" s="1" t="s">
        <v>1569</v>
      </c>
      <c r="K226" s="1"/>
      <c r="L226" s="4072">
        <v>1800</v>
      </c>
      <c r="M226" s="4073"/>
      <c r="N226" s="1"/>
      <c r="R226" s="1"/>
      <c r="S226" s="3993"/>
      <c r="T226" s="3994"/>
      <c r="U226" s="3994"/>
      <c r="V226" s="3994"/>
      <c r="W226" s="399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4">
        <v>8000</v>
      </c>
      <c r="M227" s="4075"/>
      <c r="N227" s="2658" t="str">
        <f>IF(Q229="","",IF(Q227&lt;Q229, "WARNING! OE below required minimum.",""))</f>
        <v/>
      </c>
      <c r="O227" s="10" t="s">
        <v>2135</v>
      </c>
      <c r="P227" s="5"/>
      <c r="Q227" s="401">
        <f>F226+F235+F246+L222+L230+L239+L246+Q219</f>
        <v>232503</v>
      </c>
      <c r="R227" s="5"/>
      <c r="S227" s="3993"/>
      <c r="T227" s="3994"/>
      <c r="U227" s="3994"/>
      <c r="V227" s="3994"/>
      <c r="W227" s="399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4"/>
      <c r="M228" s="4075"/>
      <c r="N228" s="2658"/>
      <c r="O228" s="66" t="s">
        <v>2668</v>
      </c>
      <c r="P228" s="391">
        <f>+Q227/P67</f>
        <v>4650.0600000000004</v>
      </c>
      <c r="R228" s="838"/>
      <c r="S228" s="3993"/>
      <c r="T228" s="3994"/>
      <c r="U228" s="3994"/>
      <c r="V228" s="3994"/>
      <c r="W228" s="399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3">
        <v>1200</v>
      </c>
      <c r="G229" s="4064"/>
      <c r="H229" s="1"/>
      <c r="I229" s="4076" t="s">
        <v>49</v>
      </c>
      <c r="J229" s="4077"/>
      <c r="K229" s="4078"/>
      <c r="L229" s="4079"/>
      <c r="M229" s="4080"/>
      <c r="N229" s="2658"/>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162500</v>
      </c>
      <c r="R229" s="1"/>
      <c r="S229" s="3993"/>
      <c r="T229" s="3994"/>
      <c r="U229" s="3994"/>
      <c r="V229" s="3994"/>
      <c r="W229" s="399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5">
        <v>900</v>
      </c>
      <c r="G230" s="4066"/>
      <c r="H230" s="1"/>
      <c r="I230" s="10"/>
      <c r="K230" s="11" t="s">
        <v>187</v>
      </c>
      <c r="L230" s="2676">
        <f>SUM(L226:L229)</f>
        <v>9800</v>
      </c>
      <c r="M230" s="2677"/>
      <c r="N230" s="2658"/>
      <c r="R230" s="1"/>
      <c r="S230" s="3993"/>
      <c r="T230" s="3994"/>
      <c r="U230" s="3994"/>
      <c r="V230" s="3994"/>
      <c r="W230" s="399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5"/>
      <c r="G231" s="4066"/>
      <c r="H231" s="1"/>
      <c r="N231" s="1"/>
      <c r="R231" s="2390"/>
      <c r="S231" s="3993"/>
      <c r="T231" s="3994"/>
      <c r="U231" s="3994"/>
      <c r="V231" s="3994"/>
      <c r="W231" s="399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5"/>
      <c r="G232" s="4066"/>
      <c r="H232" s="1"/>
      <c r="L232" s="1"/>
      <c r="M232" s="1"/>
      <c r="N232" s="1"/>
      <c r="R232" s="2390"/>
      <c r="S232" s="3993"/>
      <c r="T232" s="3994"/>
      <c r="U232" s="3994"/>
      <c r="V232" s="3994"/>
      <c r="W232" s="399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5">
        <v>3000</v>
      </c>
      <c r="G233" s="4066"/>
      <c r="H233" s="1"/>
      <c r="I233" s="10" t="s">
        <v>1348</v>
      </c>
      <c r="K233" s="2360" t="s">
        <v>4436</v>
      </c>
      <c r="O233" s="1590" t="s">
        <v>3360</v>
      </c>
      <c r="P233" s="10"/>
      <c r="Q233" s="4081">
        <f>Q242</f>
        <v>19980</v>
      </c>
      <c r="S233" s="3993"/>
      <c r="T233" s="3994"/>
      <c r="U233" s="3994"/>
      <c r="V233" s="3994"/>
      <c r="W233" s="399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9" t="s">
        <v>49</v>
      </c>
      <c r="C234" s="4070"/>
      <c r="D234" s="4070"/>
      <c r="E234" s="4071"/>
      <c r="F234" s="4067"/>
      <c r="G234" s="4068"/>
      <c r="H234" s="1"/>
      <c r="I234" s="1" t="s">
        <v>1341</v>
      </c>
      <c r="K234" s="452">
        <f>L234/12/P67</f>
        <v>50</v>
      </c>
      <c r="L234" s="4072">
        <v>30000</v>
      </c>
      <c r="M234" s="4073"/>
      <c r="N234" s="2681" t="str">
        <f>IF(Q233&lt;Q242, "WARNING! RR proposed is below the DCA required minimum.","")</f>
        <v/>
      </c>
      <c r="O234" s="953" t="s">
        <v>4435</v>
      </c>
      <c r="P234" s="948"/>
      <c r="Q234" s="954">
        <f>Q233/P242</f>
        <v>399.6</v>
      </c>
      <c r="R234" s="837"/>
      <c r="S234" s="3993"/>
      <c r="T234" s="3994"/>
      <c r="U234" s="3994"/>
      <c r="V234" s="3994"/>
      <c r="W234" s="399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5100</v>
      </c>
      <c r="G235" s="2675"/>
      <c r="H235" s="1"/>
      <c r="I235" s="1" t="s">
        <v>1342</v>
      </c>
      <c r="K235" s="452">
        <f>L235/12/P67</f>
        <v>15</v>
      </c>
      <c r="L235" s="4074">
        <v>9000</v>
      </c>
      <c r="M235" s="4075"/>
      <c r="N235" s="2682"/>
      <c r="O235" s="2683" t="s">
        <v>3553</v>
      </c>
      <c r="P235" s="2684"/>
      <c r="Q235" s="2685"/>
      <c r="S235" s="3993"/>
      <c r="T235" s="3994"/>
      <c r="U235" s="3994"/>
      <c r="V235" s="3994"/>
      <c r="W235" s="399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25</v>
      </c>
      <c r="L236" s="4074">
        <v>15000</v>
      </c>
      <c r="M236" s="4075"/>
      <c r="N236" s="2682"/>
      <c r="O236" s="947" t="s">
        <v>2633</v>
      </c>
      <c r="P236" s="834" t="s">
        <v>3633</v>
      </c>
      <c r="Q236" s="949" t="s">
        <v>3323</v>
      </c>
      <c r="R236" s="5"/>
      <c r="S236" s="3993"/>
      <c r="T236" s="3994"/>
      <c r="U236" s="3994"/>
      <c r="V236" s="3994"/>
      <c r="W236" s="399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4">
        <v>4800</v>
      </c>
      <c r="M237" s="4075"/>
      <c r="N237" s="2682"/>
      <c r="O237" s="598" t="s">
        <v>37</v>
      </c>
      <c r="P237" s="599"/>
      <c r="Q237" s="600"/>
      <c r="R237" s="838"/>
      <c r="S237" s="3993"/>
      <c r="T237" s="3994"/>
      <c r="U237" s="3994"/>
      <c r="V237" s="3994"/>
      <c r="W237" s="399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2">
        <v>4800</v>
      </c>
      <c r="G238" s="4083"/>
      <c r="H238" s="1"/>
      <c r="I238" s="4076" t="s">
        <v>7042</v>
      </c>
      <c r="J238" s="4077"/>
      <c r="K238" s="4078"/>
      <c r="L238" s="4079">
        <v>1200</v>
      </c>
      <c r="M238" s="4080"/>
      <c r="N238" s="2682"/>
      <c r="O238" s="482" t="s">
        <v>3315</v>
      </c>
      <c r="P238" s="839" t="str">
        <f>CONCATENATE(SUM(MP48:MT48)," units x $",'DCA Underwriting Assumptions'!$Q$68," =")</f>
        <v>0 units x $350 =</v>
      </c>
      <c r="Q238" s="601">
        <f>SUM(MP48:MT48)*'DCA Underwriting Assumptions'!$Q$68</f>
        <v>0</v>
      </c>
      <c r="R238" s="4084"/>
      <c r="S238" s="3993"/>
      <c r="T238" s="3994"/>
      <c r="U238" s="3994"/>
      <c r="V238" s="3994"/>
      <c r="W238" s="399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5">
        <v>7200</v>
      </c>
      <c r="G239" s="4086"/>
      <c r="H239" s="1"/>
      <c r="I239" s="1"/>
      <c r="K239" s="11" t="s">
        <v>187</v>
      </c>
      <c r="L239" s="2676">
        <f>SUM(L234:L238)</f>
        <v>60000</v>
      </c>
      <c r="M239" s="2677"/>
      <c r="N239" s="2682"/>
      <c r="O239" s="482" t="s">
        <v>3314</v>
      </c>
      <c r="P239" s="839" t="str">
        <f>CONCATENATE(SUM(MU48:MY48)," units x $",'DCA Underwriting Assumptions'!$Q$69," =")</f>
        <v>6 units x $250 =</v>
      </c>
      <c r="Q239" s="601">
        <f>SUM(MU48:MY48)*'DCA Underwriting Assumptions'!$Q$69</f>
        <v>1500</v>
      </c>
      <c r="S239" s="3993"/>
      <c r="T239" s="3994"/>
      <c r="U239" s="3994"/>
      <c r="V239" s="3994"/>
      <c r="W239" s="399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5">
        <v>3600</v>
      </c>
      <c r="G240" s="4086"/>
      <c r="H240" s="1"/>
      <c r="K240" s="1"/>
      <c r="L240" s="1"/>
      <c r="N240" s="2682"/>
      <c r="O240" s="602" t="s">
        <v>3318</v>
      </c>
      <c r="P240" s="839" t="str">
        <f>CONCATENATE(SUM(MZ48:ND48)," units x $",'DCA Underwriting Assumptions'!$Q$70," =")</f>
        <v>0 units x $420 =</v>
      </c>
      <c r="Q240" s="601">
        <f>SUM(MZ48:ND48)*'DCA Underwriting Assumptions'!$Q$70</f>
        <v>0</v>
      </c>
      <c r="R240" s="834"/>
      <c r="S240" s="3993"/>
      <c r="T240" s="3994"/>
      <c r="U240" s="3994"/>
      <c r="V240" s="3994"/>
      <c r="W240" s="399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5">
        <v>1800</v>
      </c>
      <c r="G241" s="4066"/>
      <c r="H241" s="1"/>
      <c r="O241" s="602" t="s">
        <v>3313</v>
      </c>
      <c r="P241" s="839" t="str">
        <f>CONCATENATE(P125," units x $",'DCA Underwriting Assumptions'!$Q$70," =")</f>
        <v>44 units x $420 =</v>
      </c>
      <c r="Q241" s="601">
        <f>P125*'DCA Underwriting Assumptions'!$Q$70</f>
        <v>18480</v>
      </c>
      <c r="R241" s="599"/>
      <c r="S241" s="3993"/>
      <c r="T241" s="3994"/>
      <c r="U241" s="3994"/>
      <c r="V241" s="3994"/>
      <c r="W241" s="399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5">
        <v>2400</v>
      </c>
      <c r="G242" s="4066"/>
      <c r="H242" s="1"/>
      <c r="I242" s="10" t="s">
        <v>1349</v>
      </c>
      <c r="O242" s="950" t="s">
        <v>2636</v>
      </c>
      <c r="P242" s="951">
        <f>SUM(MP48:MT48)+SUM(MU48:MY48)+SUM(MZ48:ND48)+P125</f>
        <v>50</v>
      </c>
      <c r="Q242" s="952">
        <f>SUM(Q238:Q241)</f>
        <v>19980</v>
      </c>
      <c r="R242" s="839"/>
      <c r="S242" s="3993"/>
      <c r="T242" s="3994"/>
      <c r="U242" s="3994"/>
      <c r="V242" s="3994"/>
      <c r="W242" s="399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5">
        <v>2400</v>
      </c>
      <c r="G243" s="4066"/>
      <c r="H243" s="1"/>
      <c r="I243" s="94" t="s">
        <v>4518</v>
      </c>
      <c r="K243" s="1"/>
      <c r="L243" s="4072">
        <v>0</v>
      </c>
      <c r="M243" s="4073"/>
      <c r="R243" s="839"/>
      <c r="S243" s="3993"/>
      <c r="T243" s="3994"/>
      <c r="U243" s="3994"/>
      <c r="V243" s="3994"/>
      <c r="W243" s="399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5">
        <v>4800</v>
      </c>
      <c r="G244" s="4066"/>
      <c r="H244" s="1"/>
      <c r="I244" s="1" t="s">
        <v>143</v>
      </c>
      <c r="K244" s="1"/>
      <c r="L244" s="4074">
        <v>24000</v>
      </c>
      <c r="M244" s="4075"/>
      <c r="R244" s="839"/>
      <c r="S244" s="3993"/>
      <c r="T244" s="3994"/>
      <c r="U244" s="3994"/>
      <c r="V244" s="3994"/>
      <c r="W244" s="399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9" t="s">
        <v>49</v>
      </c>
      <c r="C245" s="4070"/>
      <c r="D245" s="4070"/>
      <c r="E245" s="4071"/>
      <c r="F245" s="4067"/>
      <c r="G245" s="4068"/>
      <c r="H245" s="1"/>
      <c r="I245" s="4076" t="s">
        <v>49</v>
      </c>
      <c r="J245" s="4077"/>
      <c r="K245" s="4078"/>
      <c r="L245" s="4087"/>
      <c r="M245" s="4088"/>
      <c r="N245" s="1"/>
      <c r="R245" s="839"/>
      <c r="S245" s="3993"/>
      <c r="T245" s="3994"/>
      <c r="U245" s="3994"/>
      <c r="V245" s="3994"/>
      <c r="W245" s="399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27000</v>
      </c>
      <c r="G246" s="2680"/>
      <c r="H246" s="1"/>
      <c r="K246" s="11" t="s">
        <v>187</v>
      </c>
      <c r="L246" s="2676">
        <f>SUM(L242:L245)</f>
        <v>24000</v>
      </c>
      <c r="M246" s="2678"/>
      <c r="N246" s="1"/>
      <c r="O246" s="10" t="s">
        <v>2136</v>
      </c>
      <c r="P246" s="1"/>
      <c r="Q246" s="401">
        <f>Q227+Q233</f>
        <v>252483</v>
      </c>
      <c r="R246" s="839"/>
      <c r="S246" s="4024"/>
      <c r="T246" s="4025"/>
      <c r="U246" s="4025"/>
      <c r="V246" s="4025"/>
      <c r="W246" s="402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89" t="s">
        <v>4423</v>
      </c>
      <c r="K250" s="4089">
        <v>0</v>
      </c>
      <c r="L250" s="4090"/>
      <c r="M250" s="1552" t="s">
        <v>4478</v>
      </c>
      <c r="N250" s="4091">
        <v>75</v>
      </c>
      <c r="O250" s="10" t="s">
        <v>4425</v>
      </c>
      <c r="P250" s="1"/>
      <c r="Q250" s="4092">
        <f>K250*N250</f>
        <v>0</v>
      </c>
      <c r="R250" s="837"/>
      <c r="S250" s="4093"/>
      <c r="T250" s="4094"/>
      <c r="U250" s="4094"/>
      <c r="V250" s="4094"/>
      <c r="W250" s="409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5" t="s">
        <v>2888</v>
      </c>
      <c r="K252" s="1489" t="s">
        <v>4481</v>
      </c>
      <c r="L252" s="3955" t="s">
        <v>2888</v>
      </c>
      <c r="M252" s="72" t="s">
        <v>4482</v>
      </c>
      <c r="N252" s="4091"/>
      <c r="O252" s="461" t="s">
        <v>4480</v>
      </c>
      <c r="P252" s="1"/>
      <c r="Q252" s="4096"/>
      <c r="R252" s="837"/>
      <c r="S252" s="4093"/>
      <c r="T252" s="4094"/>
      <c r="U252" s="4094"/>
      <c r="V252" s="4094"/>
      <c r="W252" s="409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820" t="s">
        <v>7173</v>
      </c>
      <c r="B255" s="3820"/>
      <c r="C255" s="3820"/>
      <c r="D255" s="3820"/>
      <c r="E255" s="3820"/>
      <c r="F255" s="3820"/>
      <c r="G255" s="3820"/>
      <c r="H255" s="3820"/>
      <c r="I255" s="3820"/>
      <c r="J255" s="3820"/>
      <c r="K255" s="3820"/>
      <c r="L255" s="3820"/>
      <c r="M255" s="3820"/>
      <c r="N255" s="3821"/>
      <c r="O255" s="3821"/>
      <c r="P255" s="3821"/>
      <c r="Q255" s="3821"/>
      <c r="R255" s="2686" t="s">
        <v>3789</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XAKmQPa06g18iYLeT9Ba2RXsOcTlModhJCPjQG2Xu48uz/fOyU0U+iLLEOvasy99nQDj8oAl62Xc4cxPe2Luig==" saltValue="YUyYuYK9OLgLfft9/CDXC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5" zoomScaleNormal="100" workbookViewId="0">
      <selection activeCell="A115"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2020-042 Freedom's Path at Dublin, Dublin, Laurens County</v>
      </c>
      <c r="B1" s="4097"/>
      <c r="C1" s="4097"/>
      <c r="D1" s="4097"/>
      <c r="E1" s="4097"/>
      <c r="F1" s="4097"/>
      <c r="G1" s="4097"/>
      <c r="H1" s="4097"/>
      <c r="I1" s="4097"/>
      <c r="J1" s="4097"/>
      <c r="K1" s="4098"/>
      <c r="L1" s="10"/>
      <c r="M1" s="10"/>
      <c r="N1" s="2693" t="str">
        <f>A1</f>
        <v>PART SEVEN - OPERATING PRO FORMA  -  2020-042 Freedom's Path at Dublin, Dublin, Laurens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3830</v>
      </c>
      <c r="N3" s="13" t="str">
        <f>A3</f>
        <v>I.  OPERATING ASSUMPTIONS</v>
      </c>
      <c r="O3" s="31"/>
    </row>
    <row r="4" spans="1:19" ht="2.4" customHeight="1">
      <c r="A4" s="16"/>
      <c r="B4" s="16"/>
      <c r="C4" s="2695"/>
      <c r="H4" s="16"/>
      <c r="I4" s="16"/>
    </row>
    <row r="5" spans="1:19" ht="13.5" customHeight="1">
      <c r="A5" s="16" t="s">
        <v>2137</v>
      </c>
      <c r="B5" s="77">
        <v>0.02</v>
      </c>
      <c r="C5" s="2695"/>
      <c r="D5" s="2671" t="s">
        <v>3831</v>
      </c>
      <c r="E5" s="2671"/>
      <c r="F5" s="2671"/>
      <c r="G5" s="4099">
        <v>5000</v>
      </c>
      <c r="H5" s="96" t="s">
        <v>1859</v>
      </c>
      <c r="K5" s="101">
        <f>IF(($B$14+$B$15+$B$16+$B$17)=0,"",B30/($B$14+$B$15+$B$16+$B$17))</f>
        <v>-1.4617098099087322E-2</v>
      </c>
      <c r="N5" s="4031"/>
      <c r="O5" s="4033"/>
    </row>
    <row r="6" spans="1:19">
      <c r="A6" s="16" t="s">
        <v>2138</v>
      </c>
      <c r="B6" s="77">
        <v>0.03</v>
      </c>
      <c r="C6" s="2695"/>
      <c r="D6" s="2671"/>
      <c r="E6" s="2671"/>
      <c r="F6" s="2671"/>
      <c r="G6" s="1141">
        <f>IF(OR('Part III-Sources of Funds'!E5="Yes",'Part III-Sources of Funds'!H5&gt;0),'DCA Underwriting Assumptions'!$Q$100,0)</f>
        <v>0</v>
      </c>
      <c r="H6" s="16"/>
      <c r="I6" s="16"/>
      <c r="J6" s="16"/>
      <c r="K6" s="16"/>
      <c r="N6" s="3993"/>
      <c r="O6" s="3995"/>
    </row>
    <row r="7" spans="1:19">
      <c r="A7" s="16" t="s">
        <v>2140</v>
      </c>
      <c r="B7" s="77">
        <v>0.03</v>
      </c>
      <c r="C7" s="2695"/>
      <c r="D7" s="79" t="s">
        <v>265</v>
      </c>
      <c r="G7" s="81"/>
      <c r="H7" s="96" t="s">
        <v>2313</v>
      </c>
      <c r="K7" s="101">
        <f>IF(($B$14+$B$15+$B$16+$B$17)=0,"",-B21/($B$14+$B$15+$B$16+$B$17))</f>
        <v>4.9999245757738092E-2</v>
      </c>
      <c r="N7" s="3993"/>
      <c r="O7" s="3995"/>
    </row>
    <row r="8" spans="1:19" ht="13.35" customHeight="1">
      <c r="A8" s="16" t="s">
        <v>2139</v>
      </c>
      <c r="B8" s="4100">
        <v>7.0000000000000007E-2</v>
      </c>
      <c r="C8" s="1480" t="str">
        <f>IF(B8&lt;0.07, "Must be &gt;= 7%!","")</f>
        <v/>
      </c>
      <c r="D8" s="78" t="s">
        <v>2442</v>
      </c>
      <c r="G8" s="4101" t="s">
        <v>2888</v>
      </c>
      <c r="H8" s="163" t="s">
        <v>1416</v>
      </c>
      <c r="K8" s="4102"/>
      <c r="N8" s="3993"/>
      <c r="O8" s="3995"/>
    </row>
    <row r="9" spans="1:19">
      <c r="A9" s="16" t="s">
        <v>1390</v>
      </c>
      <c r="B9" s="77">
        <v>0.02</v>
      </c>
      <c r="D9" s="78" t="s">
        <v>1676</v>
      </c>
      <c r="G9" s="4103" t="s">
        <v>2885</v>
      </c>
      <c r="H9" s="163" t="s">
        <v>2295</v>
      </c>
      <c r="K9" s="4104">
        <v>0.05</v>
      </c>
      <c r="N9" s="4024"/>
      <c r="O9" s="4026"/>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360600</v>
      </c>
      <c r="C14" s="19">
        <f t="shared" ref="C14:K14" si="1">$B$14*(1+$B$5)^(C13-1)</f>
        <v>367812</v>
      </c>
      <c r="D14" s="19">
        <f t="shared" si="1"/>
        <v>375168.24</v>
      </c>
      <c r="E14" s="19">
        <f t="shared" si="1"/>
        <v>382671.60479999997</v>
      </c>
      <c r="F14" s="19">
        <f t="shared" si="1"/>
        <v>390325.03689599998</v>
      </c>
      <c r="G14" s="19">
        <f t="shared" si="1"/>
        <v>398131.53763392003</v>
      </c>
      <c r="H14" s="19">
        <f t="shared" si="1"/>
        <v>406094.16838659841</v>
      </c>
      <c r="I14" s="19">
        <f t="shared" si="1"/>
        <v>414216.05175433028</v>
      </c>
      <c r="J14" s="19">
        <f t="shared" si="1"/>
        <v>422500.37278941693</v>
      </c>
      <c r="K14" s="20">
        <f t="shared" si="1"/>
        <v>430950.38024520531</v>
      </c>
      <c r="N14" s="4031"/>
      <c r="O14" s="4033"/>
      <c r="S14" s="2688" t="s">
        <v>3836</v>
      </c>
    </row>
    <row r="15" spans="1:19" ht="13.35" customHeight="1">
      <c r="A15" s="21" t="s">
        <v>994</v>
      </c>
      <c r="B15" s="22">
        <f>MIN(B14*B9,'Part VI-Revenues &amp; Expenses'!$H$178)</f>
        <v>7212</v>
      </c>
      <c r="C15" s="22">
        <f t="shared" ref="C15:K15" si="2">$B$15*(1+$B$5)^(C13-1)</f>
        <v>7356.24</v>
      </c>
      <c r="D15" s="22">
        <f t="shared" si="2"/>
        <v>7503.3648000000003</v>
      </c>
      <c r="E15" s="22">
        <f t="shared" si="2"/>
        <v>7653.4320959999995</v>
      </c>
      <c r="F15" s="22">
        <f t="shared" si="2"/>
        <v>7806.5007379199997</v>
      </c>
      <c r="G15" s="22">
        <f t="shared" si="2"/>
        <v>7962.6307526784003</v>
      </c>
      <c r="H15" s="22">
        <f t="shared" si="2"/>
        <v>8121.8833677319681</v>
      </c>
      <c r="I15" s="22">
        <f t="shared" si="2"/>
        <v>8284.3210350866066</v>
      </c>
      <c r="J15" s="22">
        <f t="shared" si="2"/>
        <v>8450.0074557883381</v>
      </c>
      <c r="K15" s="23">
        <f t="shared" si="2"/>
        <v>8619.0076049041054</v>
      </c>
      <c r="N15" s="3993"/>
      <c r="O15" s="3995"/>
      <c r="S15" s="2689"/>
    </row>
    <row r="16" spans="1:19" ht="13.35" customHeight="1">
      <c r="A16" s="21" t="s">
        <v>2342</v>
      </c>
      <c r="B16" s="22">
        <f t="shared" ref="B16:K16" si="3">-(B14+B15)*$B$8</f>
        <v>-25746.840000000004</v>
      </c>
      <c r="C16" s="22">
        <f t="shared" si="3"/>
        <v>-26261.776800000003</v>
      </c>
      <c r="D16" s="22">
        <f t="shared" si="3"/>
        <v>-26787.012336</v>
      </c>
      <c r="E16" s="22">
        <f t="shared" si="3"/>
        <v>-27322.752582720001</v>
      </c>
      <c r="F16" s="22">
        <f t="shared" si="3"/>
        <v>-27869.207634374401</v>
      </c>
      <c r="G16" s="22">
        <f t="shared" si="3"/>
        <v>-28426.59178706189</v>
      </c>
      <c r="H16" s="22">
        <f t="shared" si="3"/>
        <v>-28995.12362280313</v>
      </c>
      <c r="I16" s="22">
        <f t="shared" si="3"/>
        <v>-29575.026095259185</v>
      </c>
      <c r="J16" s="22">
        <f t="shared" si="3"/>
        <v>-30166.526617164371</v>
      </c>
      <c r="K16" s="23">
        <f t="shared" si="3"/>
        <v>-30769.857149507661</v>
      </c>
      <c r="N16" s="3993"/>
      <c r="O16" s="3995"/>
      <c r="Q16" s="2691" t="s">
        <v>3659</v>
      </c>
      <c r="R16" s="2691" t="s">
        <v>3835</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3"/>
      <c r="O17" s="399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3"/>
      <c r="O18" s="3995"/>
    </row>
    <row r="19" spans="1:19" ht="13.35" customHeight="1">
      <c r="A19" s="417" t="s">
        <v>4377</v>
      </c>
      <c r="B19" s="22">
        <f>SUM(B14:B18)</f>
        <v>342065.16</v>
      </c>
      <c r="C19" s="22">
        <f t="shared" ref="C19:K19" si="4">SUM(C14:C18)</f>
        <v>348906.4632</v>
      </c>
      <c r="D19" s="22">
        <f t="shared" si="4"/>
        <v>355884.59246399999</v>
      </c>
      <c r="E19" s="22">
        <f t="shared" si="4"/>
        <v>363002.28431327996</v>
      </c>
      <c r="F19" s="22">
        <f t="shared" si="4"/>
        <v>370262.32999954559</v>
      </c>
      <c r="G19" s="22">
        <f t="shared" si="4"/>
        <v>377667.57659953652</v>
      </c>
      <c r="H19" s="22">
        <f t="shared" si="4"/>
        <v>385220.92813152727</v>
      </c>
      <c r="I19" s="22">
        <f t="shared" si="4"/>
        <v>392925.34669415769</v>
      </c>
      <c r="J19" s="22">
        <f t="shared" si="4"/>
        <v>400783.85362804087</v>
      </c>
      <c r="K19" s="23">
        <f t="shared" si="4"/>
        <v>408799.53070060175</v>
      </c>
      <c r="N19" s="3993"/>
      <c r="O19" s="3995"/>
    </row>
    <row r="20" spans="1:19" ht="13.35" customHeight="1">
      <c r="A20" s="21" t="s">
        <v>597</v>
      </c>
      <c r="B20" s="22">
        <f>-('Part VI-Revenues &amp; Expenses'!$Q$227-'Part VI-Revenues &amp; Expenses'!$Q$219)</f>
        <v>-215400</v>
      </c>
      <c r="C20" s="22">
        <f t="shared" ref="C20:K20" si="5">$B$20*(1+$B$6)^(C13-1)</f>
        <v>-221862</v>
      </c>
      <c r="D20" s="22">
        <f t="shared" si="5"/>
        <v>-228517.86</v>
      </c>
      <c r="E20" s="22">
        <f t="shared" si="5"/>
        <v>-235373.3958</v>
      </c>
      <c r="F20" s="22">
        <f t="shared" si="5"/>
        <v>-242434.59767399999</v>
      </c>
      <c r="G20" s="22">
        <f t="shared" si="5"/>
        <v>-249707.63560421998</v>
      </c>
      <c r="H20" s="22">
        <f t="shared" si="5"/>
        <v>-257198.86467234659</v>
      </c>
      <c r="I20" s="22">
        <f t="shared" si="5"/>
        <v>-264914.83061251702</v>
      </c>
      <c r="J20" s="22">
        <f t="shared" si="5"/>
        <v>-272862.27553089248</v>
      </c>
      <c r="K20" s="23">
        <f t="shared" si="5"/>
        <v>-281048.14379681926</v>
      </c>
      <c r="N20" s="3993"/>
      <c r="O20" s="3995"/>
      <c r="Q20" s="62">
        <v>1</v>
      </c>
      <c r="R20" s="1043">
        <f>-B31</f>
        <v>41755.825473173281</v>
      </c>
      <c r="S20" s="1043">
        <f>B32+R20</f>
        <v>84582.159999999974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-17103</v>
      </c>
      <c r="C21" s="22">
        <f>IF(AND('Part VII-Pro Forma'!$G$8="Yes",'Part VII-Pro Forma'!$G$9="Yes"),"Choose One!",IF('Part VII-Pro Forma'!$G$8="Yes",ROUND((-$K$8*(1+'Part VII-Pro Forma'!$B$6)^('Part VII-Pro Forma'!C13-1)),),IF('Part VII-Pro Forma'!$G$9="Yes",ROUND((-(SUM(C14:C17)*'Part VII-Pro Forma'!$K$9)),),"Choose mgt fee")))</f>
        <v>-17445</v>
      </c>
      <c r="D21" s="22">
        <f>IF(AND('Part VII-Pro Forma'!$G$8="Yes",'Part VII-Pro Forma'!$G$9="Yes"),"Choose One!",IF('Part VII-Pro Forma'!$G$8="Yes",ROUND((-$K$8*(1+'Part VII-Pro Forma'!$B$6)^('Part VII-Pro Forma'!D13-1)),),IF('Part VII-Pro Forma'!$G$9="Yes",ROUND((-(SUM(D14:D17)*'Part VII-Pro Forma'!$K$9)),),"Choose mgt fee")))</f>
        <v>-17794</v>
      </c>
      <c r="E21" s="22">
        <f>IF(AND('Part VII-Pro Forma'!$G$8="Yes",'Part VII-Pro Forma'!$G$9="Yes"),"Choose One!",IF('Part VII-Pro Forma'!$G$8="Yes",ROUND((-$K$8*(1+'Part VII-Pro Forma'!$B$6)^('Part VII-Pro Forma'!E13-1)),),IF('Part VII-Pro Forma'!$G$9="Yes",ROUND((-(SUM(E14:E17)*'Part VII-Pro Forma'!$K$9)),),"Choose mgt fee")))</f>
        <v>-18150</v>
      </c>
      <c r="F21" s="22">
        <f>IF(AND('Part VII-Pro Forma'!$G$8="Yes",'Part VII-Pro Forma'!$G$9="Yes"),"Choose One!",IF('Part VII-Pro Forma'!$G$8="Yes",ROUND((-$K$8*(1+'Part VII-Pro Forma'!$B$6)^('Part VII-Pro Forma'!F13-1)),),IF('Part VII-Pro Forma'!$G$9="Yes",ROUND((-(SUM(F14:F17)*'Part VII-Pro Forma'!$K$9)),),"Choose mgt fee")))</f>
        <v>-18513</v>
      </c>
      <c r="G21" s="22">
        <f>IF(AND('Part VII-Pro Forma'!$G$8="Yes",'Part VII-Pro Forma'!$G$9="Yes"),"Choose One!",IF('Part VII-Pro Forma'!$G$8="Yes",ROUND((-$K$8*(1+'Part VII-Pro Forma'!$B$6)^('Part VII-Pro Forma'!G13-1)),),IF('Part VII-Pro Forma'!$G$9="Yes",ROUND((-(SUM(G14:G17)*'Part VII-Pro Forma'!$K$9)),),"Choose mgt fee")))</f>
        <v>-18883</v>
      </c>
      <c r="H21" s="22">
        <f>IF(AND('Part VII-Pro Forma'!$G$8="Yes",'Part VII-Pro Forma'!$G$9="Yes"),"Choose One!",IF('Part VII-Pro Forma'!$G$8="Yes",ROUND((-$K$8*(1+'Part VII-Pro Forma'!$B$6)^('Part VII-Pro Forma'!H13-1)),),IF('Part VII-Pro Forma'!$G$9="Yes",ROUND((-(SUM(H14:H17)*'Part VII-Pro Forma'!$K$9)),),"Choose mgt fee")))</f>
        <v>-19261</v>
      </c>
      <c r="I21" s="22">
        <f>IF(AND('Part VII-Pro Forma'!$G$8="Yes",'Part VII-Pro Forma'!$G$9="Yes"),"Choose One!",IF('Part VII-Pro Forma'!$G$8="Yes",ROUND((-$K$8*(1+'Part VII-Pro Forma'!$B$6)^('Part VII-Pro Forma'!I13-1)),),IF('Part VII-Pro Forma'!$G$9="Yes",ROUND((-(SUM(I14:I17)*'Part VII-Pro Forma'!$K$9)),),"Choose mgt fee")))</f>
        <v>-19646</v>
      </c>
      <c r="J21" s="22">
        <f>IF(AND('Part VII-Pro Forma'!$G$8="Yes",'Part VII-Pro Forma'!$G$9="Yes"),"Choose One!",IF('Part VII-Pro Forma'!$G$8="Yes",ROUND((-$K$8*(1+'Part VII-Pro Forma'!$B$6)^('Part VII-Pro Forma'!J13-1)),),IF('Part VII-Pro Forma'!$G$9="Yes",ROUND((-(SUM(J14:J17)*'Part VII-Pro Forma'!$K$9)),),"Choose mgt fee")))</f>
        <v>-20039</v>
      </c>
      <c r="K21" s="23">
        <f>IF(AND('Part VII-Pro Forma'!$G$8="Yes",'Part VII-Pro Forma'!$G$9="Yes"),"Choose One!",IF('Part VII-Pro Forma'!$G$8="Yes",ROUND((-$K$8*(1+'Part VII-Pro Forma'!$B$6)^('Part VII-Pro Forma'!K13-1)),),IF('Part VII-Pro Forma'!$G$9="Yes",ROUND((-(SUM(K14:K17)*'Part VII-Pro Forma'!$K$9)),),"Choose mgt fee")))</f>
        <v>-20440</v>
      </c>
      <c r="N21" s="3993"/>
      <c r="O21" s="3995"/>
      <c r="Q21" s="62">
        <v>2</v>
      </c>
      <c r="R21" s="1043">
        <f>-SUM(B31:C31)</f>
        <v>83511.650946346563</v>
      </c>
      <c r="S21" s="1043">
        <f>SUM(B32:C32)+R21</f>
        <v>168452.22319999998</v>
      </c>
    </row>
    <row r="22" spans="1:19" ht="13.35" customHeight="1">
      <c r="A22" s="21" t="s">
        <v>1176</v>
      </c>
      <c r="B22" s="22">
        <f>-('Part VI-Revenues &amp; Expenses'!$Q$233)</f>
        <v>-19980</v>
      </c>
      <c r="C22" s="22">
        <f t="shared" ref="C22:K22" si="6">$B$22*(1+$B$7)^(C13-1)</f>
        <v>-20579.400000000001</v>
      </c>
      <c r="D22" s="22">
        <f t="shared" si="6"/>
        <v>-21196.781999999999</v>
      </c>
      <c r="E22" s="22">
        <f t="shared" si="6"/>
        <v>-21832.685460000001</v>
      </c>
      <c r="F22" s="22">
        <f t="shared" si="6"/>
        <v>-22487.666023799997</v>
      </c>
      <c r="G22" s="22">
        <f t="shared" si="6"/>
        <v>-23162.296004513995</v>
      </c>
      <c r="H22" s="22">
        <f t="shared" si="6"/>
        <v>-23857.164884649417</v>
      </c>
      <c r="I22" s="22">
        <f t="shared" si="6"/>
        <v>-24572.879831188904</v>
      </c>
      <c r="J22" s="22">
        <f t="shared" si="6"/>
        <v>-25310.066226124567</v>
      </c>
      <c r="K22" s="23">
        <f t="shared" si="6"/>
        <v>-26069.368212908303</v>
      </c>
      <c r="N22" s="3993"/>
      <c r="O22" s="3995"/>
      <c r="Q22" s="62">
        <v>3</v>
      </c>
      <c r="R22" s="1043">
        <f>-SUM(B31:D31)</f>
        <v>83511.650946346563</v>
      </c>
      <c r="S22" s="1043">
        <f>SUM(B32:D32)+R22</f>
        <v>251523.673664</v>
      </c>
    </row>
    <row r="23" spans="1:19" ht="13.35" customHeight="1">
      <c r="A23" s="417" t="s">
        <v>4376</v>
      </c>
      <c r="B23" s="4105">
        <f>IF(B13&lt;=+'Part VI-Revenues &amp; Expenses'!$N$250,-'Part VI-Revenues &amp; Expenses'!$K$250,0)</f>
        <v>0</v>
      </c>
      <c r="C23" s="4105">
        <f>IF(C13&lt;=+'Part VI-Revenues &amp; Expenses'!$N$250,-'Part VI-Revenues &amp; Expenses'!$K$250,0)</f>
        <v>0</v>
      </c>
      <c r="D23" s="4105">
        <f>IF(D13&lt;=+'Part VI-Revenues &amp; Expenses'!$N$250,-'Part VI-Revenues &amp; Expenses'!$K$250,0)</f>
        <v>0</v>
      </c>
      <c r="E23" s="4105">
        <f>IF(E13&lt;=+'Part VI-Revenues &amp; Expenses'!$N$250,-'Part VI-Revenues &amp; Expenses'!$K$250,0)</f>
        <v>0</v>
      </c>
      <c r="F23" s="4105">
        <f>IF(F13&lt;=+'Part VI-Revenues &amp; Expenses'!$N$250,-'Part VI-Revenues &amp; Expenses'!$K$250,0)</f>
        <v>0</v>
      </c>
      <c r="G23" s="4105">
        <f>IF(G13&lt;=+'Part VI-Revenues &amp; Expenses'!$N$250,-'Part VI-Revenues &amp; Expenses'!$K$250,0)</f>
        <v>0</v>
      </c>
      <c r="H23" s="4105">
        <f>IF(H13&lt;=+'Part VI-Revenues &amp; Expenses'!$N$250,-'Part VI-Revenues &amp; Expenses'!$K$250,0)</f>
        <v>0</v>
      </c>
      <c r="I23" s="4105">
        <f>IF(I13&lt;=+'Part VI-Revenues &amp; Expenses'!$N$250,-'Part VI-Revenues &amp; Expenses'!$K$250,0)</f>
        <v>0</v>
      </c>
      <c r="J23" s="4105">
        <f>IF(J13&lt;=+'Part VI-Revenues &amp; Expenses'!$N$250,-'Part VI-Revenues &amp; Expenses'!$K$250,0)</f>
        <v>0</v>
      </c>
      <c r="K23" s="4105">
        <f>IF(K13&lt;=+'Part VI-Revenues &amp; Expenses'!$N$250,-'Part VI-Revenues &amp; Expenses'!$K$250,0)</f>
        <v>0</v>
      </c>
      <c r="N23" s="3993"/>
      <c r="O23" s="3995"/>
      <c r="Q23" s="929">
        <v>4</v>
      </c>
      <c r="R23" s="1043">
        <f>-SUM(B31:E31)</f>
        <v>83511.650946346563</v>
      </c>
      <c r="S23" s="1043">
        <f>SUM(B32:E32)+R23</f>
        <v>333706.24171727995</v>
      </c>
    </row>
    <row r="24" spans="1:19" ht="13.35" customHeight="1">
      <c r="A24" s="21" t="s">
        <v>1177</v>
      </c>
      <c r="B24" s="22">
        <f>SUM(B19:B23)</f>
        <v>89582.159999999974</v>
      </c>
      <c r="C24" s="22">
        <f t="shared" ref="C24:J24" si="7">SUM(C19:C23)</f>
        <v>89020.063200000004</v>
      </c>
      <c r="D24" s="22">
        <f t="shared" si="7"/>
        <v>88375.950463999994</v>
      </c>
      <c r="E24" s="22">
        <f t="shared" si="7"/>
        <v>87646.203053279954</v>
      </c>
      <c r="F24" s="22">
        <f t="shared" si="7"/>
        <v>86827.066301745595</v>
      </c>
      <c r="G24" s="22">
        <f t="shared" si="7"/>
        <v>85914.644990802553</v>
      </c>
      <c r="H24" s="22">
        <f t="shared" si="7"/>
        <v>84903.898574531253</v>
      </c>
      <c r="I24" s="22">
        <f t="shared" si="7"/>
        <v>83791.63625045176</v>
      </c>
      <c r="J24" s="22">
        <f t="shared" si="7"/>
        <v>82572.511871023831</v>
      </c>
      <c r="K24" s="1482">
        <f>SUM(K19:K23)</f>
        <v>81242.018690874189</v>
      </c>
      <c r="N24" s="3993"/>
      <c r="O24" s="3995"/>
      <c r="Q24" s="929">
        <v>5</v>
      </c>
      <c r="R24" s="1043">
        <f>-SUM(B31:F31)</f>
        <v>83511.650946346563</v>
      </c>
      <c r="S24" s="1043">
        <f>SUM(B32:F32)+R24</f>
        <v>414905.76396902557</v>
      </c>
    </row>
    <row r="25" spans="1:19" ht="13.35" customHeight="1">
      <c r="A25" s="417" t="s">
        <v>1558</v>
      </c>
      <c r="B25" s="4106">
        <f>IF('Part III-Sources of Funds'!$P$38="", 0,-'Part III-Sources of Funds'!$P$38)</f>
        <v>0</v>
      </c>
      <c r="C25" s="4106">
        <f>IF('Part III-Sources of Funds'!$P$38="", 0,-'Part III-Sources of Funds'!$P$38)</f>
        <v>0</v>
      </c>
      <c r="D25" s="4106">
        <f>IF('Part III-Sources of Funds'!$P$38="", 0,-'Part III-Sources of Funds'!$P$38)</f>
        <v>0</v>
      </c>
      <c r="E25" s="4106">
        <f>IF('Part III-Sources of Funds'!$P$38="", 0,-'Part III-Sources of Funds'!$P$38)</f>
        <v>0</v>
      </c>
      <c r="F25" s="4106">
        <f>IF('Part III-Sources of Funds'!$P$38="", 0,-'Part III-Sources of Funds'!$P$38)</f>
        <v>0</v>
      </c>
      <c r="G25" s="4106">
        <f>IF('Part III-Sources of Funds'!$P$38="", 0,-'Part III-Sources of Funds'!$P$38)</f>
        <v>0</v>
      </c>
      <c r="H25" s="4106">
        <f>IF('Part III-Sources of Funds'!$P$38="", 0,-'Part III-Sources of Funds'!$P$38)</f>
        <v>0</v>
      </c>
      <c r="I25" s="4106">
        <f>IF('Part III-Sources of Funds'!$P$38="", 0,-'Part III-Sources of Funds'!$P$38)</f>
        <v>0</v>
      </c>
      <c r="J25" s="4106">
        <f>IF('Part III-Sources of Funds'!$P$38="", 0,-'Part III-Sources of Funds'!$P$38)</f>
        <v>0</v>
      </c>
      <c r="K25" s="4106">
        <f>IF('Part III-Sources of Funds'!$P$38="", 0,-'Part III-Sources of Funds'!$P$38)</f>
        <v>0</v>
      </c>
      <c r="N25" s="3993"/>
      <c r="O25" s="3995"/>
      <c r="Q25" s="929">
        <v>6</v>
      </c>
      <c r="R25" s="1043">
        <f>-SUM(B31:G31)</f>
        <v>83511.650946346563</v>
      </c>
      <c r="S25" s="1043">
        <f>SUM(B32:G32)+R25</f>
        <v>495024.03858832811</v>
      </c>
    </row>
    <row r="26" spans="1:19" ht="13.35" customHeight="1">
      <c r="A26" s="417" t="s">
        <v>1559</v>
      </c>
      <c r="B26" s="4107">
        <f>IF('Part III-Sources of Funds'!$P$39="", 0,-'Part III-Sources of Funds'!$P$39)</f>
        <v>0</v>
      </c>
      <c r="C26" s="4107">
        <f>IF('Part III-Sources of Funds'!$P$39="", 0,-'Part III-Sources of Funds'!$P$39)</f>
        <v>0</v>
      </c>
      <c r="D26" s="4107">
        <f>IF('Part III-Sources of Funds'!$P$39="", 0,-'Part III-Sources of Funds'!$P$39)</f>
        <v>0</v>
      </c>
      <c r="E26" s="4107">
        <f>IF('Part III-Sources of Funds'!$P$39="", 0,-'Part III-Sources of Funds'!$P$39)</f>
        <v>0</v>
      </c>
      <c r="F26" s="4107">
        <f>IF('Part III-Sources of Funds'!$P$39="", 0,-'Part III-Sources of Funds'!$P$39)</f>
        <v>0</v>
      </c>
      <c r="G26" s="4107">
        <f>IF('Part III-Sources of Funds'!$P$39="", 0,-'Part III-Sources of Funds'!$P$39)</f>
        <v>0</v>
      </c>
      <c r="H26" s="4107">
        <f>IF('Part III-Sources of Funds'!$P$39="", 0,-'Part III-Sources of Funds'!$P$39)</f>
        <v>0</v>
      </c>
      <c r="I26" s="4107">
        <f>IF('Part III-Sources of Funds'!$P$39="", 0,-'Part III-Sources of Funds'!$P$39)</f>
        <v>0</v>
      </c>
      <c r="J26" s="4107">
        <f>IF('Part III-Sources of Funds'!$P$39="", 0,-'Part III-Sources of Funds'!$P$39)</f>
        <v>0</v>
      </c>
      <c r="K26" s="4107">
        <f>IF('Part III-Sources of Funds'!$P$39="", 0,-'Part III-Sources of Funds'!$P$39)</f>
        <v>0</v>
      </c>
      <c r="N26" s="3993"/>
      <c r="O26" s="3995"/>
      <c r="Q26" s="929">
        <v>7</v>
      </c>
      <c r="R26" s="1043">
        <f>-SUM(B31:H31)</f>
        <v>83511.650946346563</v>
      </c>
      <c r="S26" s="1043">
        <f>SUM(B32:H32)+R26</f>
        <v>573957.67568021431</v>
      </c>
    </row>
    <row r="27" spans="1:19" ht="13.35" customHeight="1">
      <c r="A27" s="417" t="s">
        <v>1560</v>
      </c>
      <c r="B27" s="4107">
        <f>IF('Part III-Sources of Funds'!$P$40="", 0,-'Part III-Sources of Funds'!$P$40)</f>
        <v>0</v>
      </c>
      <c r="C27" s="4107">
        <f>IF('Part III-Sources of Funds'!$P$40="", 0,-'Part III-Sources of Funds'!$P$40)</f>
        <v>0</v>
      </c>
      <c r="D27" s="4107">
        <f>IF('Part III-Sources of Funds'!$P$40="", 0,-'Part III-Sources of Funds'!$P$40)</f>
        <v>0</v>
      </c>
      <c r="E27" s="4107">
        <f>IF('Part III-Sources of Funds'!$P$40="", 0,-'Part III-Sources of Funds'!$P$40)</f>
        <v>0</v>
      </c>
      <c r="F27" s="4107">
        <f>IF('Part III-Sources of Funds'!$P$40="", 0,-'Part III-Sources of Funds'!$P$40)</f>
        <v>0</v>
      </c>
      <c r="G27" s="4107">
        <f>IF('Part III-Sources of Funds'!$P$40="", 0,-'Part III-Sources of Funds'!$P$40)</f>
        <v>0</v>
      </c>
      <c r="H27" s="4107">
        <f>IF('Part III-Sources of Funds'!$P$40="", 0,-'Part III-Sources of Funds'!$P$40)</f>
        <v>0</v>
      </c>
      <c r="I27" s="4107">
        <f>IF('Part III-Sources of Funds'!$P$40="", 0,-'Part III-Sources of Funds'!$P$40)</f>
        <v>0</v>
      </c>
      <c r="J27" s="4107">
        <f>IF('Part III-Sources of Funds'!$P$40="", 0,-'Part III-Sources of Funds'!$P$40)</f>
        <v>0</v>
      </c>
      <c r="K27" s="4107">
        <f>IF('Part III-Sources of Funds'!$P$40="", 0,-'Part III-Sources of Funds'!$P$40)</f>
        <v>0</v>
      </c>
      <c r="N27" s="3993"/>
      <c r="O27" s="3995"/>
      <c r="Q27" s="929">
        <v>8</v>
      </c>
      <c r="R27" s="1043">
        <f>-SUM(B31:I31)</f>
        <v>83511.650946346563</v>
      </c>
      <c r="S27" s="1043">
        <f>SUM(B32:I32)+R27</f>
        <v>651599.94260354177</v>
      </c>
    </row>
    <row r="28" spans="1:19" ht="13.35" customHeight="1">
      <c r="A28" s="417" t="s">
        <v>3634</v>
      </c>
      <c r="B28" s="4107">
        <f>IF('Part III-Sources of Funds'!$P$41="", 0,-'Part III-Sources of Funds'!$P$41)</f>
        <v>0</v>
      </c>
      <c r="C28" s="4107">
        <f>IF('Part III-Sources of Funds'!$P$41="", 0,-'Part III-Sources of Funds'!$P$41)</f>
        <v>0</v>
      </c>
      <c r="D28" s="4107">
        <f>IF('Part III-Sources of Funds'!$P$41="", 0,-'Part III-Sources of Funds'!$P$41)</f>
        <v>0</v>
      </c>
      <c r="E28" s="4107">
        <f>IF('Part III-Sources of Funds'!$P$41="", 0,-'Part III-Sources of Funds'!$P$41)</f>
        <v>0</v>
      </c>
      <c r="F28" s="4107">
        <f>IF('Part III-Sources of Funds'!$P$41="", 0,-'Part III-Sources of Funds'!$P$41)</f>
        <v>0</v>
      </c>
      <c r="G28" s="4107">
        <f>IF('Part III-Sources of Funds'!$P$41="", 0,-'Part III-Sources of Funds'!$P$41)</f>
        <v>0</v>
      </c>
      <c r="H28" s="4107">
        <f>IF('Part III-Sources of Funds'!$P$41="", 0,-'Part III-Sources of Funds'!$P$41)</f>
        <v>0</v>
      </c>
      <c r="I28" s="4107">
        <f>IF('Part III-Sources of Funds'!$P$41="", 0,-'Part III-Sources of Funds'!$P$41)</f>
        <v>0</v>
      </c>
      <c r="J28" s="4107">
        <f>IF('Part III-Sources of Funds'!$P$41="", 0,-'Part III-Sources of Funds'!$P$41)</f>
        <v>0</v>
      </c>
      <c r="K28" s="4107">
        <f>IF('Part III-Sources of Funds'!$P$41="", 0,-'Part III-Sources of Funds'!$P$41)</f>
        <v>0</v>
      </c>
      <c r="N28" s="3993"/>
      <c r="O28" s="3995"/>
      <c r="Q28" s="929">
        <v>9</v>
      </c>
      <c r="R28" s="1043">
        <f>-SUM(B31:J31)</f>
        <v>83511.650946346563</v>
      </c>
      <c r="S28" s="1043">
        <f>SUM(B32:J32)+R28</f>
        <v>727838.60406762757</v>
      </c>
    </row>
    <row r="29" spans="1:19" ht="13.35" customHeight="1">
      <c r="A29" s="21" t="s">
        <v>745</v>
      </c>
      <c r="B29" s="4108"/>
      <c r="C29" s="4108"/>
      <c r="D29" s="4108"/>
      <c r="E29" s="4108"/>
      <c r="F29" s="4108"/>
      <c r="G29" s="4108"/>
      <c r="H29" s="4108"/>
      <c r="I29" s="4108"/>
      <c r="J29" s="4108"/>
      <c r="K29" s="4108"/>
      <c r="N29" s="3993"/>
      <c r="O29" s="3995"/>
      <c r="Q29" s="929">
        <v>10</v>
      </c>
      <c r="R29" s="1043">
        <f>-SUM(B31:K31)</f>
        <v>83511.650946346563</v>
      </c>
      <c r="S29" s="1043">
        <f>SUM(B32:K32)+R29</f>
        <v>802556.75683935557</v>
      </c>
    </row>
    <row r="30" spans="1:19" ht="13.35" customHeight="1">
      <c r="A30" s="417" t="s">
        <v>1141</v>
      </c>
      <c r="B30" s="4109">
        <f>-$G$5</f>
        <v>-5000</v>
      </c>
      <c r="C30" s="4109">
        <f>1.03*B30</f>
        <v>-5150</v>
      </c>
      <c r="D30" s="4109">
        <f t="shared" ref="D30:K30" si="8">1.03*C30</f>
        <v>-5304.5</v>
      </c>
      <c r="E30" s="4109">
        <f t="shared" si="8"/>
        <v>-5463.6350000000002</v>
      </c>
      <c r="F30" s="4109">
        <f t="shared" si="8"/>
        <v>-5627.5440500000004</v>
      </c>
      <c r="G30" s="4109">
        <f t="shared" si="8"/>
        <v>-5796.3703715000001</v>
      </c>
      <c r="H30" s="4109">
        <f t="shared" si="8"/>
        <v>-5970.2614826449999</v>
      </c>
      <c r="I30" s="4109">
        <f t="shared" si="8"/>
        <v>-6149.3693271243501</v>
      </c>
      <c r="J30" s="4109">
        <f t="shared" si="8"/>
        <v>-6333.8504069380806</v>
      </c>
      <c r="K30" s="4109">
        <f t="shared" si="8"/>
        <v>-6523.865919146223</v>
      </c>
      <c r="N30" s="3993"/>
      <c r="O30" s="3995"/>
      <c r="Q30" s="929">
        <v>11</v>
      </c>
      <c r="R30" s="1043">
        <f>-SUM(B31:K31)-B63</f>
        <v>83511.650946346563</v>
      </c>
      <c r="S30" s="1043">
        <f>SUM(B32:K32)+B64+R30</f>
        <v>875632.65888722939</v>
      </c>
    </row>
    <row r="31" spans="1:19" ht="13.35" customHeight="1">
      <c r="A31" s="417" t="s">
        <v>3770</v>
      </c>
      <c r="B31" s="4110">
        <f>IF('Part III-Sources of Funds'!$P$43="", 0,-'Part III-Sources of Funds'!$P$43)</f>
        <v>-41755.825473173281</v>
      </c>
      <c r="C31" s="4110">
        <f>IF('Part III-Sources of Funds'!$P$43="", 0,-'Part III-Sources of Funds'!$P$43)</f>
        <v>-41755.825473173281</v>
      </c>
      <c r="D31" s="4110">
        <v>0</v>
      </c>
      <c r="E31" s="4110">
        <v>0</v>
      </c>
      <c r="F31" s="4110">
        <v>0</v>
      </c>
      <c r="G31" s="4110">
        <v>0</v>
      </c>
      <c r="H31" s="4110">
        <v>0</v>
      </c>
      <c r="I31" s="4110">
        <v>0</v>
      </c>
      <c r="J31" s="4110">
        <v>0</v>
      </c>
      <c r="K31" s="4110">
        <v>0</v>
      </c>
      <c r="N31" s="3993"/>
      <c r="O31" s="3995"/>
      <c r="Q31" s="929">
        <v>12</v>
      </c>
      <c r="R31" s="1043">
        <f>-SUM(B31:K31) - SUM(B63:C63)</f>
        <v>83511.650946346563</v>
      </c>
      <c r="S31" s="1043">
        <f>SUM(B32:K32) + SUM(B64:C64)+R31</f>
        <v>946939.55278339318</v>
      </c>
    </row>
    <row r="32" spans="1:19" ht="13.35" customHeight="1">
      <c r="A32" s="21" t="s">
        <v>1142</v>
      </c>
      <c r="B32" s="22">
        <f t="shared" ref="B32:K32" si="9">SUM(B24:B31)</f>
        <v>42826.334526826693</v>
      </c>
      <c r="C32" s="22">
        <f t="shared" si="9"/>
        <v>42114.237726826723</v>
      </c>
      <c r="D32" s="22">
        <f t="shared" si="9"/>
        <v>83071.450463999994</v>
      </c>
      <c r="E32" s="22">
        <f t="shared" si="9"/>
        <v>82182.56805327996</v>
      </c>
      <c r="F32" s="22">
        <f t="shared" si="9"/>
        <v>81199.522251745599</v>
      </c>
      <c r="G32" s="22">
        <f t="shared" si="9"/>
        <v>80118.274619302552</v>
      </c>
      <c r="H32" s="22">
        <f t="shared" si="9"/>
        <v>78933.637091886252</v>
      </c>
      <c r="I32" s="22">
        <f t="shared" si="9"/>
        <v>77642.266923327406</v>
      </c>
      <c r="J32" s="22">
        <f t="shared" si="9"/>
        <v>76238.661464085744</v>
      </c>
      <c r="K32" s="23">
        <f t="shared" si="9"/>
        <v>74718.152771727968</v>
      </c>
      <c r="N32" s="3993"/>
      <c r="O32" s="3995"/>
      <c r="Q32" s="929">
        <v>13</v>
      </c>
      <c r="R32" s="1043">
        <f>-SUM(B31:K31) - SUM(B63:D63)</f>
        <v>83511.650946346563</v>
      </c>
      <c r="S32" s="1043">
        <f>SUM(B32:K32) + SUM(B64:D64)+R32</f>
        <v>1016345.4831790329</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993"/>
      <c r="O33" s="3995"/>
      <c r="Q33" s="929">
        <v>14</v>
      </c>
      <c r="R33" s="1043">
        <f>-SUM(B31:K31) - SUM(B63:E63)</f>
        <v>83511.650946346563</v>
      </c>
      <c r="S33" s="1043">
        <f>SUM(B32:K32) + SUM(B64:E64)+R33</f>
        <v>1083712.1081627845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3"/>
      <c r="O34" s="3995"/>
      <c r="Q34" s="929">
        <v>15</v>
      </c>
      <c r="R34" s="1043">
        <f>-SUM(B31:K31) - SUM(B63:F63)</f>
        <v>83511.650946346563</v>
      </c>
      <c r="S34" s="1043">
        <f>SUM(B32:K32) + SUM(B64:F64)+R34</f>
        <v>1148896.5043058165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3"/>
      <c r="O35" s="3995"/>
      <c r="Q35" s="62">
        <v>16</v>
      </c>
      <c r="R35" s="1043">
        <f>-SUM(B31:K31) - SUM(B63:G63)</f>
        <v>83511.650946346563</v>
      </c>
      <c r="S35" s="1043">
        <f>SUM(B32:K32) + SUM(B64:G64)+R35</f>
        <v>1211974.8536498304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3"/>
      <c r="O36" s="3995"/>
      <c r="Q36" s="62">
        <v>17</v>
      </c>
      <c r="R36" s="1043">
        <f>-SUM(B31:K31) - SUM(B63:H63)</f>
        <v>83511.650946346563</v>
      </c>
      <c r="S36" s="1043">
        <f>SUM(B32:K32) + SUM(B64:H64)+R36</f>
        <v>1272799.2652480153</v>
      </c>
    </row>
    <row r="37" spans="1:19" ht="13.35" customHeight="1">
      <c r="A37" s="417" t="s">
        <v>3532</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993"/>
      <c r="O37" s="3995"/>
      <c r="Q37" s="62">
        <v>18</v>
      </c>
      <c r="R37" s="1043">
        <f>-SUM(B31:K31) - SUM(B63:I63)</f>
        <v>83511.650946346563</v>
      </c>
      <c r="S37" s="1043">
        <f>SUM(B32:K32) + SUM(B64:I64)+R37</f>
        <v>1331213.8460342989</v>
      </c>
    </row>
    <row r="38" spans="1:19" ht="13.35" customHeight="1">
      <c r="A38" s="21" t="s">
        <v>752</v>
      </c>
      <c r="B38" s="265">
        <f t="shared" ref="B38:K38" si="15">IF(OR(B21="Choose mgt fee",B21="Choose One!"),"",(B14+B15+B16+B17+B18) / -(B20+B21+B22))</f>
        <v>1.3548047195256709</v>
      </c>
      <c r="C38" s="265">
        <f t="shared" si="15"/>
        <v>1.3425345196978373</v>
      </c>
      <c r="D38" s="265">
        <f t="shared" si="15"/>
        <v>1.3303667119060774</v>
      </c>
      <c r="E38" s="265">
        <f t="shared" si="15"/>
        <v>1.3183013160712496</v>
      </c>
      <c r="F38" s="265">
        <f t="shared" si="15"/>
        <v>1.3063382628151767</v>
      </c>
      <c r="G38" s="265">
        <f t="shared" si="15"/>
        <v>1.2944774008510105</v>
      </c>
      <c r="H38" s="265">
        <f t="shared" si="15"/>
        <v>1.2827142326886183</v>
      </c>
      <c r="I38" s="265">
        <f t="shared" si="15"/>
        <v>1.2710530538069884</v>
      </c>
      <c r="J38" s="265">
        <f t="shared" si="15"/>
        <v>1.2594895311244918</v>
      </c>
      <c r="K38" s="266">
        <f t="shared" si="15"/>
        <v>1.2480236774067985</v>
      </c>
      <c r="N38" s="3993"/>
      <c r="O38" s="3995"/>
      <c r="Q38" s="929">
        <v>19</v>
      </c>
      <c r="R38" s="1043">
        <f>-SUM(B31:K31) - SUM(B63:J63)</f>
        <v>83511.650946346563</v>
      </c>
      <c r="S38" s="1043">
        <f>SUM(B32:K32) + SUM(B64:J64)+R38</f>
        <v>1394620.4332762277</v>
      </c>
    </row>
    <row r="39" spans="1:19" ht="13.35" customHeight="1">
      <c r="A39" s="417" t="s">
        <v>2549</v>
      </c>
      <c r="B39" s="4111" t="str">
        <f>IF('Part III-Sources of Funds'!$I$38="","",-FV('Part III-Sources of Funds'!$K$38/12,12,B25/12,'Part III-Sources of Funds'!$I$38))</f>
        <v/>
      </c>
      <c r="C39" s="4111" t="str">
        <f>IF('Part III-Sources of Funds'!$I$38="","",-FV('Part III-Sources of Funds'!$K$38/12,12,C25/12,B39))</f>
        <v/>
      </c>
      <c r="D39" s="4111" t="str">
        <f>IF('Part III-Sources of Funds'!$I$38="","",-FV('Part III-Sources of Funds'!$K$38/12,12,D25/12,C39))</f>
        <v/>
      </c>
      <c r="E39" s="4111" t="str">
        <f>IF('Part III-Sources of Funds'!$I$38="","",-FV('Part III-Sources of Funds'!$K$38/12,12,E25/12,D39))</f>
        <v/>
      </c>
      <c r="F39" s="4111" t="str">
        <f>IF('Part III-Sources of Funds'!$I$38="","",-FV('Part III-Sources of Funds'!$K$38/12,12,F25/12,E39))</f>
        <v/>
      </c>
      <c r="G39" s="4111" t="str">
        <f>IF('Part III-Sources of Funds'!$I$38="","",-FV('Part III-Sources of Funds'!$K$38/12,12,G25/12,F39))</f>
        <v/>
      </c>
      <c r="H39" s="4111" t="str">
        <f>IF('Part III-Sources of Funds'!$I$38="","",-FV('Part III-Sources of Funds'!$K$38/12,12,H25/12,G39))</f>
        <v/>
      </c>
      <c r="I39" s="4111" t="str">
        <f>IF('Part III-Sources of Funds'!$I$38="","",-FV('Part III-Sources of Funds'!$K$38/12,12,I25/12,H39))</f>
        <v/>
      </c>
      <c r="J39" s="4111" t="str">
        <f>IF('Part III-Sources of Funds'!$I$38="","",-FV('Part III-Sources of Funds'!$K$38/12,12,J25/12,I39))</f>
        <v/>
      </c>
      <c r="K39" s="4111" t="str">
        <f>IF('Part III-Sources of Funds'!$I$38="","",-FV('Part III-Sources of Funds'!$K$38/12,12,K25/12,J39))</f>
        <v/>
      </c>
      <c r="N39" s="3993"/>
      <c r="O39" s="3995"/>
      <c r="Q39" s="929">
        <v>20</v>
      </c>
      <c r="R39" s="1043">
        <f>-SUM(B31:K31) - SUM(B63:K63)</f>
        <v>83511.650946346563</v>
      </c>
      <c r="S39" s="1043">
        <f>SUM(B32:K32) + SUM(B64:K64)+R39</f>
        <v>1455288.5253234487</v>
      </c>
    </row>
    <row r="40" spans="1:19" ht="13.35" customHeight="1">
      <c r="A40" s="417" t="s">
        <v>2550</v>
      </c>
      <c r="B40" s="4107" t="str">
        <f>IF('Part III-Sources of Funds'!$I$39="","",-FV('Part III-Sources of Funds'!$K$39/12,12,B26/12,'Part III-Sources of Funds'!$I$39))</f>
        <v/>
      </c>
      <c r="C40" s="4107" t="str">
        <f>IF('Part III-Sources of Funds'!$I$39="","",-FV('Part III-Sources of Funds'!$K$39/12,12,C26/12,B40))</f>
        <v/>
      </c>
      <c r="D40" s="4107" t="str">
        <f>IF('Part III-Sources of Funds'!$I$39="","",-FV('Part III-Sources of Funds'!$K$39/12,12,D26/12,C40))</f>
        <v/>
      </c>
      <c r="E40" s="4107" t="str">
        <f>IF('Part III-Sources of Funds'!$I$39="","",-FV('Part III-Sources of Funds'!$K$39/12,12,E26/12,D40))</f>
        <v/>
      </c>
      <c r="F40" s="4107" t="str">
        <f>IF('Part III-Sources of Funds'!$I$39="","",-FV('Part III-Sources of Funds'!$K$39/12,12,F26/12,E40))</f>
        <v/>
      </c>
      <c r="G40" s="4107" t="str">
        <f>IF('Part III-Sources of Funds'!$I$39="","",-FV('Part III-Sources of Funds'!$K$39/12,12,G26/12,F40))</f>
        <v/>
      </c>
      <c r="H40" s="4107" t="str">
        <f>IF('Part III-Sources of Funds'!$I$39="","",-FV('Part III-Sources of Funds'!$K$39/12,12,H26/12,G40))</f>
        <v/>
      </c>
      <c r="I40" s="4107" t="str">
        <f>IF('Part III-Sources of Funds'!$I$39="","",-FV('Part III-Sources of Funds'!$K$39/12,12,I26/12,H40))</f>
        <v/>
      </c>
      <c r="J40" s="4107" t="str">
        <f>IF('Part III-Sources of Funds'!$I$39="","",-FV('Part III-Sources of Funds'!$K$39/12,12,J26/12,I40))</f>
        <v/>
      </c>
      <c r="K40" s="4107" t="str">
        <f>IF('Part III-Sources of Funds'!$I$39="","",-FV('Part III-Sources of Funds'!$K$39/12,12,K26/12,J40))</f>
        <v/>
      </c>
      <c r="N40" s="3993"/>
      <c r="O40" s="3995"/>
    </row>
    <row r="41" spans="1:19" ht="13.35" customHeight="1">
      <c r="A41" s="417" t="s">
        <v>2551</v>
      </c>
      <c r="B41" s="4107" t="str">
        <f>IF('Part III-Sources of Funds'!$I$40="","",-FV('Part III-Sources of Funds'!$K$40/12,12,B27/12,'Part III-Sources of Funds'!$I$40))</f>
        <v/>
      </c>
      <c r="C41" s="4107" t="str">
        <f>IF('Part III-Sources of Funds'!$I$40="","",-FV('Part III-Sources of Funds'!$K$40/12,12,C27/12,B41))</f>
        <v/>
      </c>
      <c r="D41" s="4107" t="str">
        <f>IF('Part III-Sources of Funds'!$I$40="","",-FV('Part III-Sources of Funds'!$K$40/12,12,D27/12,C41))</f>
        <v/>
      </c>
      <c r="E41" s="4107" t="str">
        <f>IF('Part III-Sources of Funds'!$I$40="","",-FV('Part III-Sources of Funds'!$K$40/12,12,E27/12,D41))</f>
        <v/>
      </c>
      <c r="F41" s="4107" t="str">
        <f>IF('Part III-Sources of Funds'!$I$40="","",-FV('Part III-Sources of Funds'!$K$40/12,12,F27/12,E41))</f>
        <v/>
      </c>
      <c r="G41" s="4107" t="str">
        <f>IF('Part III-Sources of Funds'!$I$40="","",-FV('Part III-Sources of Funds'!$K$40/12,12,G27/12,F41))</f>
        <v/>
      </c>
      <c r="H41" s="4107" t="str">
        <f>IF('Part III-Sources of Funds'!$I$40="","",-FV('Part III-Sources of Funds'!$K$40/12,12,H27/12,G41))</f>
        <v/>
      </c>
      <c r="I41" s="4107" t="str">
        <f>IF('Part III-Sources of Funds'!$I$40="","",-FV('Part III-Sources of Funds'!$K$40/12,12,I27/12,H41))</f>
        <v/>
      </c>
      <c r="J41" s="4107" t="str">
        <f>IF('Part III-Sources of Funds'!$I$40="","",-FV('Part III-Sources of Funds'!$K$40/12,12,J27/12,I41))</f>
        <v/>
      </c>
      <c r="K41" s="4107" t="str">
        <f>IF('Part III-Sources of Funds'!$I$40="","",-FV('Part III-Sources of Funds'!$K$40/12,12,K27/12,J41))</f>
        <v/>
      </c>
      <c r="N41" s="3993"/>
      <c r="O41" s="3995"/>
    </row>
    <row r="42" spans="1:19" ht="13.35" customHeight="1">
      <c r="A42" s="21" t="s">
        <v>764</v>
      </c>
      <c r="B42" s="4107" t="str">
        <f>IF('Part III-Sources of Funds'!$I$41="","",-FV('Part III-Sources of Funds'!$K$41/12,12,B28/12,'Part III-Sources of Funds'!$I$41))</f>
        <v/>
      </c>
      <c r="C42" s="4107" t="str">
        <f>IF('Part III-Sources of Funds'!$I$41="","",-FV('Part III-Sources of Funds'!$K$41/12,12,C28/12,B42))</f>
        <v/>
      </c>
      <c r="D42" s="4107" t="str">
        <f>IF('Part III-Sources of Funds'!$I$41="","",-FV('Part III-Sources of Funds'!$K$41/12,12,D28/12,C42))</f>
        <v/>
      </c>
      <c r="E42" s="4107" t="str">
        <f>IF('Part III-Sources of Funds'!$I$41="","",-FV('Part III-Sources of Funds'!$K$41/12,12,E28/12,D42))</f>
        <v/>
      </c>
      <c r="F42" s="4107" t="str">
        <f>IF('Part III-Sources of Funds'!$I$41="","",-FV('Part III-Sources of Funds'!$K$41/12,12,F28/12,E42))</f>
        <v/>
      </c>
      <c r="G42" s="4107" t="str">
        <f>IF('Part III-Sources of Funds'!$I$41="","",-FV('Part III-Sources of Funds'!$K$41/12,12,G28/12,F42))</f>
        <v/>
      </c>
      <c r="H42" s="4107" t="str">
        <f>IF('Part III-Sources of Funds'!$I$41="","",-FV('Part III-Sources of Funds'!$K$41/12,12,H28/12,G42))</f>
        <v/>
      </c>
      <c r="I42" s="4107" t="str">
        <f>IF('Part III-Sources of Funds'!$I$41="","",-FV('Part III-Sources of Funds'!$K$41/12,12,I28/12,H42))</f>
        <v/>
      </c>
      <c r="J42" s="4107" t="str">
        <f>IF('Part III-Sources of Funds'!$I$41="","",-FV('Part III-Sources of Funds'!$K$41/12,12,J28/12,I42))</f>
        <v/>
      </c>
      <c r="K42" s="4107" t="str">
        <f>IF('Part III-Sources of Funds'!$I$41="","",-FV('Part III-Sources of Funds'!$K$41/12,12,K28/12,J42))</f>
        <v/>
      </c>
      <c r="N42" s="3993"/>
      <c r="O42" s="3995"/>
    </row>
    <row r="43" spans="1:19" ht="13.35" customHeight="1">
      <c r="A43" s="417" t="s">
        <v>3771</v>
      </c>
      <c r="B43" s="4110">
        <f>IF('Part III-Sources of Funds'!$I$43="","",-FV('Part III-Sources of Funds'!$K$43/12,12,B31/12,'Part III-Sources of Funds'!$I$43))</f>
        <v>40001.321547576328</v>
      </c>
      <c r="C43" s="4110">
        <f>IF('Part III-Sources of Funds'!$I$43="","",IF(-FV('Part III-Sources of Funds'!$K$43/12,12,C31/12,B43)&gt;0,-FV('Part III-Sources of Funds'!$K$43/12,12,C31/12,B43),0))</f>
        <v>7.2031980380415916E-10</v>
      </c>
      <c r="D43" s="4110">
        <f>IF('Part III-Sources of Funds'!$I$43="","",IF(-FV('Part III-Sources of Funds'!$K$43/12,12,D31/12,C43)&gt;0,-FV('Part III-Sources of Funds'!$K$43/12,12,D31/12,C43),0))</f>
        <v>7.8010599226358671E-10</v>
      </c>
      <c r="E43" s="4110">
        <f>IF('Part III-Sources of Funds'!$I$43="","",IF(-FV('Part III-Sources of Funds'!$K$43/12,12,E31/12,D43)&gt;0,-FV('Part III-Sources of Funds'!$K$43/12,12,E31/12,D43),0))</f>
        <v>8.4485440487904759E-10</v>
      </c>
      <c r="F43" s="4110">
        <f>IF('Part III-Sources of Funds'!$I$43="","",IF(-FV('Part III-Sources of Funds'!$K$43/12,12,F31/12,E43)&gt;0,-FV('Part III-Sources of Funds'!$K$43/12,12,F31/12,E43),0))</f>
        <v>9.1497690380816089E-10</v>
      </c>
      <c r="G43" s="4110">
        <f>IF('Part III-Sources of Funds'!$I$43="","",IF(-FV('Part III-Sources of Funds'!$K$43/12,12,G31/12,F43)&gt;0,-FV('Part III-Sources of Funds'!$K$43/12,12,G31/12,F43),0))</f>
        <v>9.9091953556450075E-10</v>
      </c>
      <c r="H43" s="4110">
        <f>IF('Part III-Sources of Funds'!$I$43="","",IF(-FV('Part III-Sources of Funds'!$K$43/12,12,H31/12,G43)&gt;0,-FV('Part III-Sources of Funds'!$K$43/12,12,H31/12,G43),0))</f>
        <v>1.0731653683022813E-9</v>
      </c>
      <c r="I43" s="4110">
        <f>IF('Part III-Sources of Funds'!$I$43="","",IF(-FV('Part III-Sources of Funds'!$K$43/12,12,I31/12,H43)&gt;0,-FV('Part III-Sources of Funds'!$K$43/12,12,I31/12,H43),0))</f>
        <v>1.1622375645942705E-9</v>
      </c>
      <c r="J43" s="4110">
        <f>IF('Part III-Sources of Funds'!$I$43="","",IF(-FV('Part III-Sources of Funds'!$K$43/12,12,J31/12,I43)&gt;0,-FV('Part III-Sources of Funds'!$K$43/12,12,J31/12,I43),0))</f>
        <v>1.2587027092487565E-9</v>
      </c>
      <c r="K43" s="4110">
        <f>IF('Part III-Sources of Funds'!$I$43="","",IF(-FV('Part III-Sources of Funds'!$K$43/12,12,K31/12,J43)&gt;0,-FV('Part III-Sources of Funds'!$K$43/12,12,K31/12,J43),0))</f>
        <v>1.3631744133336799E-9</v>
      </c>
      <c r="N43" s="4024"/>
      <c r="O43" s="402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2553</v>
      </c>
      <c r="O45" s="2484"/>
    </row>
    <row r="46" spans="1:19" ht="13.35" customHeight="1">
      <c r="A46" s="18" t="s">
        <v>2341</v>
      </c>
      <c r="B46" s="19">
        <f t="shared" ref="B46:K46" si="17">$B$14*(1+$B$5)^(B45-1)</f>
        <v>439569.38785010943</v>
      </c>
      <c r="C46" s="19">
        <f t="shared" si="17"/>
        <v>448360.77560711151</v>
      </c>
      <c r="D46" s="19">
        <f t="shared" si="17"/>
        <v>457327.9911192538</v>
      </c>
      <c r="E46" s="19">
        <f t="shared" si="17"/>
        <v>466474.55094163888</v>
      </c>
      <c r="F46" s="19">
        <f t="shared" si="17"/>
        <v>475804.04196047172</v>
      </c>
      <c r="G46" s="19">
        <f t="shared" si="17"/>
        <v>485320.12279968098</v>
      </c>
      <c r="H46" s="19">
        <f t="shared" si="17"/>
        <v>495026.52525567473</v>
      </c>
      <c r="I46" s="19">
        <f t="shared" si="17"/>
        <v>504927.05576078827</v>
      </c>
      <c r="J46" s="19">
        <f t="shared" si="17"/>
        <v>515025.59687600395</v>
      </c>
      <c r="K46" s="20">
        <f t="shared" si="17"/>
        <v>525326.10881352401</v>
      </c>
      <c r="N46" s="4031"/>
      <c r="O46" s="4033"/>
    </row>
    <row r="47" spans="1:19" ht="13.35" customHeight="1">
      <c r="A47" s="21" t="s">
        <v>994</v>
      </c>
      <c r="B47" s="22">
        <f t="shared" ref="B47:K47" si="18">$B$15*(1+$B$5)^(B45-1)</f>
        <v>8791.3877570021887</v>
      </c>
      <c r="C47" s="22">
        <f t="shared" si="18"/>
        <v>8967.2155121422311</v>
      </c>
      <c r="D47" s="22">
        <f t="shared" si="18"/>
        <v>9146.5598223850757</v>
      </c>
      <c r="E47" s="22">
        <f t="shared" si="18"/>
        <v>9329.4910188327776</v>
      </c>
      <c r="F47" s="22">
        <f t="shared" si="18"/>
        <v>9516.0808392094332</v>
      </c>
      <c r="G47" s="22">
        <f t="shared" si="18"/>
        <v>9706.4024559936206</v>
      </c>
      <c r="H47" s="22">
        <f t="shared" si="18"/>
        <v>9900.5305051134947</v>
      </c>
      <c r="I47" s="22">
        <f t="shared" si="18"/>
        <v>10098.541115215765</v>
      </c>
      <c r="J47" s="22">
        <f t="shared" si="18"/>
        <v>10300.511937520079</v>
      </c>
      <c r="K47" s="23">
        <f t="shared" si="18"/>
        <v>10506.52217627048</v>
      </c>
      <c r="N47" s="3993"/>
      <c r="O47" s="3995"/>
    </row>
    <row r="48" spans="1:19" ht="13.35" customHeight="1">
      <c r="A48" s="21" t="s">
        <v>2342</v>
      </c>
      <c r="B48" s="22">
        <f t="shared" ref="B48:K48" si="19">-(B46+B47)*$B$8</f>
        <v>-31385.254292497819</v>
      </c>
      <c r="C48" s="22">
        <f t="shared" si="19"/>
        <v>-32012.959378347765</v>
      </c>
      <c r="D48" s="22">
        <f t="shared" si="19"/>
        <v>-32653.218565914725</v>
      </c>
      <c r="E48" s="22">
        <f t="shared" si="19"/>
        <v>-33306.282937233016</v>
      </c>
      <c r="F48" s="22">
        <f t="shared" si="19"/>
        <v>-33972.408595977686</v>
      </c>
      <c r="G48" s="22">
        <f t="shared" si="19"/>
        <v>-34651.856767897225</v>
      </c>
      <c r="H48" s="22">
        <f t="shared" si="19"/>
        <v>-35344.893903255179</v>
      </c>
      <c r="I48" s="22">
        <f t="shared" si="19"/>
        <v>-36051.791781320288</v>
      </c>
      <c r="J48" s="22">
        <f t="shared" si="19"/>
        <v>-36772.827616946684</v>
      </c>
      <c r="K48" s="23">
        <f t="shared" si="19"/>
        <v>-37508.284169285616</v>
      </c>
      <c r="N48" s="3993"/>
      <c r="O48" s="399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3"/>
      <c r="O49" s="39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3"/>
      <c r="O50" s="3995"/>
    </row>
    <row r="51" spans="1:19" ht="13.35" customHeight="1">
      <c r="A51" s="417" t="s">
        <v>4377</v>
      </c>
      <c r="B51" s="22">
        <f t="shared" ref="B51:K51" si="20">SUM(B46:B50)</f>
        <v>416975.52131461381</v>
      </c>
      <c r="C51" s="22">
        <f t="shared" si="20"/>
        <v>425315.03174090595</v>
      </c>
      <c r="D51" s="22">
        <f t="shared" si="20"/>
        <v>433821.33237572416</v>
      </c>
      <c r="E51" s="22">
        <f t="shared" si="20"/>
        <v>442497.75902323867</v>
      </c>
      <c r="F51" s="22">
        <f t="shared" si="20"/>
        <v>451347.71420370345</v>
      </c>
      <c r="G51" s="22">
        <f t="shared" si="20"/>
        <v>460374.66848777741</v>
      </c>
      <c r="H51" s="22">
        <f t="shared" si="20"/>
        <v>469582.16185753304</v>
      </c>
      <c r="I51" s="22">
        <f t="shared" si="20"/>
        <v>478973.80509468372</v>
      </c>
      <c r="J51" s="22">
        <f t="shared" si="20"/>
        <v>488553.28119657736</v>
      </c>
      <c r="K51" s="23">
        <f t="shared" si="20"/>
        <v>498324.34682050889</v>
      </c>
      <c r="N51" s="3993"/>
      <c r="O51" s="3995"/>
    </row>
    <row r="52" spans="1:19" ht="13.35" customHeight="1">
      <c r="A52" s="21" t="s">
        <v>597</v>
      </c>
      <c r="B52" s="22">
        <f t="shared" ref="B52:K52" si="21">$B$20*(1+$B$6)^(B45-1)</f>
        <v>-289479.58811072382</v>
      </c>
      <c r="C52" s="22">
        <f t="shared" si="21"/>
        <v>-298163.97575404553</v>
      </c>
      <c r="D52" s="22">
        <f t="shared" si="21"/>
        <v>-307108.89502666687</v>
      </c>
      <c r="E52" s="22">
        <f t="shared" si="21"/>
        <v>-316322.16187746689</v>
      </c>
      <c r="F52" s="22">
        <f t="shared" si="21"/>
        <v>-325811.82673379092</v>
      </c>
      <c r="G52" s="22">
        <f t="shared" si="21"/>
        <v>-335586.18153580464</v>
      </c>
      <c r="H52" s="22">
        <f t="shared" si="21"/>
        <v>-345653.76698187873</v>
      </c>
      <c r="I52" s="22">
        <f t="shared" si="21"/>
        <v>-356023.3799913351</v>
      </c>
      <c r="J52" s="22">
        <f t="shared" si="21"/>
        <v>-366704.08139107516</v>
      </c>
      <c r="K52" s="23">
        <f t="shared" si="21"/>
        <v>-377705.20383280743</v>
      </c>
      <c r="N52" s="3993"/>
      <c r="O52" s="399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-20849</v>
      </c>
      <c r="C53" s="22">
        <f>IF(AND('Part VII-Pro Forma'!$G$8="Yes",'Part VII-Pro Forma'!$G$9="Yes"),"Choose One!",IF('Part VII-Pro Forma'!$G$8="Yes",ROUND((-$K$8*(1+'Part VII-Pro Forma'!$B$6)^('Part VII-Pro Forma'!C45-1)),),IF('Part VII-Pro Forma'!$G$9="Yes",ROUND((-(SUM(C46:C49)*'Part VII-Pro Forma'!$K$9)),),"Choose mgt fee")))</f>
        <v>-21266</v>
      </c>
      <c r="D53" s="22">
        <f>IF(AND('Part VII-Pro Forma'!$G$8="Yes",'Part VII-Pro Forma'!$G$9="Yes"),"Choose One!",IF('Part VII-Pro Forma'!$G$8="Yes",ROUND((-$K$8*(1+'Part VII-Pro Forma'!$B$6)^('Part VII-Pro Forma'!D45-1)),),IF('Part VII-Pro Forma'!$G$9="Yes",ROUND((-(SUM(D46:D49)*'Part VII-Pro Forma'!$K$9)),),"Choose mgt fee")))</f>
        <v>-21691</v>
      </c>
      <c r="E53" s="22">
        <f>IF(AND('Part VII-Pro Forma'!$G$8="Yes",'Part VII-Pro Forma'!$G$9="Yes"),"Choose One!",IF('Part VII-Pro Forma'!$G$8="Yes",ROUND((-$K$8*(1+'Part VII-Pro Forma'!$B$6)^('Part VII-Pro Forma'!E45-1)),),IF('Part VII-Pro Forma'!$G$9="Yes",ROUND((-(SUM(E46:E49)*'Part VII-Pro Forma'!$K$9)),),"Choose mgt fee")))</f>
        <v>-22125</v>
      </c>
      <c r="F53" s="22">
        <f>IF(AND('Part VII-Pro Forma'!$G$8="Yes",'Part VII-Pro Forma'!$G$9="Yes"),"Choose One!",IF('Part VII-Pro Forma'!$G$8="Yes",ROUND((-$K$8*(1+'Part VII-Pro Forma'!$B$6)^('Part VII-Pro Forma'!F45-1)),),IF('Part VII-Pro Forma'!$G$9="Yes",ROUND((-(SUM(F46:F49)*'Part VII-Pro Forma'!$K$9)),),"Choose mgt fee")))</f>
        <v>-22567</v>
      </c>
      <c r="G53" s="22">
        <f>IF(AND('Part VII-Pro Forma'!$G$8="Yes",'Part VII-Pro Forma'!$G$9="Yes"),"Choose One!",IF('Part VII-Pro Forma'!$G$8="Yes",ROUND((-$K$8*(1+'Part VII-Pro Forma'!$B$6)^('Part VII-Pro Forma'!G45-1)),),IF('Part VII-Pro Forma'!$G$9="Yes",ROUND((-(SUM(G46:G49)*'Part VII-Pro Forma'!$K$9)),),"Choose mgt fee")))</f>
        <v>-23019</v>
      </c>
      <c r="H53" s="22">
        <f>IF(AND('Part VII-Pro Forma'!$G$8="Yes",'Part VII-Pro Forma'!$G$9="Yes"),"Choose One!",IF('Part VII-Pro Forma'!$G$8="Yes",ROUND((-$K$8*(1+'Part VII-Pro Forma'!$B$6)^('Part VII-Pro Forma'!H45-1)),),IF('Part VII-Pro Forma'!$G$9="Yes",ROUND((-(SUM(H46:H49)*'Part VII-Pro Forma'!$K$9)),),"Choose mgt fee")))</f>
        <v>-23479</v>
      </c>
      <c r="I53" s="22">
        <f>IF(AND('Part VII-Pro Forma'!$G$8="Yes",'Part VII-Pro Forma'!$G$9="Yes"),"Choose One!",IF('Part VII-Pro Forma'!$G$8="Yes",ROUND((-$K$8*(1+'Part VII-Pro Forma'!$B$6)^('Part VII-Pro Forma'!I45-1)),),IF('Part VII-Pro Forma'!$G$9="Yes",ROUND((-(SUM(I46:I49)*'Part VII-Pro Forma'!$K$9)),),"Choose mgt fee")))</f>
        <v>-23949</v>
      </c>
      <c r="J53" s="22">
        <f>IF(AND('Part VII-Pro Forma'!$G$8="Yes",'Part VII-Pro Forma'!$G$9="Yes"),"Choose One!",IF('Part VII-Pro Forma'!$G$8="Yes",ROUND((-$K$8*(1+'Part VII-Pro Forma'!$B$6)^('Part VII-Pro Forma'!J45-1)),),IF('Part VII-Pro Forma'!$G$9="Yes",ROUND((-(SUM(J46:J49)*'Part VII-Pro Forma'!$K$9)),),"Choose mgt fee")))</f>
        <v>-24428</v>
      </c>
      <c r="K53" s="23">
        <f>IF(AND('Part VII-Pro Forma'!$G$8="Yes",'Part VII-Pro Forma'!$G$9="Yes"),"Choose One!",IF('Part VII-Pro Forma'!$G$8="Yes",ROUND((-$K$8*(1+'Part VII-Pro Forma'!$B$6)^('Part VII-Pro Forma'!K45-1)),),IF('Part VII-Pro Forma'!$G$9="Yes",ROUND((-(SUM(K46:K49)*'Part VII-Pro Forma'!$K$9)),),"Choose mgt fee")))</f>
        <v>-24916</v>
      </c>
      <c r="N53" s="3993"/>
      <c r="O53" s="3995"/>
    </row>
    <row r="54" spans="1:19" ht="13.35" customHeight="1">
      <c r="A54" s="21" t="s">
        <v>1176</v>
      </c>
      <c r="B54" s="22">
        <f t="shared" ref="B54:K54" si="22">$B$22*(1+$B$7)^(B45-1)</f>
        <v>-26851.449259295554</v>
      </c>
      <c r="C54" s="22">
        <f t="shared" si="22"/>
        <v>-27656.992737074419</v>
      </c>
      <c r="D54" s="22">
        <f t="shared" si="22"/>
        <v>-28486.702519186649</v>
      </c>
      <c r="E54" s="22">
        <f t="shared" si="22"/>
        <v>-29341.303594762248</v>
      </c>
      <c r="F54" s="22">
        <f t="shared" si="22"/>
        <v>-30221.542702605118</v>
      </c>
      <c r="G54" s="22">
        <f t="shared" si="22"/>
        <v>-31128.188983683274</v>
      </c>
      <c r="H54" s="22">
        <f t="shared" si="22"/>
        <v>-32062.034653193765</v>
      </c>
      <c r="I54" s="22">
        <f t="shared" si="22"/>
        <v>-33023.895692789578</v>
      </c>
      <c r="J54" s="22">
        <f t="shared" si="22"/>
        <v>-34014.612563573268</v>
      </c>
      <c r="K54" s="23">
        <f t="shared" si="22"/>
        <v>-35035.050940480462</v>
      </c>
      <c r="N54" s="3993"/>
      <c r="O54" s="3995"/>
      <c r="Q54" s="929">
        <v>10</v>
      </c>
      <c r="R54" s="1043">
        <f>-SUM(B60:K60)</f>
        <v>0</v>
      </c>
      <c r="S54" s="1043">
        <f>SUM(B61:K61)+R54</f>
        <v>0</v>
      </c>
    </row>
    <row r="55" spans="1:19" ht="13.35" customHeight="1">
      <c r="A55" s="417" t="s">
        <v>4376</v>
      </c>
      <c r="B55" s="4105">
        <f>IF(B45&lt;=+'Part VI-Revenues &amp; Expenses'!$N$250,-'Part VI-Revenues &amp; Expenses'!$K$250,0)</f>
        <v>0</v>
      </c>
      <c r="C55" s="4105">
        <f>IF(C45&lt;=+'Part VI-Revenues &amp; Expenses'!$N$250,-'Part VI-Revenues &amp; Expenses'!$K$250,0)</f>
        <v>0</v>
      </c>
      <c r="D55" s="4105">
        <f>IF(D45&lt;=+'Part VI-Revenues &amp; Expenses'!$N$250,-'Part VI-Revenues &amp; Expenses'!$K$250,0)</f>
        <v>0</v>
      </c>
      <c r="E55" s="4105">
        <f>IF(E45&lt;=+'Part VI-Revenues &amp; Expenses'!$N$250,-'Part VI-Revenues &amp; Expenses'!$K$250,0)</f>
        <v>0</v>
      </c>
      <c r="F55" s="4105">
        <f>IF(F45&lt;=+'Part VI-Revenues &amp; Expenses'!$N$250,-'Part VI-Revenues &amp; Expenses'!$K$250,0)</f>
        <v>0</v>
      </c>
      <c r="G55" s="4105">
        <f>IF(G45&lt;=+'Part VI-Revenues &amp; Expenses'!$N$250,-'Part VI-Revenues &amp; Expenses'!$K$250,0)</f>
        <v>0</v>
      </c>
      <c r="H55" s="4105">
        <f>IF(H45&lt;=+'Part VI-Revenues &amp; Expenses'!$N$250,-'Part VI-Revenues &amp; Expenses'!$K$250,0)</f>
        <v>0</v>
      </c>
      <c r="I55" s="4105">
        <f>IF(I45&lt;=+'Part VI-Revenues &amp; Expenses'!$N$250,-'Part VI-Revenues &amp; Expenses'!$K$250,0)</f>
        <v>0</v>
      </c>
      <c r="J55" s="4105">
        <f>IF(J45&lt;=+'Part VI-Revenues &amp; Expenses'!$N$250,-'Part VI-Revenues &amp; Expenses'!$K$250,0)</f>
        <v>0</v>
      </c>
      <c r="K55" s="4105">
        <f>IF(K45&lt;=+'Part VI-Revenues &amp; Expenses'!$N$250,-'Part VI-Revenues &amp; Expenses'!$K$250,0)</f>
        <v>0</v>
      </c>
      <c r="N55" s="3993"/>
      <c r="O55" s="3995"/>
    </row>
    <row r="56" spans="1:19" ht="13.35" customHeight="1">
      <c r="A56" s="21" t="s">
        <v>1177</v>
      </c>
      <c r="B56" s="22">
        <f t="shared" ref="B56:K56" si="23">SUM(B51:B55)</f>
        <v>79795.483944594438</v>
      </c>
      <c r="C56" s="22">
        <f t="shared" si="23"/>
        <v>78228.063249786006</v>
      </c>
      <c r="D56" s="22">
        <f t="shared" si="23"/>
        <v>76534.734829870635</v>
      </c>
      <c r="E56" s="22">
        <f t="shared" si="23"/>
        <v>74709.293551009527</v>
      </c>
      <c r="F56" s="22">
        <f t="shared" si="23"/>
        <v>72747.344767307412</v>
      </c>
      <c r="G56" s="22">
        <f t="shared" si="23"/>
        <v>70641.297968289495</v>
      </c>
      <c r="H56" s="22">
        <f t="shared" si="23"/>
        <v>68387.360222460542</v>
      </c>
      <c r="I56" s="22">
        <f t="shared" si="23"/>
        <v>65977.529410559044</v>
      </c>
      <c r="J56" s="22">
        <f t="shared" si="23"/>
        <v>63406.58724192893</v>
      </c>
      <c r="K56" s="1482">
        <f t="shared" si="23"/>
        <v>60668.092047220998</v>
      </c>
      <c r="N56" s="3993"/>
      <c r="O56" s="3995"/>
    </row>
    <row r="57" spans="1:19" ht="13.35" customHeight="1">
      <c r="A57" s="21" t="str">
        <f>$A25</f>
        <v>Mortgage A</v>
      </c>
      <c r="B57" s="4106">
        <f>IF('Part III-Sources of Funds'!$P$38="", 0,-'Part III-Sources of Funds'!$P$38)</f>
        <v>0</v>
      </c>
      <c r="C57" s="4106">
        <f>IF('Part III-Sources of Funds'!$P$38="", 0,-'Part III-Sources of Funds'!$P$38)</f>
        <v>0</v>
      </c>
      <c r="D57" s="4106">
        <f>IF('Part III-Sources of Funds'!$P$38="", 0,-'Part III-Sources of Funds'!$P$38)</f>
        <v>0</v>
      </c>
      <c r="E57" s="4106">
        <f>IF('Part III-Sources of Funds'!$P$38="", 0,-'Part III-Sources of Funds'!$P$38)</f>
        <v>0</v>
      </c>
      <c r="F57" s="4106">
        <f>IF('Part III-Sources of Funds'!$P$38="", 0,-'Part III-Sources of Funds'!$P$38)</f>
        <v>0</v>
      </c>
      <c r="G57" s="4106">
        <f>IF('Part III-Sources of Funds'!$P$38="", 0,-'Part III-Sources of Funds'!$P$38)</f>
        <v>0</v>
      </c>
      <c r="H57" s="4106">
        <f>IF('Part III-Sources of Funds'!$P$38="", 0,-'Part III-Sources of Funds'!$P$38)</f>
        <v>0</v>
      </c>
      <c r="I57" s="4106">
        <f>IF('Part III-Sources of Funds'!$P$38="", 0,-'Part III-Sources of Funds'!$P$38)</f>
        <v>0</v>
      </c>
      <c r="J57" s="4106">
        <f>IF('Part III-Sources of Funds'!$P$38="", 0,-'Part III-Sources of Funds'!$P$38)</f>
        <v>0</v>
      </c>
      <c r="K57" s="4106">
        <f>IF('Part III-Sources of Funds'!$P$38="", 0,-'Part III-Sources of Funds'!$P$38)</f>
        <v>0</v>
      </c>
      <c r="N57" s="3993"/>
      <c r="O57" s="3995"/>
    </row>
    <row r="58" spans="1:19" ht="13.35" customHeight="1">
      <c r="A58" s="21" t="str">
        <f>$A26</f>
        <v>Mortgage B</v>
      </c>
      <c r="B58" s="4107">
        <f>IF('Part III-Sources of Funds'!$P$39="", 0,-'Part III-Sources of Funds'!$P$39)</f>
        <v>0</v>
      </c>
      <c r="C58" s="4107">
        <f>IF('Part III-Sources of Funds'!$P$39="", 0,-'Part III-Sources of Funds'!$P$39)</f>
        <v>0</v>
      </c>
      <c r="D58" s="4107">
        <f>IF('Part III-Sources of Funds'!$P$39="", 0,-'Part III-Sources of Funds'!$P$39)</f>
        <v>0</v>
      </c>
      <c r="E58" s="4107">
        <f>IF('Part III-Sources of Funds'!$P$39="", 0,-'Part III-Sources of Funds'!$P$39)</f>
        <v>0</v>
      </c>
      <c r="F58" s="4107">
        <f>IF('Part III-Sources of Funds'!$P$39="", 0,-'Part III-Sources of Funds'!$P$39)</f>
        <v>0</v>
      </c>
      <c r="G58" s="4107">
        <f>IF('Part III-Sources of Funds'!$P$39="", 0,-'Part III-Sources of Funds'!$P$39)</f>
        <v>0</v>
      </c>
      <c r="H58" s="4107">
        <f>IF('Part III-Sources of Funds'!$P$39="", 0,-'Part III-Sources of Funds'!$P$39)</f>
        <v>0</v>
      </c>
      <c r="I58" s="4107">
        <f>IF('Part III-Sources of Funds'!$P$39="", 0,-'Part III-Sources of Funds'!$P$39)</f>
        <v>0</v>
      </c>
      <c r="J58" s="4107">
        <f>IF('Part III-Sources of Funds'!$P$39="", 0,-'Part III-Sources of Funds'!$P$39)</f>
        <v>0</v>
      </c>
      <c r="K58" s="4107">
        <f>IF('Part III-Sources of Funds'!$P$39="", 0,-'Part III-Sources of Funds'!$P$39)</f>
        <v>0</v>
      </c>
      <c r="N58" s="3993"/>
      <c r="O58" s="3995"/>
    </row>
    <row r="59" spans="1:19" ht="13.35" customHeight="1">
      <c r="A59" s="21" t="str">
        <f>$A27</f>
        <v>Mortgage C</v>
      </c>
      <c r="B59" s="4107">
        <f>IF('Part III-Sources of Funds'!$P$40="", 0,-'Part III-Sources of Funds'!$P$40)</f>
        <v>0</v>
      </c>
      <c r="C59" s="4107">
        <f>IF('Part III-Sources of Funds'!$P$40="", 0,-'Part III-Sources of Funds'!$P$40)</f>
        <v>0</v>
      </c>
      <c r="D59" s="4107">
        <f>IF('Part III-Sources of Funds'!$P$40="", 0,-'Part III-Sources of Funds'!$P$40)</f>
        <v>0</v>
      </c>
      <c r="E59" s="4107">
        <f>IF('Part III-Sources of Funds'!$P$40="", 0,-'Part III-Sources of Funds'!$P$40)</f>
        <v>0</v>
      </c>
      <c r="F59" s="4107">
        <f>IF('Part III-Sources of Funds'!$P$40="", 0,-'Part III-Sources of Funds'!$P$40)</f>
        <v>0</v>
      </c>
      <c r="G59" s="4107">
        <f>IF('Part III-Sources of Funds'!$P$40="", 0,-'Part III-Sources of Funds'!$P$40)</f>
        <v>0</v>
      </c>
      <c r="H59" s="4107">
        <f>IF('Part III-Sources of Funds'!$P$40="", 0,-'Part III-Sources of Funds'!$P$40)</f>
        <v>0</v>
      </c>
      <c r="I59" s="4107">
        <f>IF('Part III-Sources of Funds'!$P$40="", 0,-'Part III-Sources of Funds'!$P$40)</f>
        <v>0</v>
      </c>
      <c r="J59" s="4107">
        <f>IF('Part III-Sources of Funds'!$P$40="", 0,-'Part III-Sources of Funds'!$P$40)</f>
        <v>0</v>
      </c>
      <c r="K59" s="4107">
        <f>IF('Part III-Sources of Funds'!$P$40="", 0,-'Part III-Sources of Funds'!$P$40)</f>
        <v>0</v>
      </c>
      <c r="N59" s="3993"/>
      <c r="O59" s="3995"/>
    </row>
    <row r="60" spans="1:19" ht="13.35" customHeight="1">
      <c r="A60" s="21" t="str">
        <f>$A28</f>
        <v>D/S Other Source,not DDF</v>
      </c>
      <c r="B60" s="4107">
        <f>IF('Part III-Sources of Funds'!$P$41="", 0,-'Part III-Sources of Funds'!$P$41)</f>
        <v>0</v>
      </c>
      <c r="C60" s="4107">
        <f>IF('Part III-Sources of Funds'!$P$41="", 0,-'Part III-Sources of Funds'!$P$41)</f>
        <v>0</v>
      </c>
      <c r="D60" s="4107">
        <f>IF('Part III-Sources of Funds'!$P$41="", 0,-'Part III-Sources of Funds'!$P$41)</f>
        <v>0</v>
      </c>
      <c r="E60" s="4107">
        <f>IF('Part III-Sources of Funds'!$P$41="", 0,-'Part III-Sources of Funds'!$P$41)</f>
        <v>0</v>
      </c>
      <c r="F60" s="4107">
        <f>IF('Part III-Sources of Funds'!$P$41="", 0,-'Part III-Sources of Funds'!$P$41)</f>
        <v>0</v>
      </c>
      <c r="G60" s="4107">
        <f>IF('Part III-Sources of Funds'!$P$41="", 0,-'Part III-Sources of Funds'!$P$41)</f>
        <v>0</v>
      </c>
      <c r="H60" s="4107">
        <f>IF('Part III-Sources of Funds'!$P$41="", 0,-'Part III-Sources of Funds'!$P$41)</f>
        <v>0</v>
      </c>
      <c r="I60" s="4107">
        <f>IF('Part III-Sources of Funds'!$P$41="", 0,-'Part III-Sources of Funds'!$P$41)</f>
        <v>0</v>
      </c>
      <c r="J60" s="4107">
        <f>IF('Part III-Sources of Funds'!$P$41="", 0,-'Part III-Sources of Funds'!$P$41)</f>
        <v>0</v>
      </c>
      <c r="K60" s="4107">
        <f>IF('Part III-Sources of Funds'!$P$41="", 0,-'Part III-Sources of Funds'!$P$41)</f>
        <v>0</v>
      </c>
      <c r="N60" s="3993"/>
      <c r="O60" s="3995"/>
    </row>
    <row r="61" spans="1:19" ht="13.35" customHeight="1">
      <c r="A61" s="21" t="s">
        <v>745</v>
      </c>
      <c r="B61" s="4108"/>
      <c r="C61" s="4108"/>
      <c r="D61" s="4108"/>
      <c r="E61" s="4108"/>
      <c r="F61" s="4108"/>
      <c r="G61" s="4108"/>
      <c r="H61" s="4108"/>
      <c r="I61" s="4108"/>
      <c r="J61" s="4108"/>
      <c r="K61" s="4108"/>
      <c r="N61" s="3993"/>
      <c r="O61" s="3995"/>
      <c r="Q61" s="929"/>
      <c r="R61" s="1043"/>
    </row>
    <row r="62" spans="1:19" ht="13.35" customHeight="1">
      <c r="A62" s="417" t="s">
        <v>1141</v>
      </c>
      <c r="B62" s="4107">
        <f>1.03*K30</f>
        <v>-6719.5818967206096</v>
      </c>
      <c r="C62" s="4107">
        <f>1.03*B62</f>
        <v>-6921.1693536222283</v>
      </c>
      <c r="D62" s="4107">
        <f t="shared" ref="D62:F62" si="24">1.03*C62</f>
        <v>-7128.8044342308949</v>
      </c>
      <c r="E62" s="4107">
        <f t="shared" si="24"/>
        <v>-7342.6685672578224</v>
      </c>
      <c r="F62" s="4107">
        <f t="shared" si="24"/>
        <v>-7562.9486242755574</v>
      </c>
      <c r="G62" s="4107">
        <f t="shared" ref="G62:I62" si="25">+F62</f>
        <v>-7562.9486242755574</v>
      </c>
      <c r="H62" s="4107">
        <f t="shared" si="25"/>
        <v>-7562.9486242755574</v>
      </c>
      <c r="I62" s="4107">
        <f t="shared" si="25"/>
        <v>-7562.9486242755574</v>
      </c>
      <c r="J62" s="4107"/>
      <c r="K62" s="4107"/>
      <c r="N62" s="3993"/>
      <c r="O62" s="3995"/>
    </row>
    <row r="63" spans="1:19" ht="13.35" customHeight="1">
      <c r="A63" s="417" t="s">
        <v>3770</v>
      </c>
      <c r="B63" s="4110">
        <v>0</v>
      </c>
      <c r="C63" s="4110">
        <v>0</v>
      </c>
      <c r="D63" s="4110">
        <v>0</v>
      </c>
      <c r="E63" s="4110">
        <v>0</v>
      </c>
      <c r="F63" s="4110">
        <v>0</v>
      </c>
      <c r="G63" s="4110"/>
      <c r="H63" s="4110"/>
      <c r="I63" s="4110"/>
      <c r="J63" s="4110"/>
      <c r="K63" s="4110"/>
      <c r="N63" s="3993"/>
      <c r="O63" s="3995"/>
    </row>
    <row r="64" spans="1:19" ht="13.35" customHeight="1">
      <c r="A64" s="21" t="s">
        <v>1142</v>
      </c>
      <c r="B64" s="22">
        <f t="shared" ref="B64:K64" si="26">SUM(B56:B63)</f>
        <v>73075.902047873824</v>
      </c>
      <c r="C64" s="22">
        <f t="shared" si="26"/>
        <v>71306.893896163776</v>
      </c>
      <c r="D64" s="22">
        <f t="shared" si="26"/>
        <v>69405.930395639734</v>
      </c>
      <c r="E64" s="22">
        <f t="shared" si="26"/>
        <v>67366.62498375171</v>
      </c>
      <c r="F64" s="22">
        <f t="shared" si="26"/>
        <v>65184.396143031852</v>
      </c>
      <c r="G64" s="22">
        <f t="shared" si="26"/>
        <v>63078.349344013935</v>
      </c>
      <c r="H64" s="22">
        <f t="shared" si="26"/>
        <v>60824.411598184983</v>
      </c>
      <c r="I64" s="22">
        <f t="shared" si="26"/>
        <v>58414.580786283484</v>
      </c>
      <c r="J64" s="22">
        <f t="shared" si="26"/>
        <v>63406.58724192893</v>
      </c>
      <c r="K64" s="596">
        <f t="shared" si="26"/>
        <v>60668.092047220998</v>
      </c>
      <c r="N64" s="3993"/>
      <c r="O64" s="3995"/>
    </row>
    <row r="65" spans="1:15" ht="13.35" customHeight="1">
      <c r="A65" s="21" t="str">
        <f>$A33</f>
        <v>DCR Mortgage A</v>
      </c>
      <c r="B65" s="24" t="str">
        <f t="shared" ref="B65:K65" si="27">IF(B57=0,"",-B56/B57)</f>
        <v/>
      </c>
      <c r="C65" s="24" t="str">
        <f t="shared" si="27"/>
        <v/>
      </c>
      <c r="D65" s="24" t="str">
        <f t="shared" si="27"/>
        <v/>
      </c>
      <c r="E65" s="24" t="str">
        <f t="shared" si="27"/>
        <v/>
      </c>
      <c r="F65" s="24" t="str">
        <f t="shared" si="27"/>
        <v/>
      </c>
      <c r="G65" s="24" t="str">
        <f t="shared" si="27"/>
        <v/>
      </c>
      <c r="H65" s="24" t="str">
        <f t="shared" si="27"/>
        <v/>
      </c>
      <c r="I65" s="24" t="str">
        <f t="shared" si="27"/>
        <v/>
      </c>
      <c r="J65" s="24" t="str">
        <f t="shared" si="27"/>
        <v/>
      </c>
      <c r="K65" s="25" t="str">
        <f t="shared" si="27"/>
        <v/>
      </c>
      <c r="N65" s="3993"/>
      <c r="O65" s="3995"/>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993"/>
      <c r="O66" s="3995"/>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993"/>
      <c r="O67" s="3995"/>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993"/>
      <c r="O68" s="3995"/>
    </row>
    <row r="69" spans="1:15" ht="13.35" customHeight="1">
      <c r="A69" s="417" t="s">
        <v>3532</v>
      </c>
      <c r="B69" s="24" t="str">
        <f t="shared" ref="B69:K69" si="31">IF(AND(B57=0,B58=0,B59=0,B60=0),"",-B56/(B57+B58+B59+B60))</f>
        <v/>
      </c>
      <c r="C69" s="24" t="str">
        <f t="shared" si="31"/>
        <v/>
      </c>
      <c r="D69" s="24" t="str">
        <f t="shared" si="31"/>
        <v/>
      </c>
      <c r="E69" s="24" t="str">
        <f t="shared" si="31"/>
        <v/>
      </c>
      <c r="F69" s="24" t="str">
        <f t="shared" si="31"/>
        <v/>
      </c>
      <c r="G69" s="24" t="str">
        <f t="shared" si="31"/>
        <v/>
      </c>
      <c r="H69" s="24" t="str">
        <f t="shared" si="31"/>
        <v/>
      </c>
      <c r="I69" s="24" t="str">
        <f t="shared" si="31"/>
        <v/>
      </c>
      <c r="J69" s="24" t="str">
        <f t="shared" si="31"/>
        <v/>
      </c>
      <c r="K69" s="25" t="str">
        <f t="shared" si="31"/>
        <v/>
      </c>
      <c r="N69" s="3993"/>
      <c r="O69" s="3995"/>
    </row>
    <row r="70" spans="1:15" ht="13.35" customHeight="1">
      <c r="A70" s="21" t="s">
        <v>752</v>
      </c>
      <c r="B70" s="265">
        <f t="shared" ref="B70:K70" si="32">IF(OR(B53="Choose mgt fee",B53="Choose One!"),"",(B46+B47+B48+B49+B50) / -(B52+B53+B54))</f>
        <v>1.2366554217355026</v>
      </c>
      <c r="C70" s="265">
        <f t="shared" si="32"/>
        <v>1.2253846163970499</v>
      </c>
      <c r="D70" s="265">
        <f t="shared" si="32"/>
        <v>1.2142110433348912</v>
      </c>
      <c r="E70" s="265">
        <f t="shared" si="32"/>
        <v>1.2031311489203043</v>
      </c>
      <c r="F70" s="265">
        <f t="shared" si="32"/>
        <v>1.1921481082430079</v>
      </c>
      <c r="G70" s="265">
        <f t="shared" si="32"/>
        <v>1.181255451320808</v>
      </c>
      <c r="H70" s="265">
        <f t="shared" si="32"/>
        <v>1.1704592381151184</v>
      </c>
      <c r="I70" s="265">
        <f t="shared" si="32"/>
        <v>1.159753327802455</v>
      </c>
      <c r="J70" s="265">
        <f t="shared" si="32"/>
        <v>1.1491404923136781</v>
      </c>
      <c r="K70" s="266">
        <f t="shared" si="32"/>
        <v>1.1386204158755777</v>
      </c>
      <c r="N70" s="3993"/>
      <c r="O70" s="3995"/>
    </row>
    <row r="71" spans="1:15" ht="13.35" customHeight="1">
      <c r="A71" s="417" t="s">
        <v>2549</v>
      </c>
      <c r="B71" s="4111" t="str">
        <f>IF('Part III-Sources of Funds'!$I$38="","",-FV('Part III-Sources of Funds'!$K$38/12,12,B57/12,K39))</f>
        <v/>
      </c>
      <c r="C71" s="4111" t="str">
        <f>IF('Part III-Sources of Funds'!$I$38="","",-FV('Part III-Sources of Funds'!$K$38/12,12,C57/12,B71))</f>
        <v/>
      </c>
      <c r="D71" s="4111" t="str">
        <f>IF('Part III-Sources of Funds'!$I$38="","",-FV('Part III-Sources of Funds'!$K$38/12,12,D57/12,C71))</f>
        <v/>
      </c>
      <c r="E71" s="4111" t="str">
        <f>IF('Part III-Sources of Funds'!$I$38="","",-FV('Part III-Sources of Funds'!$K$38/12,12,E57/12,D71))</f>
        <v/>
      </c>
      <c r="F71" s="4111" t="str">
        <f>IF('Part III-Sources of Funds'!$I$38="","",-FV('Part III-Sources of Funds'!$K$38/12,12,F57/12,E71))</f>
        <v/>
      </c>
      <c r="G71" s="4111" t="str">
        <f>IF('Part III-Sources of Funds'!$I$38="","",-FV('Part III-Sources of Funds'!$K$38/12,12,G57/12,F71))</f>
        <v/>
      </c>
      <c r="H71" s="4111" t="str">
        <f>IF('Part III-Sources of Funds'!$I$38="","",-FV('Part III-Sources of Funds'!$K$38/12,12,H57/12,G71))</f>
        <v/>
      </c>
      <c r="I71" s="4111" t="str">
        <f>IF('Part III-Sources of Funds'!$I$38="","",-FV('Part III-Sources of Funds'!$K$38/12,12,I57/12,H71))</f>
        <v/>
      </c>
      <c r="J71" s="4111" t="str">
        <f>IF('Part III-Sources of Funds'!$I$38="","",-FV('Part III-Sources of Funds'!$K$38/12,12,J57/12,I71))</f>
        <v/>
      </c>
      <c r="K71" s="4111" t="str">
        <f>IF('Part III-Sources of Funds'!$I$38="","",-FV('Part III-Sources of Funds'!$K$38/12,12,K57/12,J71))</f>
        <v/>
      </c>
      <c r="N71" s="3993"/>
      <c r="O71" s="3995"/>
    </row>
    <row r="72" spans="1:15" ht="13.35" customHeight="1">
      <c r="A72" s="417" t="s">
        <v>2550</v>
      </c>
      <c r="B72" s="4107" t="str">
        <f>IF('Part III-Sources of Funds'!$I$39="","",-FV('Part III-Sources of Funds'!$K$39/12,12,B58/12,K40))</f>
        <v/>
      </c>
      <c r="C72" s="4107" t="str">
        <f>IF('Part III-Sources of Funds'!$I$39="","",-FV('Part III-Sources of Funds'!$K$39/12,12,C58/12,B72))</f>
        <v/>
      </c>
      <c r="D72" s="4107" t="str">
        <f>IF('Part III-Sources of Funds'!$I$39="","",-FV('Part III-Sources of Funds'!$K$39/12,12,D58/12,C72))</f>
        <v/>
      </c>
      <c r="E72" s="4107" t="str">
        <f>IF('Part III-Sources of Funds'!$I$39="","",-FV('Part III-Sources of Funds'!$K$39/12,12,E58/12,D72))</f>
        <v/>
      </c>
      <c r="F72" s="4107" t="str">
        <f>IF('Part III-Sources of Funds'!$I$39="","",-FV('Part III-Sources of Funds'!$K$39/12,12,F58/12,E72))</f>
        <v/>
      </c>
      <c r="G72" s="4107" t="str">
        <f>IF('Part III-Sources of Funds'!$I$39="","",-FV('Part III-Sources of Funds'!$K$39/12,12,G58/12,F72))</f>
        <v/>
      </c>
      <c r="H72" s="4107" t="str">
        <f>IF('Part III-Sources of Funds'!$I$39="","",-FV('Part III-Sources of Funds'!$K$39/12,12,H58/12,G72))</f>
        <v/>
      </c>
      <c r="I72" s="4107" t="str">
        <f>IF('Part III-Sources of Funds'!$I$39="","",-FV('Part III-Sources of Funds'!$K$39/12,12,I58/12,H72))</f>
        <v/>
      </c>
      <c r="J72" s="4107" t="str">
        <f>IF('Part III-Sources of Funds'!$I$39="","",-FV('Part III-Sources of Funds'!$K$39/12,12,J58/12,I72))</f>
        <v/>
      </c>
      <c r="K72" s="4107" t="str">
        <f>IF('Part III-Sources of Funds'!$I$39="","",-FV('Part III-Sources of Funds'!$K$39/12,12,K58/12,J72))</f>
        <v/>
      </c>
      <c r="N72" s="3993"/>
      <c r="O72" s="3995"/>
    </row>
    <row r="73" spans="1:15" ht="13.35" customHeight="1">
      <c r="A73" s="417" t="s">
        <v>2551</v>
      </c>
      <c r="B73" s="4107" t="str">
        <f>IF('Part III-Sources of Funds'!$I$40="","",-FV('Part III-Sources of Funds'!$K$40/12,12,B59/12,K41))</f>
        <v/>
      </c>
      <c r="C73" s="4107" t="str">
        <f>IF('Part III-Sources of Funds'!$I$40="","",-FV('Part III-Sources of Funds'!$K$40/12,12,C59/12,B73))</f>
        <v/>
      </c>
      <c r="D73" s="4107" t="str">
        <f>IF('Part III-Sources of Funds'!$I$40="","",-FV('Part III-Sources of Funds'!$K$40/12,12,D59/12,C73))</f>
        <v/>
      </c>
      <c r="E73" s="4107" t="str">
        <f>IF('Part III-Sources of Funds'!$I$40="","",-FV('Part III-Sources of Funds'!$K$40/12,12,E59/12,D73))</f>
        <v/>
      </c>
      <c r="F73" s="4107" t="str">
        <f>IF('Part III-Sources of Funds'!$I$40="","",-FV('Part III-Sources of Funds'!$K$40/12,12,F59/12,E73))</f>
        <v/>
      </c>
      <c r="G73" s="4107" t="str">
        <f>IF('Part III-Sources of Funds'!$I$40="","",-FV('Part III-Sources of Funds'!$K$40/12,12,G59/12,F73))</f>
        <v/>
      </c>
      <c r="H73" s="4107" t="str">
        <f>IF('Part III-Sources of Funds'!$I$40="","",-FV('Part III-Sources of Funds'!$K$40/12,12,H59/12,G73))</f>
        <v/>
      </c>
      <c r="I73" s="4107" t="str">
        <f>IF('Part III-Sources of Funds'!$I$40="","",-FV('Part III-Sources of Funds'!$K$40/12,12,I59/12,H73))</f>
        <v/>
      </c>
      <c r="J73" s="4107" t="str">
        <f>IF('Part III-Sources of Funds'!$I$40="","",-FV('Part III-Sources of Funds'!$K$40/12,12,J59/12,I73))</f>
        <v/>
      </c>
      <c r="K73" s="4107" t="str">
        <f>IF('Part III-Sources of Funds'!$I$40="","",-FV('Part III-Sources of Funds'!$K$40/12,12,K59/12,J73))</f>
        <v/>
      </c>
      <c r="N73" s="3993"/>
      <c r="O73" s="3995"/>
    </row>
    <row r="74" spans="1:15" ht="13.35" customHeight="1">
      <c r="A74" s="21" t="s">
        <v>764</v>
      </c>
      <c r="B74" s="4107" t="str">
        <f>IF('Part III-Sources of Funds'!$I$41="","",-FV('Part III-Sources of Funds'!$K$41/12,12,B60/12,K42))</f>
        <v/>
      </c>
      <c r="C74" s="4107" t="str">
        <f>IF('Part III-Sources of Funds'!$I$41="","",-FV('Part III-Sources of Funds'!$K$41/12,12,C60/12,B74))</f>
        <v/>
      </c>
      <c r="D74" s="4107" t="str">
        <f>IF('Part III-Sources of Funds'!$I$41="","",-FV('Part III-Sources of Funds'!$K$41/12,12,D60/12,C74))</f>
        <v/>
      </c>
      <c r="E74" s="4107" t="str">
        <f>IF('Part III-Sources of Funds'!$I$41="","",-FV('Part III-Sources of Funds'!$K$41/12,12,E60/12,D74))</f>
        <v/>
      </c>
      <c r="F74" s="4107" t="str">
        <f>IF('Part III-Sources of Funds'!$I$41="","",-FV('Part III-Sources of Funds'!$K$41/12,12,F60/12,E74))</f>
        <v/>
      </c>
      <c r="G74" s="4107" t="str">
        <f>IF('Part III-Sources of Funds'!$I$41="","",-FV('Part III-Sources of Funds'!$K$41/12,12,G60/12,F74))</f>
        <v/>
      </c>
      <c r="H74" s="4107" t="str">
        <f>IF('Part III-Sources of Funds'!$I$41="","",-FV('Part III-Sources of Funds'!$K$41/12,12,H60/12,G74))</f>
        <v/>
      </c>
      <c r="I74" s="4107" t="str">
        <f>IF('Part III-Sources of Funds'!$I$41="","",-FV('Part III-Sources of Funds'!$K$41/12,12,I60/12,H74))</f>
        <v/>
      </c>
      <c r="J74" s="4107" t="str">
        <f>IF('Part III-Sources of Funds'!$I$41="","",-FV('Part III-Sources of Funds'!$K$41/12,12,J60/12,I74))</f>
        <v/>
      </c>
      <c r="K74" s="4107" t="str">
        <f>IF('Part III-Sources of Funds'!$I$41="","",-FV('Part III-Sources of Funds'!$K$41/12,12,K60/12,J74))</f>
        <v/>
      </c>
      <c r="N74" s="3993"/>
      <c r="O74" s="3995"/>
    </row>
    <row r="75" spans="1:15" ht="13.35" customHeight="1">
      <c r="A75" s="417" t="s">
        <v>3771</v>
      </c>
      <c r="B75" s="4110">
        <f>IF('Part III-Sources of Funds'!$I$43="","",IF(-FV('Part III-Sources of Funds'!$K$43/12,12,B63/12,K43)&gt;0,-FV('Part III-Sources of Funds'!$K$43/12,12,B63/12,K43),0))</f>
        <v>1.476317217332992E-9</v>
      </c>
      <c r="C75" s="4110">
        <f>IF('Part III-Sources of Funds'!$I$43="","",IF(-FV('Part III-Sources of Funds'!$K$43/12,12,C63/12,B75)&gt;0,-FV('Part III-Sources of Funds'!$K$43/12,12,C63/12,B75),0))</f>
        <v>1.5988508182630659E-9</v>
      </c>
      <c r="D75" s="4110">
        <f>IF('Part III-Sources of Funds'!$I$43="","",IF(-FV('Part III-Sources of Funds'!$K$43/12,12,D63/12,C75)&gt;0,-FV('Part III-Sources of Funds'!$K$43/12,12,D63/12,C75),0))</f>
        <v>1.7315546476376842E-9</v>
      </c>
      <c r="E75" s="4110">
        <f>IF('Part III-Sources of Funds'!$I$43="","",IF(-FV('Part III-Sources of Funds'!$K$43/12,12,E63/12,D75)&gt;0,-FV('Part III-Sources of Funds'!$K$43/12,12,E63/12,D75),0))</f>
        <v>1.8752728294018639E-9</v>
      </c>
      <c r="F75" s="4110">
        <f>IF('Part III-Sources of Funds'!$I$43="","",IF(-FV('Part III-Sources of Funds'!$K$43/12,12,F63/12,E75)&gt;0,-FV('Part III-Sources of Funds'!$K$43/12,12,F63/12,E75),0))</f>
        <v>2.0309195493717424E-9</v>
      </c>
      <c r="G75" s="4110">
        <f>IF('Part III-Sources of Funds'!$I$43="","",IF(-FV('Part III-Sources of Funds'!$K$43/12,12,G63/12,F75)&gt;0,-FV('Part III-Sources of Funds'!$K$43/12,12,G63/12,F75),0))</f>
        <v>2.1994848703353274E-9</v>
      </c>
      <c r="H75" s="4110" t="str">
        <f>IF('Part III-Sources of Funds'!$I$41="","",-FV('Part III-Sources of Funds'!$K$41/12,12,H61/12,G75))</f>
        <v/>
      </c>
      <c r="I75" s="4110" t="str">
        <f>IF('Part III-Sources of Funds'!$I$41="","",-FV('Part III-Sources of Funds'!$K$41/12,12,I61/12,H75))</f>
        <v/>
      </c>
      <c r="J75" s="4110" t="str">
        <f>IF('Part III-Sources of Funds'!$I$41="","",-FV('Part III-Sources of Funds'!$K$41/12,12,J61/12,I75))</f>
        <v/>
      </c>
      <c r="K75" s="4110" t="str">
        <f>IF('Part III-Sources of Funds'!$I$41="","",-FV('Part III-Sources of Funds'!$K$41/12,12,K61/12,J75))</f>
        <v/>
      </c>
      <c r="N75" s="4024"/>
      <c r="O75" s="402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2484" t="s">
        <v>2554</v>
      </c>
      <c r="O77" s="2484"/>
    </row>
    <row r="78" spans="1:15" ht="13.35" customHeight="1">
      <c r="A78" s="18" t="s">
        <v>2341</v>
      </c>
      <c r="B78" s="19">
        <f t="shared" ref="B78:K78" si="34">$B$14*(1+$B$5)^(B77-1)</f>
        <v>535832.6309897945</v>
      </c>
      <c r="C78" s="19">
        <f t="shared" si="34"/>
        <v>546549.28360959038</v>
      </c>
      <c r="D78" s="19">
        <f t="shared" si="34"/>
        <v>557480.26928178221</v>
      </c>
      <c r="E78" s="19">
        <f t="shared" si="34"/>
        <v>568629.87466741772</v>
      </c>
      <c r="F78" s="19">
        <f t="shared" si="34"/>
        <v>580002.47216076613</v>
      </c>
      <c r="G78" s="19">
        <f t="shared" si="34"/>
        <v>591602.5216039815</v>
      </c>
      <c r="H78" s="19">
        <f t="shared" si="34"/>
        <v>603434.5720360612</v>
      </c>
      <c r="I78" s="19">
        <f t="shared" si="34"/>
        <v>615503.26347678225</v>
      </c>
      <c r="J78" s="19">
        <f t="shared" si="34"/>
        <v>627813.328746318</v>
      </c>
      <c r="K78" s="20">
        <f t="shared" si="34"/>
        <v>640369.59532124433</v>
      </c>
      <c r="N78" s="4031"/>
      <c r="O78" s="4033"/>
    </row>
    <row r="79" spans="1:15" ht="13.35" customHeight="1">
      <c r="A79" s="21" t="s">
        <v>994</v>
      </c>
      <c r="B79" s="22">
        <f t="shared" ref="B79:K79" si="35">$B$15*(1+$B$5)^(B77-1)</f>
        <v>10716.65261979589</v>
      </c>
      <c r="C79" s="22">
        <f t="shared" si="35"/>
        <v>10930.985672191808</v>
      </c>
      <c r="D79" s="22">
        <f t="shared" si="35"/>
        <v>11149.605385635645</v>
      </c>
      <c r="E79" s="22">
        <f t="shared" si="35"/>
        <v>11372.597493348356</v>
      </c>
      <c r="F79" s="22">
        <f t="shared" si="35"/>
        <v>11600.049443215323</v>
      </c>
      <c r="G79" s="22">
        <f t="shared" si="35"/>
        <v>11832.05043207963</v>
      </c>
      <c r="H79" s="22">
        <f t="shared" si="35"/>
        <v>12068.691440721223</v>
      </c>
      <c r="I79" s="22">
        <f t="shared" si="35"/>
        <v>12310.065269535646</v>
      </c>
      <c r="J79" s="22">
        <f t="shared" si="35"/>
        <v>12556.266574926361</v>
      </c>
      <c r="K79" s="23">
        <f t="shared" si="35"/>
        <v>12807.391906424886</v>
      </c>
      <c r="N79" s="3993"/>
      <c r="O79" s="3995"/>
    </row>
    <row r="80" spans="1:15" ht="13.35" customHeight="1">
      <c r="A80" s="21" t="s">
        <v>2342</v>
      </c>
      <c r="B80" s="22">
        <f t="shared" ref="B80:K80" si="36">-(B78+B79)*$B$8</f>
        <v>-38258.449852671329</v>
      </c>
      <c r="C80" s="22">
        <f t="shared" si="36"/>
        <v>-39023.618849724757</v>
      </c>
      <c r="D80" s="22">
        <f t="shared" si="36"/>
        <v>-39804.091226719254</v>
      </c>
      <c r="E80" s="22">
        <f t="shared" si="36"/>
        <v>-40600.173051253631</v>
      </c>
      <c r="F80" s="22">
        <f t="shared" si="36"/>
        <v>-41412.176512278711</v>
      </c>
      <c r="G80" s="22">
        <f t="shared" si="36"/>
        <v>-42240.420042524282</v>
      </c>
      <c r="H80" s="22">
        <f t="shared" si="36"/>
        <v>-43085.228443374777</v>
      </c>
      <c r="I80" s="22">
        <f t="shared" si="36"/>
        <v>-43946.933012242254</v>
      </c>
      <c r="J80" s="22">
        <f t="shared" si="36"/>
        <v>-44825.871672487105</v>
      </c>
      <c r="K80" s="23">
        <f t="shared" si="36"/>
        <v>-45722.389105936847</v>
      </c>
      <c r="N80" s="3993"/>
      <c r="O80" s="39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3"/>
      <c r="O81" s="39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3"/>
      <c r="O82" s="3995"/>
    </row>
    <row r="83" spans="1:19" ht="13.35" customHeight="1">
      <c r="A83" s="417" t="s">
        <v>4377</v>
      </c>
      <c r="B83" s="22">
        <f t="shared" ref="B83:K83" si="37">SUM(B78:B82)</f>
        <v>508290.83375691902</v>
      </c>
      <c r="C83" s="22">
        <f t="shared" si="37"/>
        <v>518456.65043205745</v>
      </c>
      <c r="D83" s="22">
        <f t="shared" si="37"/>
        <v>528825.78344069864</v>
      </c>
      <c r="E83" s="22">
        <f t="shared" si="37"/>
        <v>539402.29910951247</v>
      </c>
      <c r="F83" s="22">
        <f t="shared" si="37"/>
        <v>550190.34509170277</v>
      </c>
      <c r="G83" s="22">
        <f t="shared" si="37"/>
        <v>561194.15199353686</v>
      </c>
      <c r="H83" s="22">
        <f t="shared" si="37"/>
        <v>572418.03503340774</v>
      </c>
      <c r="I83" s="22">
        <f t="shared" si="37"/>
        <v>583866.39573407569</v>
      </c>
      <c r="J83" s="22">
        <f t="shared" si="37"/>
        <v>595543.72364875721</v>
      </c>
      <c r="K83" s="23">
        <f t="shared" si="37"/>
        <v>607454.59812173236</v>
      </c>
      <c r="N83" s="3993"/>
      <c r="O83" s="3995"/>
    </row>
    <row r="84" spans="1:19" ht="13.35" customHeight="1">
      <c r="A84" s="21" t="s">
        <v>597</v>
      </c>
      <c r="B84" s="22">
        <f t="shared" ref="B84:K84" si="38">$B$20*(1+$B$6)^(B77-1)</f>
        <v>-389036.35994779161</v>
      </c>
      <c r="C84" s="22">
        <f t="shared" si="38"/>
        <v>-400707.45074622531</v>
      </c>
      <c r="D84" s="22">
        <f t="shared" si="38"/>
        <v>-412728.67426861211</v>
      </c>
      <c r="E84" s="22">
        <f t="shared" si="38"/>
        <v>-425110.53449667047</v>
      </c>
      <c r="F84" s="22">
        <f t="shared" si="38"/>
        <v>-437863.85053157056</v>
      </c>
      <c r="G84" s="22">
        <f t="shared" si="38"/>
        <v>-450999.76604751765</v>
      </c>
      <c r="H84" s="22">
        <f t="shared" si="38"/>
        <v>-464529.75902894326</v>
      </c>
      <c r="I84" s="22">
        <f t="shared" si="38"/>
        <v>-478465.65179981152</v>
      </c>
      <c r="J84" s="22">
        <f t="shared" si="38"/>
        <v>-492819.62135380582</v>
      </c>
      <c r="K84" s="23">
        <f t="shared" si="38"/>
        <v>-507604.20999441994</v>
      </c>
      <c r="N84" s="3993"/>
      <c r="O84" s="399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-25415</v>
      </c>
      <c r="C85" s="22">
        <f>IF(AND('Part VII-Pro Forma'!$G$8="Yes",'Part VII-Pro Forma'!$G$9="Yes"),"Choose One!",IF('Part VII-Pro Forma'!$G$8="Yes",ROUND((-$K$8*(1+'Part VII-Pro Forma'!$B$6)^('Part VII-Pro Forma'!C77-1)),),IF('Part VII-Pro Forma'!$G$9="Yes",ROUND((-(SUM(C78:C81)*'Part VII-Pro Forma'!$K$9)),),"Choose mgt fee")))</f>
        <v>-25923</v>
      </c>
      <c r="D85" s="22">
        <f>IF(AND('Part VII-Pro Forma'!$G$8="Yes",'Part VII-Pro Forma'!$G$9="Yes"),"Choose One!",IF('Part VII-Pro Forma'!$G$8="Yes",ROUND((-$K$8*(1+'Part VII-Pro Forma'!$B$6)^('Part VII-Pro Forma'!D77-1)),),IF('Part VII-Pro Forma'!$G$9="Yes",ROUND((-(SUM(D78:D81)*'Part VII-Pro Forma'!$K$9)),),"Choose mgt fee")))</f>
        <v>-26441</v>
      </c>
      <c r="E85" s="22">
        <f>IF(AND('Part VII-Pro Forma'!$G$8="Yes",'Part VII-Pro Forma'!$G$9="Yes"),"Choose One!",IF('Part VII-Pro Forma'!$G$8="Yes",ROUND((-$K$8*(1+'Part VII-Pro Forma'!$B$6)^('Part VII-Pro Forma'!E77-1)),),IF('Part VII-Pro Forma'!$G$9="Yes",ROUND((-(SUM(E78:E81)*'Part VII-Pro Forma'!$K$9)),),"Choose mgt fee")))</f>
        <v>-26970</v>
      </c>
      <c r="F85" s="22">
        <f>IF(AND('Part VII-Pro Forma'!$G$8="Yes",'Part VII-Pro Forma'!$G$9="Yes"),"Choose One!",IF('Part VII-Pro Forma'!$G$8="Yes",ROUND((-$K$8*(1+'Part VII-Pro Forma'!$B$6)^('Part VII-Pro Forma'!F77-1)),),IF('Part VII-Pro Forma'!$G$9="Yes",ROUND((-(SUM(F78:F81)*'Part VII-Pro Forma'!$K$9)),),"Choose mgt fee")))</f>
        <v>-27510</v>
      </c>
      <c r="G85" s="22">
        <f>IF(AND('Part VII-Pro Forma'!$G$8="Yes",'Part VII-Pro Forma'!$G$9="Yes"),"Choose One!",IF('Part VII-Pro Forma'!$G$8="Yes",ROUND((-$K$8*(1+'Part VII-Pro Forma'!$B$6)^('Part VII-Pro Forma'!G77-1)),),IF('Part VII-Pro Forma'!$G$9="Yes",ROUND((-(SUM(G78:G81)*'Part VII-Pro Forma'!$K$9)),),"Choose mgt fee")))</f>
        <v>-28060</v>
      </c>
      <c r="H85" s="22">
        <f>IF(AND('Part VII-Pro Forma'!$G$8="Yes",'Part VII-Pro Forma'!$G$9="Yes"),"Choose One!",IF('Part VII-Pro Forma'!$G$8="Yes",ROUND((-$K$8*(1+'Part VII-Pro Forma'!$B$6)^('Part VII-Pro Forma'!H77-1)),),IF('Part VII-Pro Forma'!$G$9="Yes",ROUND((-(SUM(H78:H81)*'Part VII-Pro Forma'!$K$9)),),"Choose mgt fee")))</f>
        <v>-28621</v>
      </c>
      <c r="I85" s="22">
        <f>IF(AND('Part VII-Pro Forma'!$G$8="Yes",'Part VII-Pro Forma'!$G$9="Yes"),"Choose One!",IF('Part VII-Pro Forma'!$G$8="Yes",ROUND((-$K$8*(1+'Part VII-Pro Forma'!$B$6)^('Part VII-Pro Forma'!I77-1)),),IF('Part VII-Pro Forma'!$G$9="Yes",ROUND((-(SUM(I78:I81)*'Part VII-Pro Forma'!$K$9)),),"Choose mgt fee")))</f>
        <v>-29193</v>
      </c>
      <c r="J85" s="22">
        <f>IF(AND('Part VII-Pro Forma'!$G$8="Yes",'Part VII-Pro Forma'!$G$9="Yes"),"Choose One!",IF('Part VII-Pro Forma'!$G$8="Yes",ROUND((-$K$8*(1+'Part VII-Pro Forma'!$B$6)^('Part VII-Pro Forma'!J77-1)),),IF('Part VII-Pro Forma'!$G$9="Yes",ROUND((-(SUM(J78:J81)*'Part VII-Pro Forma'!$K$9)),),"Choose mgt fee")))</f>
        <v>-29777</v>
      </c>
      <c r="K85" s="23">
        <f>IF(AND('Part VII-Pro Forma'!$G$8="Yes",'Part VII-Pro Forma'!$G$9="Yes"),"Choose One!",IF('Part VII-Pro Forma'!$G$8="Yes",ROUND((-$K$8*(1+'Part VII-Pro Forma'!$B$6)^('Part VII-Pro Forma'!K77-1)),),IF('Part VII-Pro Forma'!$G$9="Yes",ROUND((-(SUM(K78:K81)*'Part VII-Pro Forma'!$K$9)),),"Choose mgt fee")))</f>
        <v>-30373</v>
      </c>
      <c r="N85" s="3993"/>
      <c r="O85" s="3995"/>
    </row>
    <row r="86" spans="1:19" ht="13.35" customHeight="1">
      <c r="A86" s="21" t="s">
        <v>1176</v>
      </c>
      <c r="B86" s="22">
        <f t="shared" ref="B86:K86" si="39">$B$22*(1+$B$7)^(B77-1)</f>
        <v>-36086.10246869488</v>
      </c>
      <c r="C86" s="22">
        <f t="shared" si="39"/>
        <v>-37168.685542755717</v>
      </c>
      <c r="D86" s="22">
        <f t="shared" si="39"/>
        <v>-38283.746109038395</v>
      </c>
      <c r="E86" s="22">
        <f t="shared" si="39"/>
        <v>-39432.258492309549</v>
      </c>
      <c r="F86" s="22">
        <f t="shared" si="39"/>
        <v>-40615.226247078826</v>
      </c>
      <c r="G86" s="22">
        <f t="shared" si="39"/>
        <v>-41833.683034491194</v>
      </c>
      <c r="H86" s="22">
        <f t="shared" si="39"/>
        <v>-43088.693525525938</v>
      </c>
      <c r="I86" s="22">
        <f t="shared" si="39"/>
        <v>-44381.35433129171</v>
      </c>
      <c r="J86" s="22">
        <f t="shared" si="39"/>
        <v>-45712.794961230458</v>
      </c>
      <c r="K86" s="23">
        <f t="shared" si="39"/>
        <v>-47084.178810067366</v>
      </c>
      <c r="N86" s="3993"/>
      <c r="O86" s="3995"/>
      <c r="Q86" s="929">
        <v>10</v>
      </c>
      <c r="R86" s="1043">
        <f>-SUM(B92:K92)</f>
        <v>0</v>
      </c>
      <c r="S86" s="1043">
        <f>SUM(B93:K93)+R86</f>
        <v>0</v>
      </c>
    </row>
    <row r="87" spans="1:19" ht="13.35" customHeight="1">
      <c r="A87" s="417" t="s">
        <v>4376</v>
      </c>
      <c r="B87" s="4105">
        <f>IF(B77&lt;=+'Part VI-Revenues &amp; Expenses'!$N$250,-'Part VI-Revenues &amp; Expenses'!$K$250,0)</f>
        <v>0</v>
      </c>
      <c r="C87" s="4105">
        <f>IF(C77&lt;=+'Part VI-Revenues &amp; Expenses'!$N$250,-'Part VI-Revenues &amp; Expenses'!$K$250,0)</f>
        <v>0</v>
      </c>
      <c r="D87" s="4105">
        <f>IF(D77&lt;=+'Part VI-Revenues &amp; Expenses'!$N$250,-'Part VI-Revenues &amp; Expenses'!$K$250,0)</f>
        <v>0</v>
      </c>
      <c r="E87" s="4105">
        <f>IF(E77&lt;=+'Part VI-Revenues &amp; Expenses'!$N$250,-'Part VI-Revenues &amp; Expenses'!$K$250,0)</f>
        <v>0</v>
      </c>
      <c r="F87" s="4105">
        <f>IF(F77&lt;=+'Part VI-Revenues &amp; Expenses'!$N$250,-'Part VI-Revenues &amp; Expenses'!$K$250,0)</f>
        <v>0</v>
      </c>
      <c r="G87" s="4105">
        <f>IF(G77&lt;=+'Part VI-Revenues &amp; Expenses'!$N$250,-'Part VI-Revenues &amp; Expenses'!$K$250,0)</f>
        <v>0</v>
      </c>
      <c r="H87" s="4105">
        <f>IF(H77&lt;=+'Part VI-Revenues &amp; Expenses'!$N$250,-'Part VI-Revenues &amp; Expenses'!$K$250,0)</f>
        <v>0</v>
      </c>
      <c r="I87" s="4105">
        <f>IF(I77&lt;=+'Part VI-Revenues &amp; Expenses'!$N$250,-'Part VI-Revenues &amp; Expenses'!$K$250,0)</f>
        <v>0</v>
      </c>
      <c r="J87" s="4105">
        <f>IF(J77&lt;=+'Part VI-Revenues &amp; Expenses'!$N$250,-'Part VI-Revenues &amp; Expenses'!$K$250,0)</f>
        <v>0</v>
      </c>
      <c r="K87" s="4105">
        <f>IF(K77&lt;=+'Part VI-Revenues &amp; Expenses'!$N$250,-'Part VI-Revenues &amp; Expenses'!$K$250,0)</f>
        <v>0</v>
      </c>
      <c r="N87" s="3993"/>
      <c r="O87" s="3995"/>
    </row>
    <row r="88" spans="1:19" ht="13.35" customHeight="1">
      <c r="A88" s="21" t="s">
        <v>1177</v>
      </c>
      <c r="B88" s="22">
        <f t="shared" ref="B88:K88" si="40">SUM(B83:B87)</f>
        <v>57753.371340432524</v>
      </c>
      <c r="C88" s="22">
        <f t="shared" si="40"/>
        <v>54657.51414307642</v>
      </c>
      <c r="D88" s="22">
        <f t="shared" si="40"/>
        <v>51372.363063048128</v>
      </c>
      <c r="E88" s="22">
        <f t="shared" si="40"/>
        <v>47889.506120532453</v>
      </c>
      <c r="F88" s="22">
        <f t="shared" si="40"/>
        <v>44201.268313053384</v>
      </c>
      <c r="G88" s="22">
        <f t="shared" si="40"/>
        <v>40300.702911528009</v>
      </c>
      <c r="H88" s="22">
        <f t="shared" si="40"/>
        <v>36178.582478938544</v>
      </c>
      <c r="I88" s="22">
        <f t="shared" si="40"/>
        <v>31826.389602972464</v>
      </c>
      <c r="J88" s="22">
        <f t="shared" si="40"/>
        <v>27234.307333720928</v>
      </c>
      <c r="K88" s="1482">
        <f t="shared" si="40"/>
        <v>22393.209317245048</v>
      </c>
      <c r="N88" s="3993"/>
      <c r="O88" s="3995"/>
    </row>
    <row r="89" spans="1:19" ht="13.35" customHeight="1">
      <c r="A89" s="21" t="str">
        <f>$A57</f>
        <v>Mortgage A</v>
      </c>
      <c r="B89" s="4106">
        <f>IF('Part III-Sources of Funds'!$P$38="", 0,-'Part III-Sources of Funds'!$P$38)</f>
        <v>0</v>
      </c>
      <c r="C89" s="4106">
        <f>IF('Part III-Sources of Funds'!$P$38="", 0,-'Part III-Sources of Funds'!$P$38)</f>
        <v>0</v>
      </c>
      <c r="D89" s="4106">
        <f>IF('Part III-Sources of Funds'!$P$38="", 0,-'Part III-Sources of Funds'!$P$38)</f>
        <v>0</v>
      </c>
      <c r="E89" s="4106">
        <f>IF('Part III-Sources of Funds'!$P$38="", 0,-'Part III-Sources of Funds'!$P$38)</f>
        <v>0</v>
      </c>
      <c r="F89" s="4106">
        <f>IF('Part III-Sources of Funds'!$P$38="", 0,-'Part III-Sources of Funds'!$P$38)</f>
        <v>0</v>
      </c>
      <c r="G89" s="4106">
        <f>IF('Part III-Sources of Funds'!$P$38="", 0,-'Part III-Sources of Funds'!$P$38)</f>
        <v>0</v>
      </c>
      <c r="H89" s="4106">
        <f>IF('Part III-Sources of Funds'!$P$38="", 0,-'Part III-Sources of Funds'!$P$38)</f>
        <v>0</v>
      </c>
      <c r="I89" s="4106">
        <f>IF('Part III-Sources of Funds'!$P$38="", 0,-'Part III-Sources of Funds'!$P$38)</f>
        <v>0</v>
      </c>
      <c r="J89" s="4106">
        <f>IF('Part III-Sources of Funds'!$P$38="", 0,-'Part III-Sources of Funds'!$P$38)</f>
        <v>0</v>
      </c>
      <c r="K89" s="4106">
        <f>IF('Part III-Sources of Funds'!$P$38="", 0,-'Part III-Sources of Funds'!$P$38)</f>
        <v>0</v>
      </c>
      <c r="N89" s="3993"/>
      <c r="O89" s="3995"/>
    </row>
    <row r="90" spans="1:19" ht="13.35" customHeight="1">
      <c r="A90" s="21" t="str">
        <f>$A58</f>
        <v>Mortgage B</v>
      </c>
      <c r="B90" s="4107">
        <f>IF('Part III-Sources of Funds'!$P$39="", 0,-'Part III-Sources of Funds'!$P$39)</f>
        <v>0</v>
      </c>
      <c r="C90" s="4107">
        <f>IF('Part III-Sources of Funds'!$P$39="", 0,-'Part III-Sources of Funds'!$P$39)</f>
        <v>0</v>
      </c>
      <c r="D90" s="4107">
        <f>IF('Part III-Sources of Funds'!$P$39="", 0,-'Part III-Sources of Funds'!$P$39)</f>
        <v>0</v>
      </c>
      <c r="E90" s="4107">
        <f>IF('Part III-Sources of Funds'!$P$39="", 0,-'Part III-Sources of Funds'!$P$39)</f>
        <v>0</v>
      </c>
      <c r="F90" s="4107">
        <f>IF('Part III-Sources of Funds'!$P$39="", 0,-'Part III-Sources of Funds'!$P$39)</f>
        <v>0</v>
      </c>
      <c r="G90" s="4107">
        <f>IF('Part III-Sources of Funds'!$P$39="", 0,-'Part III-Sources of Funds'!$P$39)</f>
        <v>0</v>
      </c>
      <c r="H90" s="4107">
        <f>IF('Part III-Sources of Funds'!$P$39="", 0,-'Part III-Sources of Funds'!$P$39)</f>
        <v>0</v>
      </c>
      <c r="I90" s="4107">
        <f>IF('Part III-Sources of Funds'!$P$39="", 0,-'Part III-Sources of Funds'!$P$39)</f>
        <v>0</v>
      </c>
      <c r="J90" s="4107">
        <f>IF('Part III-Sources of Funds'!$P$39="", 0,-'Part III-Sources of Funds'!$P$39)</f>
        <v>0</v>
      </c>
      <c r="K90" s="4107">
        <f>IF('Part III-Sources of Funds'!$P$39="", 0,-'Part III-Sources of Funds'!$P$39)</f>
        <v>0</v>
      </c>
      <c r="N90" s="3993"/>
      <c r="O90" s="3995"/>
    </row>
    <row r="91" spans="1:19" ht="13.35" customHeight="1">
      <c r="A91" s="21" t="str">
        <f>$A59</f>
        <v>Mortgage C</v>
      </c>
      <c r="B91" s="4107">
        <f>IF('Part III-Sources of Funds'!$P$40="", 0,-'Part III-Sources of Funds'!$P$40)</f>
        <v>0</v>
      </c>
      <c r="C91" s="4107">
        <f>IF('Part III-Sources of Funds'!$P$40="", 0,-'Part III-Sources of Funds'!$P$40)</f>
        <v>0</v>
      </c>
      <c r="D91" s="4107">
        <f>IF('Part III-Sources of Funds'!$P$40="", 0,-'Part III-Sources of Funds'!$P$40)</f>
        <v>0</v>
      </c>
      <c r="E91" s="4107">
        <f>IF('Part III-Sources of Funds'!$P$40="", 0,-'Part III-Sources of Funds'!$P$40)</f>
        <v>0</v>
      </c>
      <c r="F91" s="4107">
        <f>IF('Part III-Sources of Funds'!$P$40="", 0,-'Part III-Sources of Funds'!$P$40)</f>
        <v>0</v>
      </c>
      <c r="G91" s="4107">
        <f>IF('Part III-Sources of Funds'!$P$40="", 0,-'Part III-Sources of Funds'!$P$40)</f>
        <v>0</v>
      </c>
      <c r="H91" s="4107">
        <f>IF('Part III-Sources of Funds'!$P$40="", 0,-'Part III-Sources of Funds'!$P$40)</f>
        <v>0</v>
      </c>
      <c r="I91" s="4107">
        <f>IF('Part III-Sources of Funds'!$P$40="", 0,-'Part III-Sources of Funds'!$P$40)</f>
        <v>0</v>
      </c>
      <c r="J91" s="4107">
        <f>IF('Part III-Sources of Funds'!$P$40="", 0,-'Part III-Sources of Funds'!$P$40)</f>
        <v>0</v>
      </c>
      <c r="K91" s="4107">
        <f>IF('Part III-Sources of Funds'!$P$40="", 0,-'Part III-Sources of Funds'!$P$40)</f>
        <v>0</v>
      </c>
      <c r="N91" s="3993"/>
      <c r="O91" s="3995"/>
    </row>
    <row r="92" spans="1:19" ht="13.35" customHeight="1">
      <c r="A92" s="21" t="str">
        <f>$A60</f>
        <v>D/S Other Source,not DDF</v>
      </c>
      <c r="B92" s="4107">
        <f>IF('Part III-Sources of Funds'!$P$41="", 0,-'Part III-Sources of Funds'!$P$41)</f>
        <v>0</v>
      </c>
      <c r="C92" s="4107">
        <f>IF('Part III-Sources of Funds'!$P$41="", 0,-'Part III-Sources of Funds'!$P$41)</f>
        <v>0</v>
      </c>
      <c r="D92" s="4107">
        <f>IF('Part III-Sources of Funds'!$P$41="", 0,-'Part III-Sources of Funds'!$P$41)</f>
        <v>0</v>
      </c>
      <c r="E92" s="4107">
        <f>IF('Part III-Sources of Funds'!$P$41="", 0,-'Part III-Sources of Funds'!$P$41)</f>
        <v>0</v>
      </c>
      <c r="F92" s="4107">
        <f>IF('Part III-Sources of Funds'!$P$41="", 0,-'Part III-Sources of Funds'!$P$41)</f>
        <v>0</v>
      </c>
      <c r="G92" s="4107">
        <f>IF('Part III-Sources of Funds'!$P$41="", 0,-'Part III-Sources of Funds'!$P$41)</f>
        <v>0</v>
      </c>
      <c r="H92" s="4107">
        <f>IF('Part III-Sources of Funds'!$P$41="", 0,-'Part III-Sources of Funds'!$P$41)</f>
        <v>0</v>
      </c>
      <c r="I92" s="4107">
        <f>IF('Part III-Sources of Funds'!$P$41="", 0,-'Part III-Sources of Funds'!$P$41)</f>
        <v>0</v>
      </c>
      <c r="J92" s="4107">
        <f>IF('Part III-Sources of Funds'!$P$41="", 0,-'Part III-Sources of Funds'!$P$41)</f>
        <v>0</v>
      </c>
      <c r="K92" s="4107">
        <f>IF('Part III-Sources of Funds'!$P$41="", 0,-'Part III-Sources of Funds'!$P$41)</f>
        <v>0</v>
      </c>
      <c r="N92" s="3993"/>
      <c r="O92" s="3995"/>
    </row>
    <row r="93" spans="1:19" ht="13.35" customHeight="1">
      <c r="A93" s="21" t="s">
        <v>745</v>
      </c>
      <c r="B93" s="4108"/>
      <c r="C93" s="4108"/>
      <c r="D93" s="4108"/>
      <c r="E93" s="4108"/>
      <c r="F93" s="4108"/>
      <c r="G93" s="4108"/>
      <c r="H93" s="4108"/>
      <c r="I93" s="4108"/>
      <c r="J93" s="4108"/>
      <c r="K93" s="4108"/>
      <c r="N93" s="3993"/>
      <c r="O93" s="3995"/>
    </row>
    <row r="94" spans="1:19" ht="13.35" customHeight="1">
      <c r="A94" s="417" t="s">
        <v>1141</v>
      </c>
      <c r="B94" s="4110">
        <f>+K62</f>
        <v>0</v>
      </c>
      <c r="C94" s="4110">
        <f t="shared" ref="C94:K94" si="41">+B94</f>
        <v>0</v>
      </c>
      <c r="D94" s="4110">
        <f t="shared" si="41"/>
        <v>0</v>
      </c>
      <c r="E94" s="4110">
        <f t="shared" si="41"/>
        <v>0</v>
      </c>
      <c r="F94" s="4110">
        <f t="shared" si="41"/>
        <v>0</v>
      </c>
      <c r="G94" s="4110">
        <f t="shared" si="41"/>
        <v>0</v>
      </c>
      <c r="H94" s="4110">
        <f t="shared" si="41"/>
        <v>0</v>
      </c>
      <c r="I94" s="4110">
        <f t="shared" si="41"/>
        <v>0</v>
      </c>
      <c r="J94" s="4110">
        <f t="shared" si="41"/>
        <v>0</v>
      </c>
      <c r="K94" s="4110">
        <f t="shared" si="41"/>
        <v>0</v>
      </c>
      <c r="N94" s="3993"/>
      <c r="O94" s="3995"/>
    </row>
    <row r="95" spans="1:19" ht="13.35" customHeight="1">
      <c r="A95" s="21" t="s">
        <v>1142</v>
      </c>
      <c r="B95" s="22">
        <f t="shared" ref="B95:K95" si="42">SUM(B88:B94)</f>
        <v>57753.371340432524</v>
      </c>
      <c r="C95" s="22">
        <f t="shared" si="42"/>
        <v>54657.51414307642</v>
      </c>
      <c r="D95" s="22">
        <f t="shared" si="42"/>
        <v>51372.363063048128</v>
      </c>
      <c r="E95" s="22">
        <f t="shared" si="42"/>
        <v>47889.506120532453</v>
      </c>
      <c r="F95" s="22">
        <f t="shared" si="42"/>
        <v>44201.268313053384</v>
      </c>
      <c r="G95" s="22">
        <f t="shared" si="42"/>
        <v>40300.702911528009</v>
      </c>
      <c r="H95" s="22">
        <f t="shared" si="42"/>
        <v>36178.582478938544</v>
      </c>
      <c r="I95" s="22">
        <f t="shared" si="42"/>
        <v>31826.389602972464</v>
      </c>
      <c r="J95" s="22">
        <f t="shared" si="42"/>
        <v>27234.307333720928</v>
      </c>
      <c r="K95" s="23">
        <f t="shared" si="42"/>
        <v>22393.209317245048</v>
      </c>
      <c r="N95" s="3993"/>
      <c r="O95" s="3995"/>
    </row>
    <row r="96" spans="1:19" ht="13.35" customHeight="1">
      <c r="A96" s="21" t="str">
        <f>$A65</f>
        <v>DCR Mortgage A</v>
      </c>
      <c r="B96" s="24" t="str">
        <f t="shared" ref="B96:K96" si="43">IF(B89=0,"",-B88/B89)</f>
        <v/>
      </c>
      <c r="C96" s="24" t="str">
        <f t="shared" si="43"/>
        <v/>
      </c>
      <c r="D96" s="24" t="str">
        <f t="shared" si="43"/>
        <v/>
      </c>
      <c r="E96" s="24" t="str">
        <f t="shared" si="43"/>
        <v/>
      </c>
      <c r="F96" s="24" t="str">
        <f t="shared" si="43"/>
        <v/>
      </c>
      <c r="G96" s="24" t="str">
        <f t="shared" si="43"/>
        <v/>
      </c>
      <c r="H96" s="24" t="str">
        <f t="shared" si="43"/>
        <v/>
      </c>
      <c r="I96" s="24" t="str">
        <f t="shared" si="43"/>
        <v/>
      </c>
      <c r="J96" s="24" t="str">
        <f t="shared" si="43"/>
        <v/>
      </c>
      <c r="K96" s="25" t="str">
        <f t="shared" si="43"/>
        <v/>
      </c>
      <c r="N96" s="3993"/>
      <c r="O96" s="3995"/>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993"/>
      <c r="O97" s="3995"/>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993"/>
      <c r="O98" s="3995"/>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993"/>
      <c r="O99" s="3995"/>
    </row>
    <row r="100" spans="1:15" ht="13.35" customHeight="1">
      <c r="A100" s="417" t="s">
        <v>3532</v>
      </c>
      <c r="B100" s="24" t="str">
        <f t="shared" ref="B100:K100" si="47">IF(AND(B89=0,B90=0,B91=0,B92=0),"",-B88/(B89+B90+B91+B92))</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993"/>
      <c r="O100" s="3995"/>
    </row>
    <row r="101" spans="1:15" ht="13.35" customHeight="1">
      <c r="A101" s="21" t="s">
        <v>752</v>
      </c>
      <c r="B101" s="265">
        <f>IF(OR(B85="Choose mgt fee",B85="Choose One!"),"",(B78+B79+B80+B81+B82) / -(B84+B85+B86))</f>
        <v>1.1281877227937243</v>
      </c>
      <c r="C101" s="265">
        <f t="shared" ref="C101:K101" si="48">IF(OR(C85="Choose mgt fee",C85="Choose One!"),"",(C78+C79+C80+C81+C82) / -(C84+C85+C86))</f>
        <v>1.1178473823397135</v>
      </c>
      <c r="D101" s="265">
        <f t="shared" si="48"/>
        <v>1.1075965965903316</v>
      </c>
      <c r="E101" s="265">
        <f t="shared" si="48"/>
        <v>1.0974328782559402</v>
      </c>
      <c r="F101" s="265">
        <f t="shared" si="48"/>
        <v>1.0873561709957422</v>
      </c>
      <c r="G101" s="265">
        <f t="shared" si="48"/>
        <v>1.0773684195540403</v>
      </c>
      <c r="H101" s="265">
        <f t="shared" si="48"/>
        <v>1.0674672150782558</v>
      </c>
      <c r="I101" s="265">
        <f t="shared" si="48"/>
        <v>1.0576523245589089</v>
      </c>
      <c r="J101" s="265">
        <f t="shared" si="48"/>
        <v>1.0479216190192842</v>
      </c>
      <c r="K101" s="266">
        <f t="shared" si="48"/>
        <v>1.0382749737818167</v>
      </c>
      <c r="N101" s="3993"/>
      <c r="O101" s="3995"/>
    </row>
    <row r="102" spans="1:15" ht="13.35" customHeight="1">
      <c r="A102" s="417" t="s">
        <v>2549</v>
      </c>
      <c r="B102" s="4111" t="str">
        <f>IF('Part III-Sources of Funds'!$I$38="","",-FV('Part III-Sources of Funds'!$K$38/12,12,B89/12,K71))</f>
        <v/>
      </c>
      <c r="C102" s="4111" t="str">
        <f>IF('Part III-Sources of Funds'!$I$38="","",-FV('Part III-Sources of Funds'!$K$38/12,12,C89/12,B102))</f>
        <v/>
      </c>
      <c r="D102" s="4111" t="str">
        <f>IF('Part III-Sources of Funds'!$I$38="","",-FV('Part III-Sources of Funds'!$K$38/12,12,D89/12,C102))</f>
        <v/>
      </c>
      <c r="E102" s="4111" t="str">
        <f>IF('Part III-Sources of Funds'!$I$38="","",-FV('Part III-Sources of Funds'!$K$38/12,12,E89/12,D102))</f>
        <v/>
      </c>
      <c r="F102" s="4111" t="str">
        <f>IF('Part III-Sources of Funds'!$I$38="","",-FV('Part III-Sources of Funds'!$K$38/12,12,F89/12,E102))</f>
        <v/>
      </c>
      <c r="G102" s="4111" t="str">
        <f>IF('Part III-Sources of Funds'!$I$38="","",-FV('Part III-Sources of Funds'!$K$38/12,12,G89/12,F102))</f>
        <v/>
      </c>
      <c r="H102" s="4111" t="str">
        <f>IF('Part III-Sources of Funds'!$I$38="","",-FV('Part III-Sources of Funds'!$K$38/12,12,H89/12,G102))</f>
        <v/>
      </c>
      <c r="I102" s="4111" t="str">
        <f>IF('Part III-Sources of Funds'!$I$38="","",-FV('Part III-Sources of Funds'!$K$38/12,12,I89/12,H102))</f>
        <v/>
      </c>
      <c r="J102" s="4111" t="str">
        <f>IF('Part III-Sources of Funds'!$I$38="","",-FV('Part III-Sources of Funds'!$K$38/12,12,J89/12,I102))</f>
        <v/>
      </c>
      <c r="K102" s="4111" t="str">
        <f>IF('Part III-Sources of Funds'!$I$38="","",-FV('Part III-Sources of Funds'!$K$38/12,12,K89/12,J102))</f>
        <v/>
      </c>
      <c r="N102" s="3993"/>
      <c r="O102" s="3995"/>
    </row>
    <row r="103" spans="1:15" ht="13.35" customHeight="1">
      <c r="A103" s="417" t="s">
        <v>2550</v>
      </c>
      <c r="B103" s="4107" t="str">
        <f>IF('Part III-Sources of Funds'!$I$39="","",-FV('Part III-Sources of Funds'!$K$39/12,12,B90/12,K72))</f>
        <v/>
      </c>
      <c r="C103" s="4107" t="str">
        <f>IF('Part III-Sources of Funds'!$I$39="","",-FV('Part III-Sources of Funds'!$K$39/12,12,C90/12,B103))</f>
        <v/>
      </c>
      <c r="D103" s="4107" t="str">
        <f>IF('Part III-Sources of Funds'!$I$39="","",-FV('Part III-Sources of Funds'!$K$39/12,12,D90/12,C103))</f>
        <v/>
      </c>
      <c r="E103" s="4107" t="str">
        <f>IF('Part III-Sources of Funds'!$I$39="","",-FV('Part III-Sources of Funds'!$K$39/12,12,E90/12,D103))</f>
        <v/>
      </c>
      <c r="F103" s="4107" t="str">
        <f>IF('Part III-Sources of Funds'!$I$39="","",-FV('Part III-Sources of Funds'!$K$39/12,12,F90/12,E103))</f>
        <v/>
      </c>
      <c r="G103" s="4107" t="str">
        <f>IF('Part III-Sources of Funds'!$I$39="","",-FV('Part III-Sources of Funds'!$K$39/12,12,G90/12,F103))</f>
        <v/>
      </c>
      <c r="H103" s="4107" t="str">
        <f>IF('Part III-Sources of Funds'!$I$39="","",-FV('Part III-Sources of Funds'!$K$39/12,12,H90/12,G103))</f>
        <v/>
      </c>
      <c r="I103" s="4107" t="str">
        <f>IF('Part III-Sources of Funds'!$I$39="","",-FV('Part III-Sources of Funds'!$K$39/12,12,I90/12,H103))</f>
        <v/>
      </c>
      <c r="J103" s="4107" t="str">
        <f>IF('Part III-Sources of Funds'!$I$39="","",-FV('Part III-Sources of Funds'!$K$39/12,12,J90/12,I103))</f>
        <v/>
      </c>
      <c r="K103" s="4107" t="str">
        <f>IF('Part III-Sources of Funds'!$I$39="","",-FV('Part III-Sources of Funds'!$K$39/12,12,K90/12,J103))</f>
        <v/>
      </c>
      <c r="N103" s="3993"/>
      <c r="O103" s="3995"/>
    </row>
    <row r="104" spans="1:15" ht="13.35" customHeight="1">
      <c r="A104" s="417" t="s">
        <v>2551</v>
      </c>
      <c r="B104" s="4107" t="str">
        <f>IF('Part III-Sources of Funds'!$I$40="","",-FV('Part III-Sources of Funds'!$K$40/12,12,B91/12,K73))</f>
        <v/>
      </c>
      <c r="C104" s="4107" t="str">
        <f>IF('Part III-Sources of Funds'!$I$40="","",-FV('Part III-Sources of Funds'!$K$40/12,12,C91/12,B104))</f>
        <v/>
      </c>
      <c r="D104" s="4107" t="str">
        <f>IF('Part III-Sources of Funds'!$I$40="","",-FV('Part III-Sources of Funds'!$K$40/12,12,D91/12,C104))</f>
        <v/>
      </c>
      <c r="E104" s="4107" t="str">
        <f>IF('Part III-Sources of Funds'!$I$40="","",-FV('Part III-Sources of Funds'!$K$40/12,12,E91/12,D104))</f>
        <v/>
      </c>
      <c r="F104" s="4107" t="str">
        <f>IF('Part III-Sources of Funds'!$I$40="","",-FV('Part III-Sources of Funds'!$K$40/12,12,F91/12,E104))</f>
        <v/>
      </c>
      <c r="G104" s="4107" t="str">
        <f>IF('Part III-Sources of Funds'!$I$40="","",-FV('Part III-Sources of Funds'!$K$40/12,12,G91/12,F104))</f>
        <v/>
      </c>
      <c r="H104" s="4107" t="str">
        <f>IF('Part III-Sources of Funds'!$I$40="","",-FV('Part III-Sources of Funds'!$K$40/12,12,H91/12,G104))</f>
        <v/>
      </c>
      <c r="I104" s="4107" t="str">
        <f>IF('Part III-Sources of Funds'!$I$40="","",-FV('Part III-Sources of Funds'!$K$40/12,12,I91/12,H104))</f>
        <v/>
      </c>
      <c r="J104" s="4107" t="str">
        <f>IF('Part III-Sources of Funds'!$I$40="","",-FV('Part III-Sources of Funds'!$K$40/12,12,J91/12,I104))</f>
        <v/>
      </c>
      <c r="K104" s="4107" t="str">
        <f>IF('Part III-Sources of Funds'!$I$40="","",-FV('Part III-Sources of Funds'!$K$40/12,12,K91/12,J104))</f>
        <v/>
      </c>
      <c r="N104" s="3993"/>
      <c r="O104" s="3995"/>
    </row>
    <row r="105" spans="1:15" ht="13.35" customHeight="1">
      <c r="A105" s="21" t="s">
        <v>764</v>
      </c>
      <c r="B105" s="4110" t="str">
        <f>IF('Part III-Sources of Funds'!$I$41="","",-FV('Part III-Sources of Funds'!$K$41/12,12,B92/12,K74))</f>
        <v/>
      </c>
      <c r="C105" s="4110" t="str">
        <f>IF('Part III-Sources of Funds'!$I$41="","",-FV('Part III-Sources of Funds'!$K$41/12,12,C92/12,B105))</f>
        <v/>
      </c>
      <c r="D105" s="4110" t="str">
        <f>IF('Part III-Sources of Funds'!$I$41="","",-FV('Part III-Sources of Funds'!$K$41/12,12,D92/12,C105))</f>
        <v/>
      </c>
      <c r="E105" s="4110" t="str">
        <f>IF('Part III-Sources of Funds'!$I$41="","",-FV('Part III-Sources of Funds'!$K$41/12,12,E92/12,D105))</f>
        <v/>
      </c>
      <c r="F105" s="4110" t="str">
        <f>IF('Part III-Sources of Funds'!$I$41="","",-FV('Part III-Sources of Funds'!$K$41/12,12,F92/12,E105))</f>
        <v/>
      </c>
      <c r="G105" s="4110" t="str">
        <f>IF('Part III-Sources of Funds'!$I$41="","",-FV('Part III-Sources of Funds'!$K$41/12,12,G92/12,F105))</f>
        <v/>
      </c>
      <c r="H105" s="4110" t="str">
        <f>IF('Part III-Sources of Funds'!$I$41="","",-FV('Part III-Sources of Funds'!$K$41/12,12,H92/12,G105))</f>
        <v/>
      </c>
      <c r="I105" s="4110" t="str">
        <f>IF('Part III-Sources of Funds'!$I$41="","",-FV('Part III-Sources of Funds'!$K$41/12,12,I92/12,H105))</f>
        <v/>
      </c>
      <c r="J105" s="4110" t="str">
        <f>IF('Part III-Sources of Funds'!$I$41="","",-FV('Part III-Sources of Funds'!$K$41/12,12,J92/12,I105))</f>
        <v/>
      </c>
      <c r="K105" s="4110" t="str">
        <f>IF('Part III-Sources of Funds'!$I$41="","",-FV('Part III-Sources of Funds'!$K$41/12,12,K92/12,J105))</f>
        <v/>
      </c>
      <c r="N105" s="4024"/>
      <c r="O105" s="402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3523</v>
      </c>
      <c r="O107" s="2484"/>
    </row>
    <row r="108" spans="1:15" ht="13.35" customHeight="1">
      <c r="A108" s="18" t="s">
        <v>2341</v>
      </c>
      <c r="B108" s="19">
        <f>$B$14*(1+$B$5)^(B107-1)</f>
        <v>653176.98722766922</v>
      </c>
      <c r="C108" s="19">
        <f>$B$14*(1+$B$5)^(C107-1)</f>
        <v>666240.52697222249</v>
      </c>
      <c r="D108" s="19">
        <f>$B$14*(1+$B$5)^(D107-1)</f>
        <v>679565.33751166705</v>
      </c>
      <c r="E108" s="19">
        <f>$B$14*(1+$B$5)^(E107-1)</f>
        <v>693156.64426190045</v>
      </c>
      <c r="F108" s="596">
        <f>$B$14*(1+$B$5)^(F107-1)</f>
        <v>707019.77714713837</v>
      </c>
      <c r="G108" s="17"/>
      <c r="H108" s="17"/>
      <c r="I108" s="17"/>
      <c r="J108" s="17"/>
      <c r="K108" s="17"/>
      <c r="N108" s="4031"/>
      <c r="O108" s="4033"/>
    </row>
    <row r="109" spans="1:15" ht="13.35" customHeight="1">
      <c r="A109" s="21" t="s">
        <v>994</v>
      </c>
      <c r="B109" s="22">
        <f>$B$15*(1+$B$5)^(B107-1)</f>
        <v>13063.539744553385</v>
      </c>
      <c r="C109" s="22">
        <f>$B$15*(1+$B$5)^(C107-1)</f>
        <v>13324.81053944445</v>
      </c>
      <c r="D109" s="22">
        <f>$B$15*(1+$B$5)^(D107-1)</f>
        <v>13591.306750233342</v>
      </c>
      <c r="E109" s="22">
        <f>$B$15*(1+$B$5)^(E107-1)</f>
        <v>13863.13288523801</v>
      </c>
      <c r="F109" s="23">
        <f>$B$15*(1+$B$5)^(F107-1)</f>
        <v>14140.395542942768</v>
      </c>
      <c r="G109" s="17"/>
      <c r="H109" s="17"/>
      <c r="I109" s="17"/>
      <c r="J109" s="17"/>
      <c r="K109" s="17"/>
      <c r="N109" s="3993"/>
      <c r="O109" s="3995"/>
    </row>
    <row r="110" spans="1:15" ht="13.35" customHeight="1">
      <c r="A110" s="21" t="s">
        <v>2342</v>
      </c>
      <c r="B110" s="22">
        <f>-(B108+B109)*$B$8</f>
        <v>-46636.836888055586</v>
      </c>
      <c r="C110" s="22">
        <f>-(C108+C109)*$B$8</f>
        <v>-47569.573625816687</v>
      </c>
      <c r="D110" s="22">
        <f>-(D108+D109)*$B$8</f>
        <v>-48520.965098333028</v>
      </c>
      <c r="E110" s="22">
        <f>-(E108+E109)*$B$8</f>
        <v>-49491.384400299699</v>
      </c>
      <c r="F110" s="23">
        <f>-(F108+F109)*$B$8</f>
        <v>-50481.212088305685</v>
      </c>
      <c r="G110" s="17"/>
      <c r="H110" s="17"/>
      <c r="I110" s="17"/>
      <c r="J110" s="17"/>
      <c r="K110" s="17"/>
      <c r="N110" s="3993"/>
      <c r="O110" s="39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3"/>
      <c r="O111" s="39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3"/>
      <c r="O112" s="3995"/>
    </row>
    <row r="113" spans="1:19" ht="13.35" customHeight="1">
      <c r="A113" s="417" t="s">
        <v>4377</v>
      </c>
      <c r="B113" s="22">
        <f>SUM(B108:B112)</f>
        <v>619603.69008416706</v>
      </c>
      <c r="C113" s="22">
        <f>SUM(C108:C112)</f>
        <v>631995.7638858502</v>
      </c>
      <c r="D113" s="22">
        <f>SUM(D108:D112)</f>
        <v>644635.67916356726</v>
      </c>
      <c r="E113" s="22">
        <f>SUM(E108:E112)</f>
        <v>657528.39274683874</v>
      </c>
      <c r="F113" s="23">
        <f>SUM(F108:F112)</f>
        <v>670678.96060177544</v>
      </c>
      <c r="G113" s="17"/>
      <c r="H113" s="17"/>
      <c r="I113" s="17"/>
      <c r="J113" s="17"/>
      <c r="K113" s="17"/>
      <c r="N113" s="3993"/>
      <c r="O113" s="3995"/>
    </row>
    <row r="114" spans="1:19" ht="13.35" customHeight="1">
      <c r="A114" s="21" t="s">
        <v>597</v>
      </c>
      <c r="B114" s="22">
        <f>$B$20*(1+$B$6)^(B107-1)</f>
        <v>-522832.33629425254</v>
      </c>
      <c r="C114" s="22">
        <f>$B$20*(1+$B$6)^(C107-1)</f>
        <v>-538517.3063830802</v>
      </c>
      <c r="D114" s="22">
        <f>$B$20*(1+$B$6)^(D107-1)</f>
        <v>-554672.82557457255</v>
      </c>
      <c r="E114" s="22">
        <f>$B$20*(1+$B$6)^(E107-1)</f>
        <v>-571313.01034180971</v>
      </c>
      <c r="F114" s="23">
        <f>$B$20*(1+$B$6)^(F107-1)</f>
        <v>-588452.40065206389</v>
      </c>
      <c r="G114" s="17"/>
      <c r="H114" s="17"/>
      <c r="I114" s="17"/>
      <c r="J114" s="17"/>
      <c r="K114" s="17"/>
      <c r="N114" s="3993"/>
      <c r="O114" s="399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-30980</v>
      </c>
      <c r="C115" s="22">
        <f>IF(AND('Part VII-Pro Forma'!$G$8="Yes",'Part VII-Pro Forma'!$G$9="Yes"),"Choose One!",IF('Part VII-Pro Forma'!$G$8="Yes",ROUND((-$K$8*(1+'Part VII-Pro Forma'!$B$6)^('Part VII-Pro Forma'!C107-1)),),IF('Part VII-Pro Forma'!$G$9="Yes",ROUND((-(SUM(C108:C111)*'Part VII-Pro Forma'!$K$9)),),"Choose mgt fee")))</f>
        <v>-31600</v>
      </c>
      <c r="D115" s="22">
        <f>IF(AND('Part VII-Pro Forma'!$G$8="Yes",'Part VII-Pro Forma'!$G$9="Yes"),"Choose One!",IF('Part VII-Pro Forma'!$G$8="Yes",ROUND((-$K$8*(1+'Part VII-Pro Forma'!$B$6)^('Part VII-Pro Forma'!D107-1)),),IF('Part VII-Pro Forma'!$G$9="Yes",ROUND((-(SUM(D108:D111)*'Part VII-Pro Forma'!$K$9)),),"Choose mgt fee")))</f>
        <v>-32232</v>
      </c>
      <c r="E115" s="22">
        <f>IF(AND('Part VII-Pro Forma'!$G$8="Yes",'Part VII-Pro Forma'!$G$9="Yes"),"Choose One!",IF('Part VII-Pro Forma'!$G$8="Yes",ROUND((-$K$8*(1+'Part VII-Pro Forma'!$B$6)^('Part VII-Pro Forma'!E107-1)),),IF('Part VII-Pro Forma'!$G$9="Yes",ROUND((-(SUM(E108:E111)*'Part VII-Pro Forma'!$K$9)),),"Choose mgt fee")))</f>
        <v>-32876</v>
      </c>
      <c r="F115" s="23">
        <f>IF(AND('Part VII-Pro Forma'!$G$8="Yes",'Part VII-Pro Forma'!$G$9="Yes"),"Choose One!",IF('Part VII-Pro Forma'!$G$8="Yes",ROUND((-$K$8*(1+'Part VII-Pro Forma'!$B$6)^('Part VII-Pro Forma'!F107-1)),),IF('Part VII-Pro Forma'!$G$9="Yes",ROUND((-(SUM(F108:F111)*'Part VII-Pro Forma'!$K$9)),),"Choose mgt fee")))</f>
        <v>-33534</v>
      </c>
      <c r="G115" s="17"/>
      <c r="H115" s="17"/>
      <c r="I115" s="17"/>
      <c r="J115" s="17"/>
      <c r="K115" s="17"/>
      <c r="N115" s="3993"/>
      <c r="O115" s="3995"/>
    </row>
    <row r="116" spans="1:19" ht="13.35" customHeight="1">
      <c r="A116" s="21" t="s">
        <v>1176</v>
      </c>
      <c r="B116" s="22">
        <f>$B$22*(1+$B$7)^(B107-1)</f>
        <v>-48496.704174369392</v>
      </c>
      <c r="C116" s="22">
        <f>$B$22*(1+$B$7)^(C107-1)</f>
        <v>-49951.60529960048</v>
      </c>
      <c r="D116" s="22">
        <f>$B$22*(1+$B$7)^(D107-1)</f>
        <v>-51450.15345858848</v>
      </c>
      <c r="E116" s="22">
        <f>$B$22*(1+$B$7)^(E107-1)</f>
        <v>-52993.658062346141</v>
      </c>
      <c r="F116" s="23">
        <f>$B$22*(1+$B$7)^(F107-1)</f>
        <v>-54583.467804216518</v>
      </c>
      <c r="G116" s="17"/>
      <c r="H116" s="17"/>
      <c r="I116" s="17"/>
      <c r="J116" s="17"/>
      <c r="K116" s="17"/>
      <c r="N116" s="3993"/>
      <c r="O116" s="3995"/>
      <c r="Q116" s="929">
        <v>10</v>
      </c>
      <c r="R116" s="1043">
        <f>-SUM(B122:K122)</f>
        <v>0</v>
      </c>
      <c r="S116" s="1043">
        <f>SUM(B123:K123)+R116</f>
        <v>0</v>
      </c>
    </row>
    <row r="117" spans="1:19" ht="13.35" customHeight="1">
      <c r="A117" s="417" t="s">
        <v>4376</v>
      </c>
      <c r="B117" s="4105">
        <f>IF(B107&lt;=+'Part VI-Revenues &amp; Expenses'!$N$250,-'Part VI-Revenues &amp; Expenses'!$K$250,0)</f>
        <v>0</v>
      </c>
      <c r="C117" s="4105">
        <f>IF(C107&lt;=+'Part VI-Revenues &amp; Expenses'!$N$250,-'Part VI-Revenues &amp; Expenses'!$K$250,0)</f>
        <v>0</v>
      </c>
      <c r="D117" s="4105">
        <f>IF(D107&lt;=+'Part VI-Revenues &amp; Expenses'!$N$250,-'Part VI-Revenues &amp; Expenses'!$K$250,0)</f>
        <v>0</v>
      </c>
      <c r="E117" s="4105">
        <f>IF(E107&lt;=+'Part VI-Revenues &amp; Expenses'!$N$250,-'Part VI-Revenues &amp; Expenses'!$K$250,0)</f>
        <v>0</v>
      </c>
      <c r="F117" s="4105">
        <f>IF(F107&lt;=+'Part VI-Revenues &amp; Expenses'!$N$250,-'Part VI-Revenues &amp; Expenses'!$K$250,0)</f>
        <v>0</v>
      </c>
      <c r="G117" s="17"/>
      <c r="H117" s="17"/>
      <c r="I117" s="17"/>
      <c r="J117" s="17"/>
      <c r="K117" s="17"/>
      <c r="N117" s="3993"/>
      <c r="O117" s="3995"/>
    </row>
    <row r="118" spans="1:19" ht="13.35" customHeight="1">
      <c r="A118" s="21" t="s">
        <v>1177</v>
      </c>
      <c r="B118" s="22">
        <f>SUM(B113:B117)</f>
        <v>17294.649615545124</v>
      </c>
      <c r="C118" s="22">
        <f>SUM(C113:C117)</f>
        <v>11926.852203169525</v>
      </c>
      <c r="D118" s="22">
        <f>SUM(D113:D117)</f>
        <v>6280.7001304062287</v>
      </c>
      <c r="E118" s="22">
        <f>SUM(E113:E117)</f>
        <v>345.72434268288634</v>
      </c>
      <c r="F118" s="1482">
        <f>SUM(F113:F117)</f>
        <v>-5890.9078545049706</v>
      </c>
      <c r="G118" s="17"/>
      <c r="H118" s="17"/>
      <c r="I118" s="17"/>
      <c r="J118" s="17"/>
      <c r="K118" s="17"/>
      <c r="N118" s="3993"/>
      <c r="O118" s="3995"/>
    </row>
    <row r="119" spans="1:19" ht="13.35" customHeight="1">
      <c r="A119" s="21" t="str">
        <f>$A89</f>
        <v>Mortgage A</v>
      </c>
      <c r="B119" s="4106">
        <f>IF('Part III-Sources of Funds'!$P$38="", 0,-'Part III-Sources of Funds'!$P$38)</f>
        <v>0</v>
      </c>
      <c r="C119" s="4106">
        <f>IF('Part III-Sources of Funds'!$P$38="", 0,-'Part III-Sources of Funds'!$P$38)</f>
        <v>0</v>
      </c>
      <c r="D119" s="4106">
        <f>IF('Part III-Sources of Funds'!$P$38="", 0,-'Part III-Sources of Funds'!$P$38)</f>
        <v>0</v>
      </c>
      <c r="E119" s="4106">
        <f>IF('Part III-Sources of Funds'!$P$38="", 0,-'Part III-Sources of Funds'!$P$38)</f>
        <v>0</v>
      </c>
      <c r="F119" s="4106">
        <f>IF('Part III-Sources of Funds'!$P$38="", 0,-'Part III-Sources of Funds'!$P$38)</f>
        <v>0</v>
      </c>
      <c r="G119" s="17"/>
      <c r="H119" s="17"/>
      <c r="I119" s="17"/>
      <c r="J119" s="17"/>
      <c r="K119" s="17"/>
      <c r="N119" s="3993"/>
      <c r="O119" s="3995"/>
    </row>
    <row r="120" spans="1:19" ht="13.35" customHeight="1">
      <c r="A120" s="21" t="str">
        <f>$A90</f>
        <v>Mortgage B</v>
      </c>
      <c r="B120" s="4107">
        <f>IF('Part III-Sources of Funds'!$P$39="", 0,-'Part III-Sources of Funds'!$P$39)</f>
        <v>0</v>
      </c>
      <c r="C120" s="4107">
        <f>IF('Part III-Sources of Funds'!$P$39="", 0,-'Part III-Sources of Funds'!$P$39)</f>
        <v>0</v>
      </c>
      <c r="D120" s="4107">
        <f>IF('Part III-Sources of Funds'!$P$39="", 0,-'Part III-Sources of Funds'!$P$39)</f>
        <v>0</v>
      </c>
      <c r="E120" s="4107">
        <f>IF('Part III-Sources of Funds'!$P$39="", 0,-'Part III-Sources of Funds'!$P$39)</f>
        <v>0</v>
      </c>
      <c r="F120" s="4107">
        <f>IF('Part III-Sources of Funds'!$P$39="", 0,-'Part III-Sources of Funds'!$P$39)</f>
        <v>0</v>
      </c>
      <c r="G120" s="17"/>
      <c r="H120" s="17"/>
      <c r="I120" s="17"/>
      <c r="J120" s="17"/>
      <c r="K120" s="17"/>
      <c r="N120" s="3993"/>
      <c r="O120" s="3995"/>
    </row>
    <row r="121" spans="1:19" ht="13.35" customHeight="1">
      <c r="A121" s="21" t="str">
        <f>$A91</f>
        <v>Mortgage C</v>
      </c>
      <c r="B121" s="4107">
        <f>IF('Part III-Sources of Funds'!$P$40="", 0,-'Part III-Sources of Funds'!$P$40)</f>
        <v>0</v>
      </c>
      <c r="C121" s="4107">
        <f>IF('Part III-Sources of Funds'!$P$40="", 0,-'Part III-Sources of Funds'!$P$40)</f>
        <v>0</v>
      </c>
      <c r="D121" s="4107">
        <f>IF('Part III-Sources of Funds'!$P$40="", 0,-'Part III-Sources of Funds'!$P$40)</f>
        <v>0</v>
      </c>
      <c r="E121" s="4107">
        <f>IF('Part III-Sources of Funds'!$P$40="", 0,-'Part III-Sources of Funds'!$P$40)</f>
        <v>0</v>
      </c>
      <c r="F121" s="4107">
        <f>IF('Part III-Sources of Funds'!$P$40="", 0,-'Part III-Sources of Funds'!$P$40)</f>
        <v>0</v>
      </c>
      <c r="G121" s="17"/>
      <c r="H121" s="17"/>
      <c r="I121" s="17"/>
      <c r="J121" s="17"/>
      <c r="K121" s="17"/>
      <c r="N121" s="3993"/>
      <c r="O121" s="3995"/>
    </row>
    <row r="122" spans="1:19" ht="13.35" customHeight="1">
      <c r="A122" s="21" t="str">
        <f>$A92</f>
        <v>D/S Other Source,not DDF</v>
      </c>
      <c r="B122" s="4107">
        <f>IF('Part III-Sources of Funds'!$P$41="", 0,-'Part III-Sources of Funds'!$P$41)</f>
        <v>0</v>
      </c>
      <c r="C122" s="4107">
        <f>IF('Part III-Sources of Funds'!$P$41="", 0,-'Part III-Sources of Funds'!$P$41)</f>
        <v>0</v>
      </c>
      <c r="D122" s="4107">
        <f>IF('Part III-Sources of Funds'!$P$41="", 0,-'Part III-Sources of Funds'!$P$41)</f>
        <v>0</v>
      </c>
      <c r="E122" s="4107">
        <f>IF('Part III-Sources of Funds'!$P$41="", 0,-'Part III-Sources of Funds'!$P$41)</f>
        <v>0</v>
      </c>
      <c r="F122" s="4107">
        <f>IF('Part III-Sources of Funds'!$P$41="", 0,-'Part III-Sources of Funds'!$P$41)</f>
        <v>0</v>
      </c>
      <c r="G122" s="17"/>
      <c r="H122" s="17"/>
      <c r="I122" s="17"/>
      <c r="J122" s="17"/>
      <c r="K122" s="17"/>
      <c r="N122" s="3993"/>
      <c r="O122" s="3995"/>
    </row>
    <row r="123" spans="1:19" ht="13.35" customHeight="1">
      <c r="A123" s="21" t="s">
        <v>745</v>
      </c>
      <c r="B123" s="4108"/>
      <c r="C123" s="4108"/>
      <c r="D123" s="4108"/>
      <c r="E123" s="4108"/>
      <c r="F123" s="4108"/>
      <c r="G123" s="17"/>
      <c r="H123" s="17"/>
      <c r="I123" s="17"/>
      <c r="J123" s="17"/>
      <c r="K123" s="17"/>
      <c r="N123" s="3993"/>
      <c r="O123" s="3995"/>
    </row>
    <row r="124" spans="1:19" ht="13.35" customHeight="1">
      <c r="A124" s="21" t="s">
        <v>1141</v>
      </c>
      <c r="B124" s="4110">
        <f>+K94</f>
        <v>0</v>
      </c>
      <c r="C124" s="4110">
        <f>+B124</f>
        <v>0</v>
      </c>
      <c r="D124" s="4110">
        <f>+C124</f>
        <v>0</v>
      </c>
      <c r="E124" s="4110">
        <f>+D124</f>
        <v>0</v>
      </c>
      <c r="F124" s="4110">
        <f>+E124</f>
        <v>0</v>
      </c>
      <c r="G124" s="17"/>
      <c r="H124" s="17"/>
      <c r="I124" s="17"/>
      <c r="J124" s="17"/>
      <c r="K124" s="17"/>
      <c r="N124" s="3993"/>
      <c r="O124" s="3995"/>
    </row>
    <row r="125" spans="1:19" ht="13.35" customHeight="1">
      <c r="A125" s="21" t="s">
        <v>1142</v>
      </c>
      <c r="B125" s="22">
        <f>SUM(B118:B124)</f>
        <v>17294.649615545124</v>
      </c>
      <c r="C125" s="22">
        <f>SUM(C118:C124)</f>
        <v>11926.852203169525</v>
      </c>
      <c r="D125" s="22">
        <f>SUM(D118:D124)</f>
        <v>6280.7001304062287</v>
      </c>
      <c r="E125" s="22">
        <f>SUM(E118:E124)</f>
        <v>345.72434268288634</v>
      </c>
      <c r="F125" s="23">
        <f>SUM(F118:F124)</f>
        <v>-5890.9078545049706</v>
      </c>
      <c r="G125" s="17"/>
      <c r="H125" s="17"/>
      <c r="I125" s="17"/>
      <c r="J125" s="17"/>
      <c r="K125" s="17"/>
      <c r="N125" s="3993"/>
      <c r="O125" s="399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3"/>
      <c r="O126" s="399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3"/>
      <c r="O127" s="39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3"/>
      <c r="O128" s="39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3"/>
      <c r="O129" s="3995"/>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3"/>
      <c r="O130" s="3995"/>
    </row>
    <row r="131" spans="1:19" ht="13.35" customHeight="1">
      <c r="A131" s="21" t="s">
        <v>752</v>
      </c>
      <c r="B131" s="265">
        <f>IF(OR(B115="Choose mgt fee",B115="Choose One!"),"",(B108+B109+B110+B111+B112) / -(B114+B115+B116))</f>
        <v>1.0287139133792333</v>
      </c>
      <c r="C131" s="265">
        <f>IF(OR(C115="Choose mgt fee",C115="Choose One!"),"",(C108+C109+C110+C111+C112) / -(C114+C115+C116))</f>
        <v>1.0192347204938941</v>
      </c>
      <c r="D131" s="265">
        <f>IF(OR(D115="Choose mgt fee",D115="Choose One!"),"",(D108+D109+D110+D111+D112) / -(D114+D115+D116))</f>
        <v>1.0098388832807708</v>
      </c>
      <c r="E131" s="265">
        <f>IF(OR(E115="Choose mgt fee",E115="Choose One!"),"",(E108+E109+E110+E111+E112) / -(E114+E115+E116))</f>
        <v>1.0005260703900216</v>
      </c>
      <c r="F131" s="597">
        <f>IF(OR(F115="Choose mgt fee",F115="Choose One!"),"",(F108+F109+F110+F111+F112) / -(F114+F115+F116))</f>
        <v>0.9912929792928169</v>
      </c>
      <c r="G131" s="17"/>
      <c r="H131" s="17"/>
      <c r="I131" s="17"/>
      <c r="J131" s="17"/>
      <c r="K131" s="17"/>
      <c r="N131" s="3993"/>
      <c r="O131" s="3995"/>
    </row>
    <row r="132" spans="1:19" ht="13.35" customHeight="1">
      <c r="A132" s="417" t="s">
        <v>2549</v>
      </c>
      <c r="B132" s="4111" t="str">
        <f>IF('Part III-Sources of Funds'!$I$38="","",-FV('Part III-Sources of Funds'!$K$38/12,12,B119/12,K102))</f>
        <v/>
      </c>
      <c r="C132" s="4111" t="str">
        <f>IF('Part III-Sources of Funds'!$I$38="","",-FV('Part III-Sources of Funds'!$K$38/12,12,C119/12,B132))</f>
        <v/>
      </c>
      <c r="D132" s="4111" t="str">
        <f>IF('Part III-Sources of Funds'!$I$38="","",-FV('Part III-Sources of Funds'!$K$38/12,12,D119/12,C132))</f>
        <v/>
      </c>
      <c r="E132" s="4111" t="str">
        <f>IF('Part III-Sources of Funds'!$I$38="","",-FV('Part III-Sources of Funds'!$K$38/12,12,E119/12,D132))</f>
        <v/>
      </c>
      <c r="F132" s="4111" t="str">
        <f>IF('Part III-Sources of Funds'!$I$38="","",-FV('Part III-Sources of Funds'!$K$38/12,12,F119/12,E132))</f>
        <v/>
      </c>
      <c r="G132" s="17"/>
      <c r="H132" s="17"/>
      <c r="I132" s="17"/>
      <c r="J132" s="17"/>
      <c r="K132" s="17"/>
      <c r="N132" s="3993"/>
      <c r="O132" s="3995"/>
    </row>
    <row r="133" spans="1:19" ht="13.35" customHeight="1">
      <c r="A133" s="417" t="s">
        <v>2550</v>
      </c>
      <c r="B133" s="4107" t="str">
        <f>IF('Part III-Sources of Funds'!$I$39="","",-FV('Part III-Sources of Funds'!$K$39/12,12,B120/12,K103))</f>
        <v/>
      </c>
      <c r="C133" s="4107" t="str">
        <f>IF('Part III-Sources of Funds'!$I$39="","",-FV('Part III-Sources of Funds'!$K$39/12,12,C120/12,B133))</f>
        <v/>
      </c>
      <c r="D133" s="4107" t="str">
        <f>IF('Part III-Sources of Funds'!$I$39="","",-FV('Part III-Sources of Funds'!$K$39/12,12,D120/12,C133))</f>
        <v/>
      </c>
      <c r="E133" s="4107" t="str">
        <f>IF('Part III-Sources of Funds'!$I$39="","",-FV('Part III-Sources of Funds'!$K$39/12,12,E120/12,D133))</f>
        <v/>
      </c>
      <c r="F133" s="4107" t="str">
        <f>IF('Part III-Sources of Funds'!$I$39="","",-FV('Part III-Sources of Funds'!$K$39/12,12,F120/12,E133))</f>
        <v/>
      </c>
      <c r="G133" s="17"/>
      <c r="H133" s="17"/>
      <c r="I133" s="17"/>
      <c r="J133" s="17"/>
      <c r="K133" s="17"/>
      <c r="N133" s="3993"/>
      <c r="O133" s="3995"/>
    </row>
    <row r="134" spans="1:19" ht="13.35" customHeight="1">
      <c r="A134" s="417" t="s">
        <v>2551</v>
      </c>
      <c r="B134" s="4107" t="str">
        <f>IF('Part III-Sources of Funds'!$I$40="","",-FV('Part III-Sources of Funds'!$K$40/12,12,B121/12,K104))</f>
        <v/>
      </c>
      <c r="C134" s="4107" t="str">
        <f>IF('Part III-Sources of Funds'!$I$40="","",-FV('Part III-Sources of Funds'!$K$40/12,12,C121/12,B134))</f>
        <v/>
      </c>
      <c r="D134" s="4107" t="str">
        <f>IF('Part III-Sources of Funds'!$I$40="","",-FV('Part III-Sources of Funds'!$K$40/12,12,D121/12,C134))</f>
        <v/>
      </c>
      <c r="E134" s="4107" t="str">
        <f>IF('Part III-Sources of Funds'!$I$40="","",-FV('Part III-Sources of Funds'!$K$40/12,12,E121/12,D134))</f>
        <v/>
      </c>
      <c r="F134" s="4107" t="str">
        <f>IF('Part III-Sources of Funds'!$I$40="","",-FV('Part III-Sources of Funds'!$K$40/12,12,F121/12,E134))</f>
        <v/>
      </c>
      <c r="G134" s="17"/>
      <c r="H134" s="17"/>
      <c r="I134" s="17"/>
      <c r="J134" s="17"/>
      <c r="K134" s="17"/>
      <c r="N134" s="3993"/>
      <c r="O134" s="3995"/>
    </row>
    <row r="135" spans="1:19" ht="13.35" customHeight="1">
      <c r="A135" s="26" t="s">
        <v>764</v>
      </c>
      <c r="B135" s="4110" t="str">
        <f>IF('Part III-Sources of Funds'!$I$41="","",-FV('Part III-Sources of Funds'!$K$41/12,12,B122/12,K105))</f>
        <v/>
      </c>
      <c r="C135" s="4110" t="str">
        <f>IF('Part III-Sources of Funds'!$I$41="","",-FV('Part III-Sources of Funds'!$K$41/12,12,C122/12,B135))</f>
        <v/>
      </c>
      <c r="D135" s="4110" t="str">
        <f>IF('Part III-Sources of Funds'!$I$41="","",-FV('Part III-Sources of Funds'!$K$41/12,12,D122/12,C135))</f>
        <v/>
      </c>
      <c r="E135" s="4110" t="str">
        <f>IF('Part III-Sources of Funds'!$I$41="","",-FV('Part III-Sources of Funds'!$K$41/12,12,E122/12,D135))</f>
        <v/>
      </c>
      <c r="F135" s="4110" t="str">
        <f>IF('Part III-Sources of Funds'!$I$41="","",-FV('Part III-Sources of Funds'!$K$41/12,12,F122/12,E135))</f>
        <v/>
      </c>
      <c r="G135" s="17"/>
      <c r="H135" s="17"/>
      <c r="I135" s="17"/>
      <c r="J135" s="17"/>
      <c r="K135" s="17"/>
      <c r="N135" s="4024"/>
      <c r="O135" s="4026"/>
    </row>
    <row r="136" spans="1:19" ht="4.3499999999999996" customHeight="1"/>
    <row r="137" spans="1:19" ht="12" customHeight="1">
      <c r="A137" s="13" t="s">
        <v>554</v>
      </c>
      <c r="B137" s="13"/>
      <c r="G137" s="13" t="s">
        <v>1009</v>
      </c>
    </row>
    <row r="138" spans="1:19" ht="12" customHeight="1">
      <c r="B138" s="31"/>
    </row>
    <row r="139" spans="1:19" ht="409.5" customHeight="1">
      <c r="A139" s="3717" t="s">
        <v>7072</v>
      </c>
      <c r="B139" s="4112"/>
      <c r="C139" s="4112"/>
      <c r="D139" s="4112"/>
      <c r="E139" s="4112"/>
      <c r="F139" s="4113"/>
      <c r="G139" s="4114"/>
      <c r="H139" s="4115"/>
      <c r="I139" s="4115"/>
      <c r="J139" s="4115"/>
      <c r="K139" s="4116"/>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yznDoOAza6rvbFqfO6O8kLv+6IGuKCN0+Fpn4mOuLmvk5QgjMrZpS5B6I0WpFcOmU/eWOw7V604USmvxZdl1Xw==" saltValue="o6bZV7Cab/ntKhED/Qfa/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0" zoomScaleNormal="110" workbookViewId="0">
      <pane ySplit="1392" topLeftCell="A475"/>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2020-042 Freedom's Path at Dublin, Dublin, Laurens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4"/>
      <c r="B4" s="2855"/>
      <c r="C4" s="2855"/>
      <c r="D4" s="2855"/>
      <c r="E4" s="2374"/>
      <c r="F4" s="2374"/>
      <c r="G4" s="2374"/>
      <c r="H4" s="2374"/>
      <c r="I4" s="2374"/>
      <c r="J4" s="2374"/>
      <c r="K4" s="2374"/>
      <c r="L4" s="2374"/>
      <c r="M4" s="2374"/>
      <c r="N4" s="2374"/>
      <c r="P4" s="2374"/>
      <c r="Q4" s="2374"/>
      <c r="R4" s="2822"/>
      <c r="S4" s="2822"/>
    </row>
    <row r="5" spans="1:32" ht="11.1" hidden="1" customHeight="1">
      <c r="A5" s="2374"/>
      <c r="B5" s="2374"/>
      <c r="C5" s="2374"/>
      <c r="D5" s="2374"/>
      <c r="E5" s="2374"/>
      <c r="F5" s="2374"/>
      <c r="G5" s="2374"/>
      <c r="H5" s="2374"/>
      <c r="I5" s="2374"/>
      <c r="J5" s="2374"/>
      <c r="K5" s="2374"/>
      <c r="L5" s="2374"/>
      <c r="M5" s="2374"/>
      <c r="N5" s="2374"/>
      <c r="P5" s="2374"/>
      <c r="Q5" s="2374"/>
      <c r="R5" s="2822"/>
      <c r="S5" s="2822"/>
    </row>
    <row r="6" spans="1:32" ht="17.25" customHeight="1">
      <c r="A6" s="125" t="s">
        <v>550</v>
      </c>
      <c r="J6" s="2858" t="s">
        <v>3629</v>
      </c>
      <c r="K6" s="2858"/>
      <c r="L6" s="2858"/>
      <c r="M6" s="2858"/>
      <c r="N6" s="2858"/>
      <c r="O6" s="2859"/>
      <c r="P6" s="2856"/>
      <c r="Q6" s="2857"/>
      <c r="R6" s="2822"/>
      <c r="S6" s="2822"/>
    </row>
    <row r="7" spans="1:32" ht="12.6" customHeight="1">
      <c r="A7" s="126" t="s">
        <v>3336</v>
      </c>
      <c r="C7" s="127"/>
      <c r="D7" s="127"/>
      <c r="H7" s="1210"/>
      <c r="I7" s="1210"/>
      <c r="J7" s="1210"/>
      <c r="K7" s="1210"/>
      <c r="L7" s="1210"/>
      <c r="M7" s="2374"/>
      <c r="N7" s="2374"/>
    </row>
    <row r="8" spans="1:32" ht="24.6" customHeight="1">
      <c r="A8" s="2860" t="s">
        <v>1381</v>
      </c>
      <c r="B8" s="2861"/>
      <c r="C8" s="2861"/>
      <c r="D8" s="2861"/>
      <c r="E8" s="2861"/>
      <c r="F8" s="2861"/>
      <c r="G8" s="2861"/>
      <c r="H8" s="2861"/>
      <c r="I8" s="2861"/>
      <c r="J8" s="2861"/>
      <c r="K8" s="2861"/>
      <c r="L8" s="2861"/>
      <c r="M8" s="2861"/>
      <c r="N8" s="2861"/>
      <c r="O8" s="2861"/>
      <c r="P8" s="2861"/>
      <c r="Q8" s="2862"/>
      <c r="R8" s="2686" t="s">
        <v>1983</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2"/>
      <c r="S12" s="2342"/>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2"/>
      <c r="S13" s="2342"/>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1970</v>
      </c>
      <c r="B15" s="2825"/>
      <c r="C15" s="2825"/>
      <c r="D15" s="2825"/>
      <c r="E15" s="2825"/>
      <c r="F15" s="2825"/>
      <c r="G15" s="2825"/>
      <c r="H15" s="2825"/>
      <c r="I15" s="2825"/>
      <c r="J15" s="2825"/>
      <c r="K15" s="2825"/>
      <c r="L15" s="2825"/>
      <c r="M15" s="2825"/>
      <c r="N15" s="2825"/>
      <c r="O15" s="2825"/>
      <c r="P15" s="2825"/>
      <c r="Q15" s="2826"/>
      <c r="R15" s="2686" t="s">
        <v>1983</v>
      </c>
      <c r="S15" s="2433"/>
    </row>
    <row r="16" spans="1:32" ht="11.25" customHeight="1">
      <c r="A16" s="2824" t="s">
        <v>1971</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1972</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1973</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1974</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1975</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1976</v>
      </c>
      <c r="B21" s="2825"/>
      <c r="C21" s="2825"/>
      <c r="D21" s="2825"/>
      <c r="E21" s="2825"/>
      <c r="F21" s="2825"/>
      <c r="G21" s="2825"/>
      <c r="H21" s="2825"/>
      <c r="I21" s="2825"/>
      <c r="J21" s="2825"/>
      <c r="K21" s="2825"/>
      <c r="L21" s="2825"/>
      <c r="M21" s="2825"/>
      <c r="N21" s="2825"/>
      <c r="O21" s="2825"/>
      <c r="P21" s="2825"/>
      <c r="Q21" s="2826"/>
    </row>
    <row r="22" spans="1:31" ht="11.25" customHeight="1">
      <c r="A22" s="2824" t="s">
        <v>1977</v>
      </c>
      <c r="B22" s="2825"/>
      <c r="C22" s="2825"/>
      <c r="D22" s="2825"/>
      <c r="E22" s="2825"/>
      <c r="F22" s="2825"/>
      <c r="G22" s="2825"/>
      <c r="H22" s="2825"/>
      <c r="I22" s="2825"/>
      <c r="J22" s="2825"/>
      <c r="K22" s="2825"/>
      <c r="L22" s="2825"/>
      <c r="M22" s="2825"/>
      <c r="N22" s="2825"/>
      <c r="O22" s="2825"/>
      <c r="P22" s="2825"/>
      <c r="Q22" s="2826"/>
      <c r="R22" s="2686" t="s">
        <v>1983</v>
      </c>
      <c r="S22" s="2433"/>
    </row>
    <row r="23" spans="1:31" ht="11.25" customHeight="1">
      <c r="A23" s="2824" t="s">
        <v>1978</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1979</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1980</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1981</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1982</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2578</v>
      </c>
      <c r="C29" s="130"/>
      <c r="D29" s="86"/>
      <c r="E29" s="86"/>
      <c r="F29" s="86"/>
      <c r="G29" s="86"/>
      <c r="I29" s="2397"/>
      <c r="J29" s="2397"/>
      <c r="K29" s="2397"/>
      <c r="L29" s="2374"/>
      <c r="M29" s="2374"/>
      <c r="O29" s="131" t="s">
        <v>1820</v>
      </c>
      <c r="P29" s="2718"/>
      <c r="Q29" s="2719"/>
    </row>
    <row r="30" spans="1:31" ht="3" customHeight="1"/>
    <row r="31" spans="1:31" ht="11.25" customHeight="1">
      <c r="B31" s="66" t="s">
        <v>3565</v>
      </c>
      <c r="C31" s="66"/>
      <c r="D31" s="66"/>
      <c r="E31" s="66"/>
      <c r="F31" s="66"/>
      <c r="G31" s="2397"/>
      <c r="H31" s="2397"/>
      <c r="I31" s="2397"/>
      <c r="J31" s="2397"/>
      <c r="K31" s="2374"/>
      <c r="L31" s="2374"/>
      <c r="M31" s="2374"/>
      <c r="N31" s="2374"/>
      <c r="O31" s="2374"/>
      <c r="P31" s="855"/>
      <c r="S31" s="157"/>
      <c r="T31" s="157"/>
    </row>
    <row r="32" spans="1:31" ht="55.5" customHeight="1">
      <c r="A32" s="2707" t="s">
        <v>7104</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1819</v>
      </c>
      <c r="C33" s="137"/>
      <c r="D33" s="2376"/>
      <c r="E33" s="2376"/>
      <c r="F33" s="2376"/>
      <c r="G33" s="2376"/>
      <c r="H33" s="2376"/>
      <c r="I33" s="2376"/>
      <c r="J33" s="2376"/>
      <c r="K33" s="2376"/>
      <c r="L33" s="2376"/>
      <c r="M33" s="2376"/>
      <c r="N33" s="2376"/>
      <c r="O33" s="2376"/>
      <c r="P33" s="2376"/>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7"/>
      <c r="C35" s="2376"/>
      <c r="D35" s="2376"/>
      <c r="E35" s="2376"/>
      <c r="F35" s="2376"/>
      <c r="G35" s="2376"/>
      <c r="H35" s="2376"/>
      <c r="I35" s="2376"/>
      <c r="J35" s="2376"/>
      <c r="K35" s="2376"/>
      <c r="L35" s="2376"/>
      <c r="M35" s="2376"/>
      <c r="N35" s="2376"/>
      <c r="O35" s="2376"/>
      <c r="P35" s="2376"/>
      <c r="Q35" s="2374"/>
    </row>
    <row r="36" spans="1:295" ht="12.75" customHeight="1">
      <c r="A36" s="2369" t="s">
        <v>722</v>
      </c>
      <c r="B36" s="4" t="s">
        <v>2630</v>
      </c>
      <c r="C36" s="4"/>
      <c r="D36" s="4"/>
      <c r="E36" s="2376"/>
      <c r="G36" s="585"/>
      <c r="H36" s="585"/>
      <c r="I36" s="585"/>
      <c r="J36" s="42"/>
      <c r="L36" s="586"/>
      <c r="M36" s="586"/>
      <c r="N36" s="586"/>
      <c r="O36" s="131" t="s">
        <v>1820</v>
      </c>
      <c r="P36" s="2718"/>
      <c r="Q36" s="2719"/>
    </row>
    <row r="37" spans="1:295" ht="11.25" customHeight="1">
      <c r="A37" s="2904"/>
      <c r="B37" s="2904"/>
      <c r="C37" s="2904"/>
      <c r="D37" s="2904"/>
      <c r="E37" s="2904"/>
      <c r="F37" s="1511"/>
      <c r="G37" s="2831" t="s">
        <v>2634</v>
      </c>
      <c r="H37" s="2832"/>
      <c r="I37" s="589"/>
      <c r="J37" s="42"/>
      <c r="K37" s="2833" t="s">
        <v>3467</v>
      </c>
      <c r="L37" s="2834"/>
      <c r="M37" s="2834"/>
      <c r="N37" s="2835"/>
    </row>
    <row r="38" spans="1:295" ht="11.25" customHeight="1">
      <c r="A38" s="2904"/>
      <c r="B38" s="2904"/>
      <c r="C38" s="2904"/>
      <c r="D38" s="2904"/>
      <c r="E38" s="2904"/>
      <c r="F38" s="1511"/>
      <c r="G38" s="2836" t="s">
        <v>341</v>
      </c>
      <c r="H38" s="2837"/>
      <c r="I38" s="589"/>
      <c r="J38" s="42"/>
      <c r="K38" s="2838" t="s">
        <v>3468</v>
      </c>
      <c r="L38" s="2839"/>
      <c r="M38" s="2839"/>
      <c r="N38" s="2840"/>
      <c r="P38" s="509" t="s">
        <v>2649</v>
      </c>
      <c r="Q38" s="2252" t="s">
        <v>2885</v>
      </c>
    </row>
    <row r="39" spans="1:295" ht="4.5" customHeight="1">
      <c r="A39" s="1511"/>
      <c r="B39" s="1511"/>
      <c r="C39" s="1511"/>
      <c r="D39" s="1511"/>
      <c r="E39" s="1511"/>
      <c r="F39" s="1511"/>
      <c r="G39" s="213"/>
      <c r="H39" s="213"/>
      <c r="I39" s="213"/>
      <c r="J39" s="42"/>
      <c r="K39" s="2841"/>
      <c r="L39" s="2841"/>
      <c r="M39" s="2841"/>
      <c r="N39" s="2841"/>
      <c r="P39" s="2782" t="s">
        <v>4530</v>
      </c>
      <c r="Q39" s="2782"/>
    </row>
    <row r="40" spans="1:295" s="82" customFormat="1" ht="10.5" customHeight="1">
      <c r="D40" s="590" t="s">
        <v>2633</v>
      </c>
      <c r="E40" s="35"/>
      <c r="F40" s="591" t="s">
        <v>3337</v>
      </c>
      <c r="G40" s="2842" t="s">
        <v>4453</v>
      </c>
      <c r="H40" s="2842"/>
      <c r="I40" s="2842"/>
      <c r="J40" s="35"/>
      <c r="K40" s="591" t="s">
        <v>3337</v>
      </c>
      <c r="L40" s="2842" t="s">
        <v>4452</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3251</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0" t="str">
        <f>IF(F41="","",F41*G41)</f>
        <v/>
      </c>
      <c r="J41" s="42"/>
      <c r="K41" s="1509" t="str">
        <f>IF('Part VI-Revenues &amp; Expenses'!$K$150 =0,"",'Part VI-Revenues &amp; Expenses'!$K$150)</f>
        <v/>
      </c>
      <c r="L41" s="824">
        <f>G41*(1+'DCA Underwriting Assumptions'!$Q$12)</f>
        <v>189615.36000000002</v>
      </c>
      <c r="M41" s="40" t="str">
        <f>CONCATENATE("x ", K41," units = ")</f>
        <v xml:space="preserve">x  units = </v>
      </c>
      <c r="N41" s="1510" t="str">
        <f>IF(K41="","",K41*L41)</f>
        <v/>
      </c>
      <c r="O41" s="2376"/>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0" t="str">
        <f>IF(F42="","",F42*G42)</f>
        <v/>
      </c>
      <c r="J42" s="42"/>
      <c r="K42" s="1509" t="str">
        <f>IF('Part VI-Revenues &amp; Expenses'!$L$150 =0,"",'Part VI-Revenues &amp; Expenses'!$L$150)</f>
        <v/>
      </c>
      <c r="L42" s="824">
        <f>G42*(1+'DCA Underwriting Assumptions'!$Q$12)</f>
        <v>235133.14</v>
      </c>
      <c r="M42" s="40" t="str">
        <f>CONCATENATE("x ", K42," units = ")</f>
        <v xml:space="preserve">x  units = </v>
      </c>
      <c r="N42" s="1510" t="str">
        <f>IF(K42="","",K42*L42)</f>
        <v/>
      </c>
      <c r="O42" s="2376"/>
      <c r="P42" s="2843" t="str">
        <f>IF('Part I-Project Information'!$F$38="","",VLOOKUP('Part I-Project Information'!$J$39,'DCA Underwriting Assumptions'!$G$173:$N$332,8,FALSE))</f>
        <v>Macon</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281373.95</v>
      </c>
      <c r="M43" s="40" t="str">
        <f>CONCATENATE("x ", K43," units = ")</f>
        <v xml:space="preserve">x  units = </v>
      </c>
      <c r="N43" s="1510" t="str">
        <f>IF(K43="","",K43*L43)</f>
        <v/>
      </c>
      <c r="O43" s="2376"/>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320914.99000000005</v>
      </c>
      <c r="M44" s="40" t="str">
        <f>CONCATENATE("x ", K44," units = ")</f>
        <v xml:space="preserve">x  units = </v>
      </c>
      <c r="N44" s="1510" t="str">
        <f>IF(K44="","",K44*L44)</f>
        <v/>
      </c>
      <c r="O44" s="2376"/>
      <c r="P44" s="2697" t="s">
        <v>4531</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0" t="str">
        <f>IF(F45="","",F45*G45)</f>
        <v/>
      </c>
      <c r="J45" s="42"/>
      <c r="K45" s="1509" t="str">
        <f>IF('Part VI-Revenues &amp; Expenses'!$O$150 =0,"",'Part VI-Revenues &amp; Expenses'!$O$150)</f>
        <v/>
      </c>
      <c r="L45" s="824">
        <f>G45*(1+'DCA Underwriting Assumptions'!$Q$12)</f>
        <v>378185.50000000006</v>
      </c>
      <c r="M45" s="40" t="str">
        <f>CONCATENATE("x ", K45," units = ")</f>
        <v xml:space="preserve">x  units = </v>
      </c>
      <c r="N45" s="1510" t="str">
        <f>IF(K45="","",K45*L45)</f>
        <v/>
      </c>
      <c r="O45" s="2376"/>
      <c r="P45" s="2780">
        <f>'Part IV-A-Uses of Funds'!$G$132</f>
        <v>9105000</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76"/>
      <c r="P46" s="2697" t="s">
        <v>4516</v>
      </c>
      <c r="Q46" s="2697"/>
      <c r="R46" s="2696" t="s">
        <v>4532</v>
      </c>
      <c r="S46" s="2696"/>
      <c r="T46" s="2696"/>
      <c r="V46" s="2253"/>
      <c r="W46" s="2253"/>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7"/>
      <c r="J47" s="127"/>
      <c r="K47" s="593"/>
      <c r="L47" s="127"/>
      <c r="M47" s="2376"/>
      <c r="N47" s="2377"/>
      <c r="O47" s="2376"/>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3246</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162975.12</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8803500</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204005.285</v>
      </c>
      <c r="M49" s="40" t="str">
        <f>CONCATENATE("x ", K49," units = ")</f>
        <v xml:space="preserve">x  units = </v>
      </c>
      <c r="N49" s="1510" t="str">
        <f>IF(K49="","",K49*L49)</f>
        <v/>
      </c>
      <c r="P49" s="2621" t="s">
        <v>3774</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2377</v>
      </c>
      <c r="E50" s="823">
        <v>2</v>
      </c>
      <c r="F50" s="1509">
        <f>IF('Part VI-Revenues &amp; Expenses'!$M$151 =0,"",'Part VI-Revenues &amp; Expenses'!$M$151)</f>
        <v>6</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6 units = </v>
      </c>
      <c r="I50" s="1510">
        <f>IF(F50="","",F50*G50)</f>
        <v>1348825.7999999998</v>
      </c>
      <c r="J50" s="42"/>
      <c r="K50" s="1509" t="str">
        <f>IF('Part VI-Revenues &amp; Expenses'!$M$152 =0,"",'Part VI-Revenues &amp; Expenses'!$M$152)</f>
        <v/>
      </c>
      <c r="L50" s="824">
        <f>G50*(1+'DCA Underwriting Assumptions'!$Q$12)</f>
        <v>247284.73</v>
      </c>
      <c r="M50" s="40" t="str">
        <f>CONCATENATE("x ", K50," units = ")</f>
        <v xml:space="preserve">x  units = </v>
      </c>
      <c r="N50" s="1510" t="str">
        <f>IF(K50="","",K50*L50)</f>
        <v/>
      </c>
      <c r="O50" s="540"/>
      <c r="P50" s="2847"/>
      <c r="Q50" s="2848"/>
      <c r="R50" s="404"/>
      <c r="S50" s="2794" t="s">
        <v>4519</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288794.33000000007</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0" t="str">
        <f>IF(F52="","",F52*G52)</f>
        <v/>
      </c>
      <c r="J52" s="42"/>
      <c r="K52" s="1509" t="str">
        <f>IF('Part VI-Revenues &amp; Expenses'!$O$152 =0,"",'Part VI-Revenues &amp; Expenses'!$O$152)</f>
        <v/>
      </c>
      <c r="L52" s="824">
        <f>G52*(1+'DCA Underwriting Assumptions'!$Q$12)</f>
        <v>342632.07000000007</v>
      </c>
      <c r="M52" s="40" t="str">
        <f>CONCATENATE("x ", K52," units = ")</f>
        <v xml:space="preserve">x  units = </v>
      </c>
      <c r="N52" s="1510" t="str">
        <f>IF(K52="","",K52*L52)</f>
        <v/>
      </c>
      <c r="O52" s="540"/>
      <c r="P52" s="2811" t="s">
        <v>3463</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6</v>
      </c>
      <c r="G53" s="592"/>
      <c r="H53" s="1045"/>
      <c r="I53" s="1046">
        <f>SUM(I48:I52)</f>
        <v>1348825.7999999998</v>
      </c>
      <c r="J53" s="1047"/>
      <c r="K53" s="1044">
        <f>SUM(K48:K52)</f>
        <v>0</v>
      </c>
      <c r="L53" s="1047"/>
      <c r="M53" s="1045"/>
      <c r="N53" s="1046">
        <f>SUM(N48:N52)</f>
        <v>0</v>
      </c>
      <c r="O53" s="540"/>
      <c r="P53" s="1052" t="s">
        <v>3140</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7"/>
      <c r="J54" s="35"/>
      <c r="K54" s="593"/>
      <c r="L54" s="35"/>
      <c r="M54" s="2376"/>
      <c r="N54" s="2377"/>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0" t="str">
        <f>IF(F55="","",F55*G55)</f>
        <v/>
      </c>
      <c r="J55" s="42"/>
      <c r="K55" s="1509" t="str">
        <f>IF('Part VI-Revenues &amp; Expenses'!$K$154 =0,"",'Part VI-Revenues &amp; Expenses'!$K$154)</f>
        <v/>
      </c>
      <c r="L55" s="824">
        <f>G55*(1+'DCA Underwriting Assumptions'!$Q$12)</f>
        <v>143018.04</v>
      </c>
      <c r="M55" s="40" t="str">
        <f>CONCATENATE("x ", K55," units = ")</f>
        <v xml:space="preserve">x  units = </v>
      </c>
      <c r="N55" s="1510" t="str">
        <f>IF(K55="","",K55*L55)</f>
        <v/>
      </c>
      <c r="O55" s="540"/>
      <c r="P55" s="1051">
        <f>'Part IX Scoring Criteria'!O415</f>
        <v>2</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0" t="str">
        <f>IF(F56="","",F56*G56)</f>
        <v/>
      </c>
      <c r="J56" s="42"/>
      <c r="K56" s="1509" t="str">
        <f>IF('Part VI-Revenues &amp; Expenses'!$L$154 =0,"",'Part VI-Revenues &amp; Expenses'!$L$154)</f>
        <v/>
      </c>
      <c r="L56" s="824">
        <f>G56*(1+'DCA Underwriting Assumptions'!$Q$12)</f>
        <v>187099.82500000001</v>
      </c>
      <c r="M56" s="40" t="str">
        <f>CONCATENATE("x ", K56," units = ")</f>
        <v xml:space="preserve">x  units = </v>
      </c>
      <c r="N56" s="1510" t="str">
        <f>IF(K56="","",K56*L56)</f>
        <v/>
      </c>
      <c r="P56" s="2811" t="s">
        <v>3464</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0" t="str">
        <f>IF(F57="","",F57*G57)</f>
        <v/>
      </c>
      <c r="J57" s="42"/>
      <c r="K57" s="1509" t="str">
        <f>IF('Part VI-Revenues &amp; Expenses'!$M$154 =0,"",'Part VI-Revenues &amp; Expenses'!$M$154)</f>
        <v/>
      </c>
      <c r="L57" s="824">
        <f>G57*(1+'DCA Underwriting Assumptions'!$Q$12)</f>
        <v>236781.435</v>
      </c>
      <c r="M57" s="40" t="str">
        <f>CONCATENATE("x ", K57," units = ")</f>
        <v xml:space="preserve">x  units = </v>
      </c>
      <c r="N57" s="1510" t="str">
        <f>IF(K57="","",K57*L57)</f>
        <v/>
      </c>
      <c r="P57" s="1052" t="s">
        <v>3140</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0" t="str">
        <f>IF(F58="","",F58*G58)</f>
        <v/>
      </c>
      <c r="J58" s="42"/>
      <c r="K58" s="1509" t="str">
        <f>IF('Part VI-Revenues &amp; Expenses'!$N$154 =0,"",'Part VI-Revenues &amp; Expenses'!$N$154)</f>
        <v/>
      </c>
      <c r="L58" s="824">
        <f>G58*(1+'DCA Underwriting Assumptions'!$Q$12)</f>
        <v>298383.58000000007</v>
      </c>
      <c r="M58" s="40" t="str">
        <f>CONCATENATE("x ", K58," units = ")</f>
        <v xml:space="preserve">x  units = </v>
      </c>
      <c r="N58" s="1510" t="str">
        <f>IF(K58="","",K58*L58)</f>
        <v/>
      </c>
      <c r="O58" s="540"/>
      <c r="P58" s="1051">
        <f>'Part IX Scoring Criteria'!O74</f>
        <v>1</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369803.83000000007</v>
      </c>
      <c r="M59" s="40" t="str">
        <f>CONCATENATE("x ", K59," units = ")</f>
        <v xml:space="preserve">x  units = </v>
      </c>
      <c r="N59" s="1510" t="str">
        <f>IF(K59="","",K59*L59)</f>
        <v/>
      </c>
      <c r="O59" s="540"/>
      <c r="P59" s="2816" t="s">
        <v>2678</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7"/>
      <c r="J61" s="35"/>
      <c r="K61" s="593"/>
      <c r="L61" s="35"/>
      <c r="M61" s="2376"/>
      <c r="N61" s="2377"/>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0" t="str">
        <f>IF(F62="","",F62*G62)</f>
        <v/>
      </c>
      <c r="J62" s="42"/>
      <c r="K62" s="1509">
        <f>IF('Part VI-Revenues &amp; Expenses'!$K$156 =0,"",'Part VI-Revenues &amp; Expenses'!$K$156)</f>
        <v>22</v>
      </c>
      <c r="L62" s="824">
        <f>G62*(1+'DCA Underwriting Assumptions'!$Q$12)</f>
        <v>147825.48000000001</v>
      </c>
      <c r="M62" s="40" t="str">
        <f>CONCATENATE("x ", K62," units = ")</f>
        <v xml:space="preserve">x 22 units = </v>
      </c>
      <c r="N62" s="1510">
        <f>IF(K62="","",K62*L62)</f>
        <v>3252160.56</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510" t="str">
        <f>IF(F63="","",F63*G63)</f>
        <v/>
      </c>
      <c r="J63" s="42"/>
      <c r="K63" s="1509">
        <f>IF('Part VI-Revenues &amp; Expenses'!$L$156 =0,"",'Part VI-Revenues &amp; Expenses'!$L$156)</f>
        <v>22</v>
      </c>
      <c r="L63" s="824">
        <f>G63*(1+'DCA Underwriting Assumptions'!$Q$12)</f>
        <v>198331.75999999998</v>
      </c>
      <c r="M63" s="40" t="str">
        <f>CONCATENATE("x ", K63," units = ")</f>
        <v xml:space="preserve">x 22 units = </v>
      </c>
      <c r="N63" s="1510">
        <f>IF(K63="","",K63*L63)</f>
        <v>4363298.72</v>
      </c>
      <c r="O63" s="540"/>
      <c r="P63" s="2818">
        <f>IF(P50&gt;1,P50, IF(OR('Part IX Scoring Criteria'!$O$74='Part IX Scoring Criteria'!$M$74,AND('Part IV-A-Uses of Funds'!$T$172="Yes",'Part IX Scoring Criteria'!$O$415&gt;0)),H69+M69,H69))</f>
        <v>8964285.0799999982</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254997.435</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325215.33000000007</v>
      </c>
      <c r="M65" s="40" t="str">
        <f>CONCATENATE("x ", K65," units = ")</f>
        <v xml:space="preserve">x  units = </v>
      </c>
      <c r="N65" s="1510" t="str">
        <f>IF(K65="","",K65*L65)</f>
        <v/>
      </c>
      <c r="P65" s="2807" t="s">
        <v>3878</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406518.86000000004</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44</v>
      </c>
      <c r="L67" s="1047"/>
      <c r="M67" s="1045"/>
      <c r="N67" s="1048">
        <f>SUM(N62:N66)</f>
        <v>7615459.2799999993</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4"/>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6</v>
      </c>
      <c r="G69" s="329"/>
      <c r="H69" s="2810">
        <f>I46+I53+I60+I67</f>
        <v>1348825.7999999998</v>
      </c>
      <c r="I69" s="2810"/>
      <c r="J69" s="2810"/>
      <c r="K69" s="583">
        <f>K46+K53+K60+K67</f>
        <v>44</v>
      </c>
      <c r="L69" s="584"/>
      <c r="M69" s="2810">
        <f>N46+N53+N60+N67</f>
        <v>7615459.2799999993</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7"/>
      <c r="J70" s="2397"/>
      <c r="K70" s="136" t="s">
        <v>1819</v>
      </c>
      <c r="L70" s="2374"/>
      <c r="M70" s="2374"/>
      <c r="N70" s="2374"/>
      <c r="O70" s="2374"/>
      <c r="P70" s="2809"/>
      <c r="Q70" s="2809"/>
    </row>
    <row r="71" spans="1:295" ht="47.25" customHeight="1">
      <c r="A71" s="2707" t="s">
        <v>7161</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7"/>
      <c r="C72" s="2376"/>
      <c r="D72" s="2376"/>
      <c r="E72" s="2376"/>
      <c r="F72" s="2376"/>
      <c r="G72" s="2376"/>
      <c r="H72" s="2376"/>
      <c r="I72" s="2376"/>
      <c r="J72" s="2376"/>
      <c r="K72" s="2376"/>
      <c r="L72" s="2376"/>
      <c r="M72" s="2376"/>
      <c r="N72" s="2376"/>
      <c r="O72" s="2376"/>
      <c r="P72" s="2376"/>
      <c r="Q72" s="2374"/>
    </row>
    <row r="73" spans="1:295" ht="12.75" customHeight="1">
      <c r="A73" s="2369" t="s">
        <v>724</v>
      </c>
      <c r="B73" s="4" t="s">
        <v>1166</v>
      </c>
      <c r="C73" s="4"/>
      <c r="D73" s="4"/>
      <c r="E73" s="2376"/>
      <c r="F73" s="2376"/>
      <c r="G73" s="139" t="s">
        <v>4555</v>
      </c>
      <c r="H73" s="2376"/>
      <c r="J73" s="2812" t="str">
        <f>'Part I-Project Information'!$H$82</f>
        <v>Family</v>
      </c>
      <c r="K73" s="2812"/>
      <c r="L73" s="2812"/>
      <c r="O73" s="131" t="s">
        <v>1820</v>
      </c>
      <c r="P73" s="2718"/>
      <c r="Q73" s="2719"/>
    </row>
    <row r="74" spans="1:295" ht="10.5" customHeight="1">
      <c r="B74" s="95" t="s">
        <v>3565</v>
      </c>
      <c r="D74" s="95"/>
      <c r="E74" s="95"/>
      <c r="F74" s="95"/>
      <c r="G74" s="95"/>
      <c r="H74" s="40"/>
      <c r="I74" s="2397"/>
      <c r="J74" s="2397"/>
      <c r="K74" s="136" t="s">
        <v>1819</v>
      </c>
      <c r="L74" s="2374"/>
      <c r="M74" s="2374"/>
      <c r="N74" s="2374"/>
      <c r="O74" s="2374"/>
      <c r="P74" s="2374"/>
      <c r="Q74" s="855"/>
    </row>
    <row r="75" spans="1:295" ht="107.25" customHeight="1">
      <c r="A75" s="2707" t="s">
        <v>7159</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4"/>
      <c r="B76" s="2397"/>
      <c r="C76" s="2376"/>
      <c r="D76" s="2376"/>
      <c r="E76" s="2376"/>
      <c r="F76" s="2376"/>
      <c r="G76" s="2376"/>
      <c r="H76" s="2376"/>
      <c r="I76" s="2376"/>
      <c r="J76" s="2376"/>
      <c r="K76" s="2376"/>
      <c r="L76" s="2376"/>
      <c r="M76" s="2376"/>
      <c r="N76" s="2376"/>
      <c r="O76" s="2376"/>
      <c r="P76" s="2376"/>
      <c r="Q76" s="2374"/>
    </row>
    <row r="77" spans="1:295" ht="12.75" customHeight="1">
      <c r="A77" s="2369" t="s">
        <v>1748</v>
      </c>
      <c r="B77" s="2369" t="s">
        <v>2579</v>
      </c>
      <c r="C77" s="113"/>
      <c r="D77" s="2376"/>
      <c r="E77" s="2376"/>
      <c r="F77" s="2376"/>
      <c r="G77" s="2376"/>
      <c r="H77" s="2376"/>
      <c r="I77" s="2376"/>
      <c r="J77" s="2376"/>
      <c r="L77" s="1594" t="s">
        <v>4250</v>
      </c>
      <c r="M77" s="1595" t="s">
        <v>4251</v>
      </c>
      <c r="O77" s="131" t="s">
        <v>1820</v>
      </c>
      <c r="P77" s="2718"/>
      <c r="Q77" s="2719"/>
    </row>
    <row r="78" spans="1:295" ht="1.5" customHeight="1"/>
    <row r="79" spans="1:295" ht="12" customHeight="1">
      <c r="A79" s="141" t="s">
        <v>1935</v>
      </c>
      <c r="B79" s="2720" t="s">
        <v>4243</v>
      </c>
      <c r="C79" s="2720"/>
      <c r="D79" s="2720"/>
      <c r="E79" s="2720"/>
      <c r="F79" s="2720"/>
      <c r="G79" s="2720"/>
      <c r="H79" s="2720"/>
      <c r="I79" s="2720"/>
      <c r="J79" s="2720"/>
      <c r="K79" s="147"/>
      <c r="L79" s="429" t="s">
        <v>2807</v>
      </c>
      <c r="M79" s="1463">
        <v>2</v>
      </c>
      <c r="N79" s="389" t="s">
        <v>4700</v>
      </c>
      <c r="P79" s="2813" t="s">
        <v>7043</v>
      </c>
      <c r="Q79" s="2705"/>
    </row>
    <row r="80" spans="1:295" ht="12" customHeight="1">
      <c r="A80" s="141"/>
      <c r="B80" s="2720"/>
      <c r="C80" s="2720"/>
      <c r="D80" s="2720"/>
      <c r="E80" s="2720"/>
      <c r="F80" s="2720"/>
      <c r="G80" s="2720"/>
      <c r="H80" s="2720"/>
      <c r="I80" s="2720"/>
      <c r="J80" s="2720"/>
      <c r="K80" s="147"/>
      <c r="L80" s="429" t="s">
        <v>4249</v>
      </c>
      <c r="M80" s="1464">
        <v>4</v>
      </c>
      <c r="O80" s="142"/>
      <c r="P80" s="2814"/>
      <c r="Q80" s="2706"/>
    </row>
    <row r="81" spans="1:31" ht="12" customHeight="1">
      <c r="A81" s="47" t="s">
        <v>1937</v>
      </c>
      <c r="B81" s="389" t="s">
        <v>4252</v>
      </c>
      <c r="C81" s="389"/>
      <c r="D81" s="389"/>
      <c r="E81" s="389"/>
      <c r="F81" s="389"/>
      <c r="G81" s="389"/>
      <c r="H81" s="389"/>
      <c r="I81" s="389"/>
      <c r="J81" s="389"/>
      <c r="K81" s="563"/>
      <c r="L81" s="389"/>
      <c r="M81" s="147"/>
      <c r="N81" s="897"/>
      <c r="O81" s="897"/>
      <c r="P81" s="897"/>
    </row>
    <row r="82" spans="1:31" ht="12" customHeight="1">
      <c r="A82" s="1412"/>
      <c r="B82" s="1488" t="s">
        <v>1694</v>
      </c>
      <c r="C82" s="389" t="s">
        <v>4256</v>
      </c>
      <c r="D82" s="1414"/>
      <c r="E82" s="1414"/>
      <c r="F82" s="1414"/>
      <c r="G82" s="1414"/>
      <c r="H82" s="1414"/>
      <c r="I82" s="1414"/>
      <c r="J82" s="1414"/>
      <c r="K82" s="1413"/>
      <c r="L82" s="896"/>
      <c r="N82" s="389" t="s">
        <v>4701</v>
      </c>
      <c r="O82" s="897"/>
      <c r="P82" s="2254" t="s">
        <v>7133</v>
      </c>
      <c r="Q82" s="518"/>
    </row>
    <row r="83" spans="1:31" ht="12" customHeight="1">
      <c r="A83" s="1412"/>
      <c r="B83" s="1488" t="s">
        <v>1695</v>
      </c>
      <c r="C83" s="389" t="s">
        <v>4253</v>
      </c>
      <c r="D83" s="1414"/>
      <c r="E83" s="1414"/>
      <c r="F83" s="1414"/>
      <c r="G83" s="1414"/>
      <c r="H83" s="1414"/>
      <c r="I83" s="1414"/>
      <c r="J83" s="1414"/>
      <c r="K83" s="1413"/>
      <c r="L83" s="896"/>
      <c r="N83" s="389" t="s">
        <v>4702</v>
      </c>
      <c r="O83" s="897"/>
      <c r="P83" s="2255" t="s">
        <v>7043</v>
      </c>
      <c r="Q83" s="519"/>
    </row>
    <row r="84" spans="1:31" ht="12" customHeight="1">
      <c r="A84" s="1411"/>
      <c r="B84" s="468" t="s">
        <v>1696</v>
      </c>
      <c r="C84" s="389" t="s">
        <v>4254</v>
      </c>
      <c r="E84" s="1414"/>
      <c r="F84" s="1414"/>
      <c r="G84" s="1414"/>
      <c r="H84" s="1414"/>
      <c r="I84" s="1414"/>
      <c r="J84" s="1414"/>
      <c r="K84" s="1413"/>
      <c r="L84" s="896"/>
      <c r="M84" s="897"/>
      <c r="N84" s="389" t="s">
        <v>4703</v>
      </c>
      <c r="O84" s="897"/>
      <c r="P84" s="2255" t="s">
        <v>7043</v>
      </c>
      <c r="Q84" s="519"/>
    </row>
    <row r="85" spans="1:31" ht="11.1" customHeight="1">
      <c r="A85" s="143"/>
      <c r="B85" s="468" t="s">
        <v>2304</v>
      </c>
      <c r="C85" s="468" t="s">
        <v>4257</v>
      </c>
      <c r="D85" s="133"/>
      <c r="E85" s="133"/>
      <c r="F85" s="133"/>
      <c r="G85" s="133"/>
      <c r="H85" s="133"/>
      <c r="I85" s="42"/>
      <c r="J85" s="42"/>
      <c r="N85" s="389" t="s">
        <v>4704</v>
      </c>
      <c r="O85" s="897"/>
      <c r="P85" s="2256" t="s">
        <v>7132</v>
      </c>
      <c r="Q85" s="520"/>
    </row>
    <row r="86" spans="1:31" ht="11.1" customHeight="1">
      <c r="A86" s="143"/>
      <c r="B86" s="468"/>
      <c r="C86" s="389" t="s">
        <v>4258</v>
      </c>
      <c r="D86" s="133"/>
      <c r="E86" s="133"/>
      <c r="F86" s="133"/>
      <c r="G86" s="133"/>
      <c r="H86" s="133"/>
      <c r="I86" s="42"/>
      <c r="J86" s="42"/>
      <c r="L86" s="2698"/>
      <c r="M86" s="2699"/>
      <c r="N86" s="2699"/>
      <c r="O86" s="2699"/>
      <c r="P86" s="2699"/>
      <c r="Q86" s="2700"/>
    </row>
    <row r="87" spans="1:31" ht="11.25" customHeight="1">
      <c r="A87" s="143"/>
      <c r="B87" s="468" t="s">
        <v>1516</v>
      </c>
      <c r="C87" s="2720" t="s">
        <v>4255</v>
      </c>
      <c r="D87" s="2720"/>
      <c r="E87" s="2720"/>
      <c r="F87" s="2720"/>
      <c r="G87" s="2720"/>
      <c r="H87" s="2720"/>
      <c r="I87" s="2720"/>
      <c r="J87" s="2720"/>
      <c r="K87" s="2720"/>
      <c r="L87" s="2720"/>
      <c r="M87" s="515"/>
      <c r="N87" s="389" t="s">
        <v>4705</v>
      </c>
      <c r="O87" s="897"/>
      <c r="P87" s="2257" t="s">
        <v>7043</v>
      </c>
      <c r="Q87" s="517"/>
    </row>
    <row r="88" spans="1:31" ht="11.25" customHeight="1">
      <c r="A88" s="47"/>
      <c r="C88" s="2720"/>
      <c r="D88" s="2720"/>
      <c r="E88" s="2720"/>
      <c r="F88" s="2720"/>
      <c r="G88" s="2720"/>
      <c r="H88" s="2720"/>
      <c r="I88" s="2720"/>
      <c r="J88" s="2720"/>
      <c r="K88" s="2720"/>
      <c r="L88" s="2720"/>
      <c r="M88" s="515"/>
    </row>
    <row r="89" spans="1:31" ht="10.5" customHeight="1">
      <c r="B89" s="95" t="s">
        <v>3565</v>
      </c>
      <c r="D89" s="95"/>
      <c r="E89" s="95"/>
      <c r="F89" s="95"/>
      <c r="G89" s="95"/>
      <c r="H89" s="40"/>
      <c r="I89" s="2397"/>
      <c r="J89" s="2397"/>
      <c r="K89" s="136" t="s">
        <v>1819</v>
      </c>
      <c r="L89" s="2374"/>
      <c r="M89" s="2374"/>
      <c r="N89" s="2374"/>
      <c r="O89" s="2374"/>
      <c r="P89" s="2374"/>
      <c r="Q89" s="855"/>
    </row>
    <row r="90" spans="1:31" ht="40.5" customHeight="1">
      <c r="A90" s="2707" t="s">
        <v>7105</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4"/>
      <c r="B91" s="2397"/>
      <c r="C91" s="2376"/>
      <c r="D91" s="2376"/>
      <c r="E91" s="2376"/>
      <c r="F91" s="2376"/>
      <c r="G91" s="2376"/>
      <c r="H91" s="2376"/>
      <c r="I91" s="2376"/>
      <c r="J91" s="2376"/>
      <c r="K91" s="2376"/>
      <c r="L91" s="2376"/>
      <c r="M91" s="2376"/>
      <c r="N91" s="2376"/>
      <c r="O91" s="2376"/>
      <c r="P91" s="2376"/>
      <c r="Q91" s="2374"/>
    </row>
    <row r="92" spans="1:31" ht="14.1" customHeight="1">
      <c r="A92" s="2369" t="s">
        <v>1750</v>
      </c>
      <c r="B92" s="2369" t="s">
        <v>4694</v>
      </c>
      <c r="C92" s="2369"/>
      <c r="D92" s="2376"/>
      <c r="E92" s="2376"/>
      <c r="F92" s="2376"/>
      <c r="G92" s="2376"/>
      <c r="H92" s="1627" t="str">
        <f>'Part I-Project Information'!$K$40</f>
        <v>Rural</v>
      </c>
      <c r="J92" s="47" t="s">
        <v>4699</v>
      </c>
      <c r="K92" s="587" t="str">
        <f>'Part I-Project Information'!$H$105</f>
        <v>Rural</v>
      </c>
      <c r="L92" s="63" t="s">
        <v>4309</v>
      </c>
      <c r="M92" s="1466" t="str">
        <f>'Part I-Project Information'!$H$82</f>
        <v>Family</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27" t="s">
        <v>7044</v>
      </c>
      <c r="N94" s="2788"/>
      <c r="O94" s="2788"/>
      <c r="P94" s="2789"/>
      <c r="Q94" s="518"/>
    </row>
    <row r="95" spans="1:31" ht="10.5" customHeight="1">
      <c r="A95" s="47" t="s">
        <v>1937</v>
      </c>
      <c r="B95" s="52" t="s">
        <v>4556</v>
      </c>
      <c r="D95" s="133"/>
      <c r="E95" s="133"/>
      <c r="F95" s="133"/>
      <c r="L95" s="455" t="s">
        <v>1937</v>
      </c>
      <c r="M95" s="2790" t="s">
        <v>7106</v>
      </c>
      <c r="N95" s="2791"/>
      <c r="O95" s="2791"/>
      <c r="P95" s="2792"/>
      <c r="Q95" s="519"/>
    </row>
    <row r="96" spans="1:31" ht="10.5" customHeight="1">
      <c r="A96" s="47" t="s">
        <v>731</v>
      </c>
      <c r="B96" s="52" t="s">
        <v>2778</v>
      </c>
      <c r="D96" s="133"/>
      <c r="E96" s="133"/>
      <c r="F96" s="133"/>
      <c r="L96" s="455" t="s">
        <v>731</v>
      </c>
      <c r="M96" s="2803">
        <v>0.99</v>
      </c>
      <c r="N96" s="2804"/>
      <c r="O96" s="2804"/>
      <c r="P96" s="2805"/>
      <c r="Q96" s="519"/>
    </row>
    <row r="97" spans="1:32" ht="10.5" customHeight="1">
      <c r="A97" s="47" t="s">
        <v>2064</v>
      </c>
      <c r="B97" s="52" t="s">
        <v>3666</v>
      </c>
      <c r="D97" s="133"/>
      <c r="E97" s="133"/>
      <c r="F97" s="133"/>
      <c r="L97" s="455" t="s">
        <v>3667</v>
      </c>
      <c r="M97" s="2258">
        <v>8.8999999999999996E-2</v>
      </c>
      <c r="N97" s="1053"/>
      <c r="O97" s="1054" t="s">
        <v>3806</v>
      </c>
      <c r="P97" s="2259"/>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8" t="s">
        <v>2316</v>
      </c>
      <c r="E99" s="856" t="s">
        <v>599</v>
      </c>
      <c r="F99" s="856"/>
      <c r="H99" s="52"/>
      <c r="I99" s="2388" t="s">
        <v>2316</v>
      </c>
      <c r="J99" s="856" t="s">
        <v>599</v>
      </c>
      <c r="K99" s="856"/>
      <c r="M99" s="52"/>
      <c r="N99" s="2388" t="s">
        <v>2316</v>
      </c>
      <c r="O99" s="856" t="s">
        <v>599</v>
      </c>
      <c r="P99" s="856"/>
      <c r="Q99" s="455"/>
    </row>
    <row r="100" spans="1:32" ht="10.5" customHeight="1">
      <c r="C100" s="455" t="s">
        <v>1694</v>
      </c>
      <c r="D100" s="2260" t="s">
        <v>7126</v>
      </c>
      <c r="E100" s="2793" t="s">
        <v>7107</v>
      </c>
      <c r="F100" s="2793"/>
      <c r="G100" s="2793"/>
      <c r="H100" s="65" t="s">
        <v>1696</v>
      </c>
      <c r="I100" s="2260" t="s">
        <v>7128</v>
      </c>
      <c r="J100" s="2793" t="s">
        <v>7109</v>
      </c>
      <c r="K100" s="2793"/>
      <c r="L100" s="2793"/>
      <c r="M100" s="64" t="s">
        <v>1516</v>
      </c>
      <c r="N100" s="2260" t="s">
        <v>7131</v>
      </c>
      <c r="O100" s="2793" t="s">
        <v>7130</v>
      </c>
      <c r="P100" s="2793"/>
      <c r="Q100" s="2793"/>
    </row>
    <row r="101" spans="1:32" ht="10.5" customHeight="1">
      <c r="C101" s="65" t="s">
        <v>1695</v>
      </c>
      <c r="D101" s="2261" t="s">
        <v>7127</v>
      </c>
      <c r="E101" s="2815" t="s">
        <v>7108</v>
      </c>
      <c r="F101" s="2815"/>
      <c r="G101" s="2815"/>
      <c r="H101" s="455" t="s">
        <v>2304</v>
      </c>
      <c r="I101" s="2261" t="s">
        <v>7129</v>
      </c>
      <c r="J101" s="2815" t="s">
        <v>7110</v>
      </c>
      <c r="K101" s="2815"/>
      <c r="L101" s="2815"/>
      <c r="M101" s="64" t="s">
        <v>1517</v>
      </c>
      <c r="N101" s="2261"/>
      <c r="O101" s="2815"/>
      <c r="P101" s="2815"/>
      <c r="Q101" s="2815"/>
    </row>
    <row r="102" spans="1:32" ht="10.5" customHeight="1">
      <c r="A102" s="47" t="s">
        <v>1693</v>
      </c>
      <c r="B102" s="52" t="s">
        <v>0</v>
      </c>
      <c r="D102" s="133"/>
      <c r="E102" s="133"/>
      <c r="F102" s="133"/>
      <c r="G102" s="133"/>
      <c r="H102" s="133"/>
      <c r="I102" s="42"/>
      <c r="J102" s="42"/>
      <c r="K102" s="133"/>
      <c r="L102" s="2380"/>
      <c r="M102" s="2380"/>
      <c r="O102" s="455" t="s">
        <v>1693</v>
      </c>
      <c r="P102" s="2262" t="s">
        <v>2885</v>
      </c>
      <c r="Q102" s="1553"/>
    </row>
    <row r="103" spans="1:32" s="132" customFormat="1" ht="43.2" customHeight="1">
      <c r="A103" s="141" t="s">
        <v>1899</v>
      </c>
      <c r="B103" s="2710" t="s">
        <v>4791</v>
      </c>
      <c r="C103" s="2710"/>
      <c r="D103" s="2710"/>
      <c r="E103" s="2710"/>
      <c r="F103" s="2710"/>
      <c r="G103" s="2710"/>
      <c r="H103" s="2710"/>
      <c r="I103" s="2710"/>
      <c r="J103" s="2710"/>
      <c r="K103" s="2710"/>
      <c r="L103" s="2710"/>
      <c r="M103" s="2710"/>
      <c r="N103" s="2710"/>
      <c r="O103" s="1725" t="s">
        <v>4789</v>
      </c>
      <c r="P103" s="2379" t="s">
        <v>2888</v>
      </c>
      <c r="Q103" s="2378"/>
      <c r="AE103" s="458"/>
      <c r="AF103" s="458"/>
    </row>
    <row r="104" spans="1:32" s="42" customFormat="1" ht="10.5" customHeight="1">
      <c r="A104" s="47"/>
      <c r="B104" s="1488" t="s">
        <v>1695</v>
      </c>
      <c r="C104" s="52" t="s">
        <v>4790</v>
      </c>
      <c r="D104" s="133"/>
      <c r="E104" s="133"/>
      <c r="F104" s="133"/>
      <c r="G104" s="133"/>
      <c r="H104" s="133"/>
      <c r="K104" s="133"/>
      <c r="L104" s="2380"/>
      <c r="M104" s="2380"/>
      <c r="O104" s="455" t="s">
        <v>1695</v>
      </c>
      <c r="P104" s="2256" t="s">
        <v>2888</v>
      </c>
      <c r="Q104" s="520"/>
      <c r="AE104" s="50"/>
      <c r="AF104" s="50"/>
    </row>
    <row r="105" spans="1:32" ht="9.75" customHeight="1">
      <c r="B105" s="140" t="s">
        <v>3565</v>
      </c>
      <c r="D105" s="140"/>
      <c r="E105" s="140"/>
      <c r="F105" s="140"/>
      <c r="G105" s="140"/>
      <c r="H105" s="40"/>
      <c r="I105" s="2397"/>
      <c r="J105" s="2397"/>
      <c r="K105" s="2397"/>
      <c r="L105" s="2374"/>
      <c r="M105" s="2374"/>
      <c r="N105" s="2374"/>
      <c r="O105" s="2374"/>
      <c r="P105" s="2374"/>
      <c r="Q105" s="855"/>
    </row>
    <row r="106" spans="1:32" ht="37.5" customHeight="1">
      <c r="A106" s="2707" t="s">
        <v>7162</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1819</v>
      </c>
      <c r="C107" s="137"/>
      <c r="D107" s="2376"/>
      <c r="E107" s="2376"/>
      <c r="F107" s="2376"/>
      <c r="G107" s="2376"/>
      <c r="H107" s="2376"/>
      <c r="I107" s="2376"/>
      <c r="J107" s="2376"/>
      <c r="K107" s="2376"/>
      <c r="L107" s="2376"/>
      <c r="M107" s="2376"/>
      <c r="N107" s="2376"/>
      <c r="O107" s="2376"/>
      <c r="P107" s="2376"/>
      <c r="Q107" s="2376"/>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69" t="s">
        <v>516</v>
      </c>
      <c r="B109" s="2369" t="s">
        <v>2580</v>
      </c>
      <c r="C109" s="2369"/>
      <c r="D109" s="2376"/>
      <c r="E109" s="2376"/>
      <c r="F109" s="2376"/>
      <c r="G109" s="2376"/>
      <c r="H109" s="2376"/>
      <c r="I109" s="2376"/>
      <c r="J109" s="2376"/>
      <c r="K109" s="2376"/>
      <c r="L109" s="2376"/>
      <c r="M109" s="2376"/>
      <c r="O109" s="131" t="s">
        <v>1820</v>
      </c>
      <c r="P109" s="2718"/>
      <c r="Q109" s="2719"/>
    </row>
    <row r="110" spans="1:32" ht="3" customHeight="1"/>
    <row r="111" spans="1:32" ht="10.5" customHeight="1">
      <c r="A111" s="47" t="s">
        <v>1935</v>
      </c>
      <c r="B111" s="52" t="s">
        <v>4706</v>
      </c>
      <c r="C111" s="52"/>
      <c r="E111" s="52"/>
      <c r="F111" s="52"/>
      <c r="G111" s="52"/>
      <c r="H111" s="52"/>
      <c r="I111" s="52"/>
      <c r="J111" s="52"/>
      <c r="K111" s="52"/>
      <c r="L111" s="856"/>
      <c r="M111" s="856"/>
      <c r="O111" s="455" t="s">
        <v>1935</v>
      </c>
      <c r="P111" s="2257" t="s">
        <v>2888</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4375</v>
      </c>
      <c r="O113" s="65" t="s">
        <v>1695</v>
      </c>
      <c r="P113" s="2262"/>
      <c r="Q113" s="1553"/>
      <c r="AE113" s="50"/>
      <c r="AF113" s="50"/>
    </row>
    <row r="114" spans="1:32" s="42" customFormat="1" ht="9.75" customHeight="1">
      <c r="B114" s="1488" t="s">
        <v>1696</v>
      </c>
      <c r="C114" s="36" t="s">
        <v>4742</v>
      </c>
      <c r="O114" s="148" t="s">
        <v>1696</v>
      </c>
      <c r="P114" s="2263"/>
      <c r="Q114" s="1724"/>
      <c r="AE114" s="50"/>
      <c r="AF114" s="50"/>
    </row>
    <row r="115" spans="1:32" ht="10.5" customHeight="1">
      <c r="A115" s="2397"/>
      <c r="B115" s="468" t="s">
        <v>2304</v>
      </c>
      <c r="C115" s="856" t="s">
        <v>4259</v>
      </c>
      <c r="D115" s="984"/>
      <c r="E115" s="984"/>
      <c r="F115" s="984"/>
      <c r="G115" s="984"/>
      <c r="H115" s="984"/>
      <c r="I115" s="984"/>
      <c r="J115" s="984"/>
      <c r="K115" s="984"/>
      <c r="L115" s="984"/>
      <c r="M115" s="984"/>
      <c r="O115" s="160" t="s">
        <v>2304</v>
      </c>
      <c r="P115" s="2264"/>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55"/>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55"/>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55"/>
      <c r="Q118" s="519"/>
    </row>
    <row r="119" spans="1:32" s="132" customFormat="1" ht="20.399999999999999" customHeight="1">
      <c r="A119" s="429"/>
      <c r="B119" s="468" t="s">
        <v>500</v>
      </c>
      <c r="C119" s="2710" t="s">
        <v>4559</v>
      </c>
      <c r="D119" s="2710"/>
      <c r="E119" s="2710"/>
      <c r="F119" s="2710"/>
      <c r="G119" s="2710"/>
      <c r="H119" s="2710"/>
      <c r="I119" s="2710"/>
      <c r="J119" s="2710"/>
      <c r="K119" s="2710"/>
      <c r="L119" s="2710"/>
      <c r="M119" s="2710"/>
      <c r="N119" s="2710"/>
      <c r="O119" s="160" t="s">
        <v>500</v>
      </c>
      <c r="P119" s="2387"/>
      <c r="Q119" s="2251"/>
      <c r="AE119" s="458"/>
      <c r="AF119" s="458"/>
    </row>
    <row r="120" spans="1:32" ht="10.5" customHeight="1">
      <c r="A120" s="47" t="s">
        <v>1937</v>
      </c>
      <c r="B120" s="52" t="s">
        <v>4558</v>
      </c>
      <c r="C120" s="52"/>
      <c r="E120" s="52"/>
      <c r="F120" s="52"/>
      <c r="G120" s="52"/>
      <c r="H120" s="52"/>
      <c r="I120" s="52"/>
      <c r="J120" s="52"/>
      <c r="K120" s="52"/>
      <c r="L120" s="52"/>
      <c r="M120" s="52"/>
      <c r="O120" s="455" t="s">
        <v>1937</v>
      </c>
      <c r="P120" s="2262"/>
      <c r="Q120" s="1553"/>
    </row>
    <row r="121" spans="1:32" ht="10.5" customHeight="1">
      <c r="B121" s="1488" t="s">
        <v>1694</v>
      </c>
      <c r="C121" s="52" t="s">
        <v>4798</v>
      </c>
      <c r="D121" s="52"/>
      <c r="E121" s="52"/>
      <c r="F121" s="52"/>
      <c r="G121" s="52"/>
      <c r="H121" s="52"/>
      <c r="I121" s="52"/>
      <c r="J121" s="52"/>
      <c r="K121" s="52"/>
      <c r="L121" s="52"/>
      <c r="M121" s="52"/>
      <c r="O121" s="148" t="s">
        <v>1694</v>
      </c>
      <c r="P121" s="2262"/>
      <c r="Q121" s="1553"/>
    </row>
    <row r="122" spans="1:32" ht="10.5" customHeight="1">
      <c r="A122" s="47"/>
      <c r="B122" s="145" t="s">
        <v>1695</v>
      </c>
      <c r="C122" s="52" t="s">
        <v>4797</v>
      </c>
      <c r="D122" s="52"/>
      <c r="E122" s="52"/>
      <c r="F122" s="52"/>
      <c r="G122" s="52"/>
      <c r="H122" s="52"/>
      <c r="I122" s="52"/>
      <c r="J122" s="52"/>
      <c r="K122" s="52"/>
      <c r="L122" s="52"/>
      <c r="M122" s="52"/>
      <c r="O122" s="65" t="s">
        <v>1695</v>
      </c>
      <c r="P122" s="2385"/>
      <c r="Q122" s="2391"/>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4"/>
      <c r="Q124" s="518"/>
    </row>
    <row r="125" spans="1:32" ht="10.5" customHeight="1">
      <c r="B125" s="145" t="s">
        <v>1695</v>
      </c>
      <c r="C125" s="52" t="s">
        <v>1402</v>
      </c>
      <c r="E125" s="52"/>
      <c r="F125" s="52"/>
      <c r="G125" s="52"/>
      <c r="H125" s="52"/>
      <c r="I125" s="52"/>
      <c r="J125" s="52"/>
      <c r="K125" s="52"/>
      <c r="L125" s="856"/>
      <c r="M125" s="856"/>
      <c r="O125" s="65" t="s">
        <v>1695</v>
      </c>
      <c r="P125" s="2255"/>
      <c r="Q125" s="519"/>
    </row>
    <row r="126" spans="1:32" ht="10.5" customHeight="1">
      <c r="B126" s="145" t="s">
        <v>1696</v>
      </c>
      <c r="C126" s="52" t="s">
        <v>1403</v>
      </c>
      <c r="E126" s="52"/>
      <c r="F126" s="52"/>
      <c r="G126" s="52"/>
      <c r="H126" s="52"/>
      <c r="I126" s="52"/>
      <c r="J126" s="52"/>
      <c r="K126" s="52"/>
      <c r="L126" s="856"/>
      <c r="M126" s="856"/>
      <c r="O126" s="65" t="s">
        <v>1696</v>
      </c>
      <c r="P126" s="2256"/>
      <c r="Q126" s="520"/>
    </row>
    <row r="127" spans="1:32" ht="10.5" customHeight="1">
      <c r="B127" s="140" t="s">
        <v>3565</v>
      </c>
      <c r="D127" s="140"/>
      <c r="E127" s="140"/>
      <c r="F127" s="140"/>
      <c r="G127" s="140"/>
      <c r="H127" s="40"/>
      <c r="I127" s="2397"/>
      <c r="J127" s="2397"/>
      <c r="K127" s="2397"/>
      <c r="L127" s="2374"/>
      <c r="M127" s="2374"/>
      <c r="N127" s="2374"/>
      <c r="O127" s="2374"/>
      <c r="P127" s="2374"/>
      <c r="Q127" s="855"/>
    </row>
    <row r="128" spans="1:32" ht="22.5" customHeight="1">
      <c r="A128" s="2707" t="s">
        <v>7111</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76"/>
      <c r="E129" s="2376"/>
      <c r="F129" s="2376"/>
      <c r="G129" s="2376"/>
      <c r="H129" s="2376"/>
      <c r="I129" s="2376"/>
      <c r="J129" s="2376"/>
      <c r="K129" s="2376"/>
      <c r="L129" s="2376"/>
      <c r="M129" s="2376"/>
      <c r="N129" s="2376"/>
      <c r="O129" s="2376"/>
      <c r="P129" s="2376"/>
      <c r="Q129" s="2376"/>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69" t="s">
        <v>754</v>
      </c>
      <c r="B131" s="2369" t="s">
        <v>2581</v>
      </c>
      <c r="C131" s="40"/>
      <c r="D131" s="2376"/>
      <c r="E131" s="2376"/>
      <c r="F131" s="2376"/>
      <c r="G131" s="2376"/>
      <c r="H131" s="2376"/>
      <c r="I131" s="2376"/>
      <c r="J131" s="2376"/>
      <c r="K131" s="2376"/>
      <c r="L131" s="2376"/>
      <c r="M131" s="2376"/>
      <c r="O131" s="131" t="s">
        <v>1820</v>
      </c>
      <c r="P131" s="2718"/>
      <c r="Q131" s="2719"/>
    </row>
    <row r="132" spans="1:17" ht="6.6" customHeight="1"/>
    <row r="133" spans="1:17" ht="12" customHeight="1">
      <c r="A133" s="47" t="s">
        <v>1935</v>
      </c>
      <c r="B133" s="52" t="s">
        <v>3469</v>
      </c>
      <c r="D133" s="133"/>
      <c r="E133" s="133"/>
      <c r="F133" s="133"/>
      <c r="G133" s="133"/>
      <c r="H133" s="133"/>
      <c r="I133" s="42"/>
      <c r="J133" s="42"/>
      <c r="K133" s="455" t="s">
        <v>1935</v>
      </c>
      <c r="L133" s="2704" t="s">
        <v>7045</v>
      </c>
      <c r="M133" s="2704"/>
      <c r="N133" s="2704"/>
      <c r="O133" s="2704"/>
      <c r="P133" s="2704"/>
      <c r="Q133" s="517"/>
    </row>
    <row r="134" spans="1:17" ht="12" customHeight="1">
      <c r="A134" s="47" t="s">
        <v>1937</v>
      </c>
      <c r="B134" s="52" t="s">
        <v>1505</v>
      </c>
      <c r="D134" s="133"/>
      <c r="E134" s="133"/>
      <c r="F134" s="133"/>
      <c r="G134" s="133"/>
      <c r="H134" s="133"/>
      <c r="I134" s="42"/>
      <c r="J134" s="42"/>
      <c r="K134" s="133"/>
      <c r="L134" s="2380"/>
      <c r="O134" s="455" t="s">
        <v>1937</v>
      </c>
      <c r="P134" s="2264" t="s">
        <v>2888</v>
      </c>
      <c r="Q134" s="898"/>
    </row>
    <row r="135" spans="1:17" ht="12" customHeight="1">
      <c r="A135" s="47" t="s">
        <v>731</v>
      </c>
      <c r="B135" s="52" t="s">
        <v>147</v>
      </c>
      <c r="D135" s="133"/>
      <c r="E135" s="133"/>
      <c r="F135" s="133"/>
      <c r="G135" s="133"/>
      <c r="H135" s="133"/>
      <c r="I135" s="42"/>
      <c r="J135" s="42"/>
      <c r="K135" s="2380"/>
      <c r="L135" s="2380"/>
      <c r="O135" s="455" t="s">
        <v>731</v>
      </c>
      <c r="P135" s="2256" t="s">
        <v>2885</v>
      </c>
      <c r="Q135" s="862"/>
    </row>
    <row r="136" spans="1:17" ht="12" customHeight="1">
      <c r="A136" s="47"/>
      <c r="B136" s="856" t="s">
        <v>1694</v>
      </c>
      <c r="C136" s="52" t="s">
        <v>2610</v>
      </c>
      <c r="E136" s="133"/>
      <c r="F136" s="133"/>
      <c r="G136" s="133"/>
      <c r="H136" s="133"/>
      <c r="I136" s="42"/>
      <c r="J136" s="42"/>
      <c r="K136" s="65" t="s">
        <v>1694</v>
      </c>
      <c r="L136" s="2704" t="s">
        <v>7045</v>
      </c>
      <c r="M136" s="2704"/>
      <c r="N136" s="2704"/>
      <c r="O136" s="2704"/>
      <c r="P136" s="2704"/>
      <c r="Q136" s="517"/>
    </row>
    <row r="137" spans="1:17" ht="12" customHeight="1">
      <c r="A137" s="138"/>
      <c r="B137" s="145" t="s">
        <v>1695</v>
      </c>
      <c r="C137" s="36" t="s">
        <v>3354</v>
      </c>
      <c r="E137" s="42"/>
      <c r="F137" s="42"/>
      <c r="G137" s="42"/>
      <c r="H137" s="52"/>
      <c r="I137" s="42"/>
      <c r="J137" s="42"/>
      <c r="K137" s="133"/>
      <c r="L137" s="2380"/>
      <c r="M137" s="2380"/>
      <c r="O137" s="455" t="s">
        <v>1695</v>
      </c>
      <c r="P137" s="2262">
        <v>60</v>
      </c>
      <c r="Q137" s="1553"/>
    </row>
    <row r="138" spans="1:17" ht="12" customHeight="1">
      <c r="A138" s="138"/>
      <c r="B138" s="40" t="s">
        <v>1696</v>
      </c>
      <c r="C138" s="36" t="s">
        <v>4244</v>
      </c>
      <c r="D138" s="147"/>
      <c r="E138" s="42"/>
      <c r="F138" s="42"/>
      <c r="G138" s="42"/>
      <c r="H138" s="52"/>
      <c r="I138" s="42"/>
      <c r="J138" s="42"/>
      <c r="K138" s="133"/>
      <c r="L138" s="2380"/>
      <c r="M138" s="2380"/>
      <c r="O138" s="455" t="s">
        <v>1696</v>
      </c>
      <c r="P138" s="2256" t="s">
        <v>7132</v>
      </c>
      <c r="Q138" s="520"/>
    </row>
    <row r="139" spans="1:17" ht="12" customHeight="1">
      <c r="A139" s="47" t="s">
        <v>2064</v>
      </c>
      <c r="B139" s="52" t="s">
        <v>1234</v>
      </c>
      <c r="D139" s="133"/>
      <c r="E139" s="133"/>
      <c r="F139" s="133"/>
      <c r="G139" s="133"/>
      <c r="H139" s="133"/>
      <c r="I139" s="42"/>
      <c r="J139" s="42"/>
      <c r="K139" s="133"/>
      <c r="L139" s="2380"/>
      <c r="M139" s="2380"/>
      <c r="N139" s="2380"/>
      <c r="O139" s="455" t="s">
        <v>2064</v>
      </c>
    </row>
    <row r="140" spans="1:17" ht="12" customHeight="1">
      <c r="A140" s="47"/>
      <c r="B140" s="145" t="s">
        <v>1694</v>
      </c>
      <c r="C140" s="52" t="s">
        <v>145</v>
      </c>
      <c r="E140" s="133"/>
      <c r="F140" s="133"/>
      <c r="G140" s="133"/>
      <c r="H140" s="133"/>
      <c r="I140" s="42"/>
      <c r="J140" s="42"/>
      <c r="K140" s="133"/>
      <c r="L140" s="2380"/>
      <c r="M140" s="2380"/>
      <c r="O140" s="65" t="s">
        <v>1694</v>
      </c>
      <c r="P140" s="2254" t="s">
        <v>2888</v>
      </c>
      <c r="Q140" s="518"/>
    </row>
    <row r="141" spans="1:17" ht="12" customHeight="1">
      <c r="A141" s="47"/>
      <c r="B141" s="145" t="s">
        <v>1695</v>
      </c>
      <c r="C141" s="52" t="s">
        <v>1235</v>
      </c>
      <c r="E141" s="133"/>
      <c r="F141" s="133"/>
      <c r="G141" s="133"/>
      <c r="H141" s="42"/>
      <c r="I141" s="42"/>
      <c r="J141" s="42"/>
      <c r="K141" s="133"/>
      <c r="L141" s="2380"/>
      <c r="M141" s="2380"/>
      <c r="O141" s="65" t="s">
        <v>1695</v>
      </c>
      <c r="P141" s="2255" t="s">
        <v>2888</v>
      </c>
      <c r="Q141" s="519"/>
    </row>
    <row r="142" spans="1:17" ht="12" customHeight="1">
      <c r="A142" s="47"/>
      <c r="B142" s="145"/>
      <c r="C142" s="52" t="s">
        <v>2561</v>
      </c>
      <c r="E142" s="455" t="s">
        <v>2371</v>
      </c>
      <c r="F142" s="52" t="s">
        <v>2562</v>
      </c>
      <c r="G142" s="42"/>
      <c r="H142" s="52"/>
      <c r="I142" s="42"/>
      <c r="J142" s="42"/>
      <c r="K142" s="133"/>
      <c r="L142" s="2380"/>
      <c r="M142" s="2380"/>
      <c r="O142" s="455" t="s">
        <v>2371</v>
      </c>
      <c r="P142" s="2265"/>
      <c r="Q142" s="828"/>
    </row>
    <row r="143" spans="1:17" ht="12" customHeight="1">
      <c r="A143" s="47"/>
      <c r="B143" s="145"/>
      <c r="E143" s="455" t="s">
        <v>2372</v>
      </c>
      <c r="F143" s="52" t="s">
        <v>2563</v>
      </c>
      <c r="G143" s="42"/>
      <c r="H143" s="52"/>
      <c r="I143" s="42"/>
      <c r="J143" s="42"/>
      <c r="K143" s="133"/>
      <c r="L143" s="2380"/>
      <c r="M143" s="2380"/>
      <c r="O143" s="455" t="s">
        <v>2372</v>
      </c>
      <c r="P143" s="2255"/>
      <c r="Q143" s="519"/>
    </row>
    <row r="144" spans="1:17" ht="12" customHeight="1">
      <c r="A144" s="47"/>
      <c r="B144" s="145"/>
      <c r="E144" s="455" t="s">
        <v>2373</v>
      </c>
      <c r="F144" s="52" t="s">
        <v>2564</v>
      </c>
      <c r="G144" s="42"/>
      <c r="H144" s="52"/>
      <c r="I144" s="42"/>
      <c r="J144" s="42"/>
      <c r="K144" s="133"/>
      <c r="L144" s="2380"/>
      <c r="M144" s="2380"/>
      <c r="O144" s="455" t="s">
        <v>2373</v>
      </c>
      <c r="P144" s="2255"/>
      <c r="Q144" s="519"/>
    </row>
    <row r="145" spans="1:17" ht="12" customHeight="1">
      <c r="A145" s="47"/>
      <c r="B145" s="145" t="s">
        <v>1696</v>
      </c>
      <c r="C145" s="52" t="s">
        <v>1236</v>
      </c>
      <c r="E145" s="133"/>
      <c r="F145" s="133"/>
      <c r="G145" s="133"/>
      <c r="H145" s="52"/>
      <c r="I145" s="42"/>
      <c r="J145" s="42"/>
      <c r="K145" s="133"/>
      <c r="L145" s="2380"/>
      <c r="M145" s="2380"/>
      <c r="O145" s="65" t="s">
        <v>1696</v>
      </c>
      <c r="P145" s="2255" t="s">
        <v>2888</v>
      </c>
      <c r="Q145" s="519"/>
    </row>
    <row r="146" spans="1:17" ht="12" customHeight="1">
      <c r="A146" s="47"/>
      <c r="B146" s="65"/>
      <c r="C146" s="52" t="s">
        <v>2561</v>
      </c>
      <c r="E146" s="455" t="s">
        <v>2371</v>
      </c>
      <c r="F146" s="52" t="s">
        <v>2565</v>
      </c>
      <c r="G146" s="42"/>
      <c r="H146" s="52"/>
      <c r="I146" s="42"/>
      <c r="J146" s="42"/>
      <c r="K146" s="133"/>
      <c r="L146" s="2380"/>
      <c r="O146" s="455" t="s">
        <v>2371</v>
      </c>
      <c r="P146" s="2265"/>
      <c r="Q146" s="828"/>
    </row>
    <row r="147" spans="1:17" ht="12" customHeight="1">
      <c r="A147" s="47"/>
      <c r="B147" s="65"/>
      <c r="E147" s="455" t="s">
        <v>2372</v>
      </c>
      <c r="F147" s="52" t="s">
        <v>2566</v>
      </c>
      <c r="G147" s="42"/>
      <c r="H147" s="52"/>
      <c r="I147" s="42"/>
      <c r="J147" s="42"/>
      <c r="O147" s="455" t="s">
        <v>2372</v>
      </c>
      <c r="P147" s="2255"/>
      <c r="Q147" s="519"/>
    </row>
    <row r="148" spans="1:17" ht="12" customHeight="1">
      <c r="A148" s="47"/>
      <c r="B148" s="65"/>
      <c r="E148" s="455" t="s">
        <v>2373</v>
      </c>
      <c r="F148" s="52" t="s">
        <v>2564</v>
      </c>
      <c r="G148" s="42"/>
      <c r="H148" s="52"/>
      <c r="I148" s="42"/>
      <c r="J148" s="42"/>
      <c r="O148" s="455" t="s">
        <v>2373</v>
      </c>
      <c r="P148" s="2256"/>
      <c r="Q148" s="520"/>
    </row>
    <row r="149" spans="1:17" ht="12" customHeight="1">
      <c r="A149" s="47" t="s">
        <v>1692</v>
      </c>
      <c r="B149" s="145" t="s">
        <v>2351</v>
      </c>
      <c r="D149" s="133"/>
      <c r="E149" s="133"/>
      <c r="F149" s="133"/>
      <c r="G149" s="133"/>
      <c r="H149" s="133"/>
      <c r="I149" s="42"/>
      <c r="J149" s="42"/>
      <c r="K149" s="133"/>
      <c r="L149" s="2380"/>
      <c r="M149" s="2380"/>
      <c r="N149" s="2380"/>
      <c r="O149" s="2380"/>
      <c r="P149" s="2380"/>
      <c r="Q149" s="2380"/>
    </row>
    <row r="150" spans="1:17" ht="12" customHeight="1">
      <c r="B150" s="145" t="s">
        <v>1694</v>
      </c>
      <c r="C150" s="52" t="s">
        <v>2429</v>
      </c>
      <c r="E150" s="133"/>
      <c r="F150" s="2254" t="s">
        <v>2885</v>
      </c>
      <c r="G150" s="518"/>
      <c r="H150" s="455" t="s">
        <v>4406</v>
      </c>
      <c r="I150" s="55" t="s">
        <v>2568</v>
      </c>
      <c r="L150" s="2254" t="s">
        <v>2888</v>
      </c>
      <c r="M150" s="518"/>
      <c r="N150" s="455" t="s">
        <v>4410</v>
      </c>
      <c r="O150" s="52" t="s">
        <v>1519</v>
      </c>
      <c r="P150" s="2254" t="s">
        <v>2885</v>
      </c>
      <c r="Q150" s="518"/>
    </row>
    <row r="151" spans="1:17" ht="12" customHeight="1">
      <c r="A151" s="36"/>
      <c r="B151" s="145" t="s">
        <v>1695</v>
      </c>
      <c r="C151" s="52" t="s">
        <v>2709</v>
      </c>
      <c r="E151" s="133"/>
      <c r="F151" s="2255" t="s">
        <v>2888</v>
      </c>
      <c r="G151" s="519"/>
      <c r="H151" s="455" t="s">
        <v>4407</v>
      </c>
      <c r="I151" s="55" t="s">
        <v>2569</v>
      </c>
      <c r="L151" s="2255" t="s">
        <v>2885</v>
      </c>
      <c r="M151" s="519"/>
      <c r="N151" s="455" t="s">
        <v>4411</v>
      </c>
      <c r="O151" s="52" t="s">
        <v>1518</v>
      </c>
      <c r="P151" s="2255" t="s">
        <v>2888</v>
      </c>
      <c r="Q151" s="519"/>
    </row>
    <row r="152" spans="1:17" ht="12" customHeight="1">
      <c r="A152" s="36"/>
      <c r="B152" s="145" t="s">
        <v>1696</v>
      </c>
      <c r="C152" s="52" t="s">
        <v>2567</v>
      </c>
      <c r="E152" s="133"/>
      <c r="F152" s="2255" t="s">
        <v>2888</v>
      </c>
      <c r="G152" s="519"/>
      <c r="H152" s="455" t="s">
        <v>4408</v>
      </c>
      <c r="I152" s="55" t="s">
        <v>3630</v>
      </c>
      <c r="L152" s="2255" t="s">
        <v>2888</v>
      </c>
      <c r="M152" s="519"/>
      <c r="N152" s="455" t="s">
        <v>4412</v>
      </c>
      <c r="O152" s="52" t="s">
        <v>1520</v>
      </c>
      <c r="P152" s="2256" t="s">
        <v>2888</v>
      </c>
      <c r="Q152" s="520"/>
    </row>
    <row r="153" spans="1:17" ht="12" customHeight="1">
      <c r="A153" s="36"/>
      <c r="B153" s="145" t="s">
        <v>2304</v>
      </c>
      <c r="C153" s="52" t="s">
        <v>2711</v>
      </c>
      <c r="E153" s="133"/>
      <c r="F153" s="2256" t="s">
        <v>2888</v>
      </c>
      <c r="G153" s="520"/>
      <c r="H153" s="455" t="s">
        <v>4409</v>
      </c>
      <c r="I153" s="52" t="s">
        <v>2708</v>
      </c>
      <c r="L153" s="2256" t="s">
        <v>2885</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45.75" customHeight="1">
      <c r="A155" s="36"/>
      <c r="C155" s="2806" t="s">
        <v>7112</v>
      </c>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3436</v>
      </c>
      <c r="D156" s="133"/>
      <c r="E156" s="133"/>
      <c r="F156" s="133"/>
      <c r="G156" s="133"/>
      <c r="H156" s="133"/>
      <c r="I156" s="42"/>
      <c r="J156" s="42"/>
      <c r="K156" s="133"/>
      <c r="L156" s="133"/>
      <c r="M156" s="2380"/>
    </row>
    <row r="157" spans="1:17" ht="12" customHeight="1">
      <c r="A157" s="42"/>
      <c r="B157" s="145" t="s">
        <v>1694</v>
      </c>
      <c r="C157" s="52" t="s">
        <v>2712</v>
      </c>
      <c r="E157" s="133"/>
      <c r="F157" s="133"/>
      <c r="G157" s="133"/>
      <c r="H157" s="133"/>
      <c r="O157" s="65" t="s">
        <v>1694</v>
      </c>
      <c r="P157" s="2254" t="s">
        <v>2888</v>
      </c>
      <c r="Q157" s="518"/>
    </row>
    <row r="158" spans="1:17" ht="12" customHeight="1">
      <c r="A158" s="2397"/>
      <c r="B158" s="145" t="s">
        <v>1695</v>
      </c>
      <c r="C158" s="52" t="s">
        <v>480</v>
      </c>
      <c r="E158" s="52"/>
      <c r="F158" s="52"/>
      <c r="G158" s="52"/>
      <c r="H158" s="52"/>
      <c r="I158" s="42"/>
      <c r="J158" s="42"/>
      <c r="K158" s="52"/>
      <c r="L158" s="52"/>
      <c r="M158" s="52"/>
      <c r="O158" s="65" t="s">
        <v>1695</v>
      </c>
      <c r="P158" s="2255" t="s">
        <v>2888</v>
      </c>
      <c r="Q158" s="519"/>
    </row>
    <row r="159" spans="1:17" ht="12" customHeight="1">
      <c r="A159" s="2397"/>
      <c r="B159" s="145" t="s">
        <v>1696</v>
      </c>
      <c r="C159" s="52" t="s">
        <v>663</v>
      </c>
      <c r="E159" s="52"/>
      <c r="F159" s="52"/>
      <c r="G159" s="52"/>
      <c r="H159" s="52"/>
      <c r="I159" s="42"/>
      <c r="J159" s="42"/>
      <c r="K159" s="52"/>
      <c r="L159" s="52"/>
      <c r="M159" s="52"/>
      <c r="O159" s="65" t="s">
        <v>1696</v>
      </c>
      <c r="P159" s="2255" t="s">
        <v>2888</v>
      </c>
      <c r="Q159" s="519"/>
    </row>
    <row r="160" spans="1:17" ht="12" customHeight="1">
      <c r="A160" s="2397"/>
      <c r="B160" s="40" t="s">
        <v>2304</v>
      </c>
      <c r="C160" s="52" t="s">
        <v>4392</v>
      </c>
      <c r="E160" s="52"/>
      <c r="F160" s="52"/>
      <c r="G160" s="52"/>
      <c r="H160" s="52"/>
      <c r="I160" s="42"/>
      <c r="J160" s="42"/>
      <c r="K160" s="52"/>
      <c r="L160" s="52"/>
      <c r="M160" s="52"/>
      <c r="O160" s="455" t="s">
        <v>2304</v>
      </c>
      <c r="P160" s="2256" t="s">
        <v>2888</v>
      </c>
      <c r="Q160" s="520"/>
    </row>
    <row r="161" spans="1:32" ht="12" customHeight="1">
      <c r="A161" s="407" t="s">
        <v>4560</v>
      </c>
      <c r="C161" s="52"/>
      <c r="D161" s="133"/>
      <c r="E161" s="133"/>
      <c r="F161" s="133"/>
      <c r="G161" s="133"/>
      <c r="H161" s="133"/>
      <c r="I161" s="42"/>
      <c r="J161" s="42"/>
      <c r="K161" s="133"/>
      <c r="L161" s="133"/>
      <c r="M161" s="2380"/>
      <c r="N161" s="2380"/>
      <c r="O161" s="2380"/>
      <c r="P161" s="2380"/>
      <c r="Q161" s="2380"/>
      <c r="R161" s="2380"/>
    </row>
    <row r="162" spans="1:32" s="1" customFormat="1" ht="23.4" customHeight="1">
      <c r="A162" s="47" t="s">
        <v>1899</v>
      </c>
      <c r="B162" s="2710" t="s">
        <v>144</v>
      </c>
      <c r="C162" s="2710"/>
      <c r="D162" s="2710"/>
      <c r="E162" s="2710"/>
      <c r="F162" s="2710"/>
      <c r="G162" s="2710"/>
      <c r="H162" s="2710"/>
      <c r="I162" s="2710"/>
      <c r="J162" s="2710"/>
      <c r="K162" s="2710"/>
      <c r="L162" s="2710"/>
      <c r="M162" s="455" t="s">
        <v>1899</v>
      </c>
      <c r="N162" s="2714" t="s">
        <v>1727</v>
      </c>
      <c r="O162" s="2715"/>
      <c r="P162" s="2716" t="s">
        <v>1727</v>
      </c>
      <c r="Q162" s="2717"/>
      <c r="AE162" s="5"/>
      <c r="AF162" s="5"/>
    </row>
    <row r="163" spans="1:32" ht="11.25" customHeight="1">
      <c r="B163" s="140" t="s">
        <v>3565</v>
      </c>
      <c r="D163" s="140"/>
      <c r="E163" s="140"/>
      <c r="F163" s="140"/>
      <c r="G163" s="140"/>
      <c r="H163" s="40"/>
      <c r="I163" s="2397"/>
      <c r="J163" s="2397"/>
      <c r="K163" s="2397"/>
      <c r="L163" s="2374"/>
      <c r="M163" s="2374"/>
      <c r="N163" s="2374"/>
      <c r="O163" s="2374"/>
      <c r="P163" s="2374"/>
      <c r="Q163" s="855"/>
    </row>
    <row r="164" spans="1:32" ht="18" customHeight="1">
      <c r="A164" s="2707" t="s">
        <v>7113</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6"/>
      <c r="E166" s="2376"/>
      <c r="F166" s="2376"/>
      <c r="G166" s="2376"/>
      <c r="H166" s="2376"/>
      <c r="I166" s="2376"/>
      <c r="J166" s="2376"/>
      <c r="K166" s="2376"/>
      <c r="L166" s="2376"/>
      <c r="M166" s="2376"/>
      <c r="N166" s="2376"/>
      <c r="O166" s="2376"/>
      <c r="P166" s="2376"/>
      <c r="Q166" s="2376"/>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4"/>
      <c r="B168" s="2397"/>
      <c r="C168" s="2376"/>
      <c r="D168" s="2376"/>
      <c r="E168" s="2376"/>
      <c r="F168" s="2376"/>
      <c r="G168" s="2376"/>
      <c r="H168" s="2376"/>
      <c r="I168" s="2376"/>
      <c r="J168" s="2376"/>
      <c r="K168" s="2376"/>
      <c r="L168" s="2376"/>
      <c r="M168" s="2376"/>
      <c r="N168" s="2376"/>
      <c r="O168" s="2376"/>
      <c r="P168" s="2376"/>
      <c r="Q168" s="2374"/>
    </row>
    <row r="169" spans="1:32" ht="14.1" customHeight="1">
      <c r="A169" s="2369" t="s">
        <v>287</v>
      </c>
      <c r="B169" s="2369" t="s">
        <v>2582</v>
      </c>
      <c r="C169" s="2369"/>
      <c r="D169" s="2376"/>
      <c r="E169" s="2376"/>
      <c r="F169" s="2376"/>
      <c r="G169" s="2376"/>
      <c r="H169" s="2376"/>
      <c r="I169" s="2376"/>
      <c r="J169" s="2376"/>
      <c r="K169" s="2376"/>
      <c r="O169" s="131" t="s">
        <v>1820</v>
      </c>
      <c r="P169" s="2718"/>
      <c r="Q169" s="2719"/>
    </row>
    <row r="170" spans="1:32" ht="12" customHeight="1">
      <c r="A170" s="47" t="s">
        <v>1935</v>
      </c>
      <c r="B170" s="145" t="s">
        <v>1694</v>
      </c>
      <c r="C170" s="52" t="s">
        <v>4743</v>
      </c>
      <c r="D170" s="52"/>
      <c r="E170" s="52"/>
      <c r="F170" s="52"/>
      <c r="G170" s="52"/>
      <c r="K170" s="52" t="s">
        <v>2626</v>
      </c>
      <c r="M170" s="2721">
        <v>44926</v>
      </c>
      <c r="N170" s="2722"/>
      <c r="O170" s="65" t="s">
        <v>1694</v>
      </c>
      <c r="P170" s="2252" t="s">
        <v>2885</v>
      </c>
      <c r="Q170" s="516"/>
    </row>
    <row r="171" spans="1:32" ht="12" customHeight="1">
      <c r="A171" s="47"/>
      <c r="B171" s="145" t="s">
        <v>1695</v>
      </c>
      <c r="C171" s="52" t="s">
        <v>4744</v>
      </c>
      <c r="D171" s="52"/>
      <c r="E171" s="52"/>
      <c r="F171" s="52"/>
      <c r="G171" s="52"/>
      <c r="K171" s="52" t="s">
        <v>2626</v>
      </c>
      <c r="M171" s="2721"/>
      <c r="N171" s="2722"/>
      <c r="O171" s="65" t="s">
        <v>1695</v>
      </c>
      <c r="P171" s="2252"/>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4" t="s">
        <v>7046</v>
      </c>
      <c r="O172" s="2785"/>
      <c r="P172" s="2786" t="s">
        <v>1727</v>
      </c>
      <c r="Q172" s="2787"/>
    </row>
    <row r="173" spans="1:32" ht="12" customHeight="1">
      <c r="A173" s="47" t="s">
        <v>731</v>
      </c>
      <c r="B173" s="139" t="s">
        <v>664</v>
      </c>
      <c r="D173" s="139"/>
      <c r="E173" s="139"/>
      <c r="F173" s="139"/>
      <c r="G173" s="139"/>
      <c r="H173" s="139"/>
      <c r="J173" s="455" t="s">
        <v>731</v>
      </c>
      <c r="K173" s="2698" t="s">
        <v>6991</v>
      </c>
      <c r="L173" s="2699"/>
      <c r="M173" s="2699"/>
      <c r="N173" s="2699"/>
      <c r="O173" s="2699"/>
      <c r="P173" s="2700"/>
      <c r="Q173" s="516"/>
    </row>
    <row r="174" spans="1:32" ht="12" customHeight="1">
      <c r="B174" s="140" t="s">
        <v>3565</v>
      </c>
      <c r="D174" s="140"/>
      <c r="E174" s="140"/>
      <c r="F174" s="140"/>
      <c r="G174" s="140"/>
      <c r="H174" s="40"/>
      <c r="I174" s="2397"/>
      <c r="J174" s="2397"/>
      <c r="K174" s="2397"/>
      <c r="L174" s="2374"/>
      <c r="M174" s="2374"/>
      <c r="N174" s="2374"/>
      <c r="O174" s="2374"/>
      <c r="P174" s="2374"/>
      <c r="Q174" s="855"/>
    </row>
    <row r="175" spans="1:32" ht="28.5" customHeight="1">
      <c r="A175" s="2707" t="s">
        <v>7114</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76"/>
      <c r="E176" s="2376"/>
      <c r="F176" s="2376"/>
      <c r="G176" s="2376"/>
      <c r="H176" s="2376"/>
      <c r="I176" s="2376"/>
      <c r="J176" s="2376"/>
      <c r="K176" s="2376"/>
      <c r="L176" s="2376"/>
      <c r="M176" s="2376"/>
      <c r="N176" s="2376"/>
      <c r="O176" s="2376"/>
      <c r="P176" s="2376"/>
      <c r="Q176" s="2376"/>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4"/>
      <c r="B178" s="2397"/>
      <c r="C178" s="2376"/>
      <c r="D178" s="2376"/>
      <c r="E178" s="2376"/>
      <c r="F178" s="2376"/>
      <c r="G178" s="2376"/>
      <c r="H178" s="2376"/>
      <c r="I178" s="2376"/>
      <c r="J178" s="2376"/>
      <c r="K178" s="2376"/>
      <c r="L178" s="2376"/>
      <c r="M178" s="2376"/>
      <c r="Q178" s="2374"/>
    </row>
    <row r="179" spans="1:31" ht="14.1" customHeight="1">
      <c r="A179" s="2369" t="s">
        <v>418</v>
      </c>
      <c r="B179" s="2369" t="s">
        <v>2583</v>
      </c>
      <c r="C179" s="2369"/>
      <c r="D179" s="2376"/>
      <c r="E179" s="2376"/>
      <c r="F179" s="2376"/>
      <c r="G179" s="2376"/>
      <c r="H179" s="2376"/>
      <c r="I179" s="2376"/>
      <c r="J179" s="2376"/>
      <c r="K179" s="2376"/>
      <c r="L179" s="2376"/>
      <c r="M179" s="2376"/>
      <c r="O179" s="131" t="s">
        <v>1820</v>
      </c>
      <c r="P179" s="2718"/>
      <c r="Q179" s="2719"/>
    </row>
    <row r="180" spans="1:31" ht="21.75" customHeight="1">
      <c r="A180" s="141" t="s">
        <v>1935</v>
      </c>
      <c r="B180" s="2710" t="s">
        <v>3556</v>
      </c>
      <c r="C180" s="2710"/>
      <c r="D180" s="2710"/>
      <c r="E180" s="2710"/>
      <c r="F180" s="2710"/>
      <c r="G180" s="2710"/>
      <c r="H180" s="2710"/>
      <c r="I180" s="2710"/>
      <c r="J180" s="2710"/>
      <c r="K180" s="2710"/>
      <c r="L180" s="2710"/>
      <c r="M180" s="2710"/>
      <c r="N180" s="2710"/>
      <c r="O180" s="160" t="s">
        <v>1935</v>
      </c>
      <c r="P180" s="2266" t="s">
        <v>2885</v>
      </c>
      <c r="Q180" s="1088"/>
    </row>
    <row r="181" spans="1:31" ht="22.35" customHeight="1">
      <c r="A181" s="141" t="s">
        <v>1937</v>
      </c>
      <c r="B181" s="2710" t="s">
        <v>4260</v>
      </c>
      <c r="C181" s="2710"/>
      <c r="D181" s="2710"/>
      <c r="E181" s="2710"/>
      <c r="F181" s="2710"/>
      <c r="G181" s="2710"/>
      <c r="H181" s="2710"/>
      <c r="I181" s="2710"/>
      <c r="J181" s="2710"/>
      <c r="K181" s="2710"/>
      <c r="L181" s="2710"/>
      <c r="M181" s="2710"/>
      <c r="N181" s="2710"/>
      <c r="O181" s="160" t="s">
        <v>1937</v>
      </c>
      <c r="P181" s="2379" t="s">
        <v>7132</v>
      </c>
      <c r="Q181" s="2378"/>
    </row>
    <row r="182" spans="1:31" ht="22.35" customHeight="1">
      <c r="A182" s="141" t="s">
        <v>731</v>
      </c>
      <c r="B182" s="2710" t="s">
        <v>3557</v>
      </c>
      <c r="C182" s="2710"/>
      <c r="D182" s="2710"/>
      <c r="E182" s="2710"/>
      <c r="F182" s="2710"/>
      <c r="G182" s="2710"/>
      <c r="H182" s="2710"/>
      <c r="I182" s="2710"/>
      <c r="J182" s="2710"/>
      <c r="K182" s="2710"/>
      <c r="L182" s="2710"/>
      <c r="M182" s="2710"/>
      <c r="N182" s="2710"/>
      <c r="O182" s="160" t="s">
        <v>731</v>
      </c>
      <c r="P182" s="2379" t="s">
        <v>7132</v>
      </c>
      <c r="Q182" s="2378"/>
    </row>
    <row r="183" spans="1:31" ht="21.75" customHeight="1">
      <c r="A183" s="141" t="s">
        <v>2064</v>
      </c>
      <c r="B183" s="2710" t="s">
        <v>4353</v>
      </c>
      <c r="C183" s="2710"/>
      <c r="D183" s="2710"/>
      <c r="E183" s="2710"/>
      <c r="F183" s="2710"/>
      <c r="G183" s="2710"/>
      <c r="H183" s="2710"/>
      <c r="I183" s="2710"/>
      <c r="J183" s="2710"/>
      <c r="K183" s="2710"/>
      <c r="L183" s="2710"/>
      <c r="M183" s="2710"/>
      <c r="N183" s="2710"/>
      <c r="O183" s="160" t="s">
        <v>2064</v>
      </c>
      <c r="P183" s="2387" t="s">
        <v>7132</v>
      </c>
      <c r="Q183" s="2251"/>
    </row>
    <row r="184" spans="1:31" ht="12" customHeight="1">
      <c r="B184" s="140" t="s">
        <v>3565</v>
      </c>
      <c r="D184" s="140"/>
      <c r="E184" s="140"/>
      <c r="F184" s="140"/>
      <c r="G184" s="140"/>
      <c r="H184" s="40"/>
      <c r="I184" s="2397"/>
      <c r="J184" s="2397"/>
      <c r="K184" s="2397"/>
      <c r="L184" s="2374"/>
      <c r="M184" s="2374"/>
      <c r="N184" s="2374"/>
      <c r="O184" s="2374"/>
      <c r="P184" s="2374"/>
      <c r="Q184" s="855"/>
    </row>
    <row r="185" spans="1:31" ht="26.25" customHeight="1">
      <c r="A185" s="2707" t="s">
        <v>7163</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76"/>
      <c r="E186" s="2376"/>
      <c r="F186" s="2376"/>
      <c r="G186" s="2376"/>
      <c r="H186" s="2376"/>
      <c r="I186" s="2376"/>
      <c r="J186" s="2376"/>
      <c r="K186" s="2376"/>
      <c r="L186" s="2376"/>
      <c r="M186" s="2376"/>
      <c r="N186" s="2376"/>
      <c r="O186" s="2376"/>
      <c r="P186" s="2376"/>
      <c r="Q186" s="2376"/>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7"/>
      <c r="C188" s="2376"/>
      <c r="D188" s="2376"/>
      <c r="E188" s="2376"/>
      <c r="F188" s="2376"/>
      <c r="G188" s="2376"/>
      <c r="H188" s="2376"/>
      <c r="I188" s="2376"/>
      <c r="J188" s="2376"/>
      <c r="K188" s="2376"/>
      <c r="L188" s="2376"/>
      <c r="M188" s="2376"/>
      <c r="N188" s="2376"/>
      <c r="O188" s="2376"/>
      <c r="P188" s="2376"/>
      <c r="Q188" s="2374"/>
    </row>
    <row r="189" spans="1:31" ht="14.1" customHeight="1">
      <c r="A189" s="2356"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54"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5" t="s">
        <v>2885</v>
      </c>
      <c r="Q191" s="519"/>
    </row>
    <row r="192" spans="1:31" ht="12" customHeight="1">
      <c r="A192" s="141" t="s">
        <v>731</v>
      </c>
      <c r="B192" s="842" t="s">
        <v>2571</v>
      </c>
      <c r="D192" s="842"/>
      <c r="E192" s="842"/>
      <c r="F192" s="842"/>
      <c r="G192" s="842"/>
      <c r="H192" s="842"/>
      <c r="I192" s="842"/>
      <c r="J192" s="139" t="s">
        <v>4365</v>
      </c>
      <c r="L192" s="842"/>
      <c r="M192" s="842"/>
      <c r="O192" s="160" t="s">
        <v>731</v>
      </c>
      <c r="P192" s="2255" t="s">
        <v>2885</v>
      </c>
      <c r="Q192" s="519"/>
    </row>
    <row r="193" spans="1:32" ht="12" customHeight="1">
      <c r="B193" s="40" t="s">
        <v>1694</v>
      </c>
      <c r="C193" s="856" t="s">
        <v>2572</v>
      </c>
      <c r="G193" s="842"/>
      <c r="H193" s="842"/>
      <c r="J193" s="842"/>
      <c r="K193" s="842"/>
      <c r="L193" s="842"/>
      <c r="M193" s="842"/>
      <c r="O193" s="438" t="s">
        <v>1694</v>
      </c>
      <c r="P193" s="2255" t="s">
        <v>2885</v>
      </c>
      <c r="Q193" s="519"/>
    </row>
    <row r="194" spans="1:32" ht="12" customHeight="1">
      <c r="A194" s="139"/>
      <c r="B194" s="40" t="s">
        <v>1695</v>
      </c>
      <c r="C194" s="856" t="s">
        <v>2573</v>
      </c>
      <c r="G194" s="842"/>
      <c r="H194" s="842"/>
      <c r="I194" s="842"/>
      <c r="J194" s="842"/>
      <c r="K194" s="842"/>
      <c r="L194" s="842"/>
      <c r="M194" s="842"/>
      <c r="O194" s="438" t="s">
        <v>1695</v>
      </c>
      <c r="P194" s="2255" t="s">
        <v>2885</v>
      </c>
      <c r="Q194" s="519"/>
    </row>
    <row r="195" spans="1:32" s="132" customFormat="1" ht="21.75" customHeight="1">
      <c r="A195" s="141"/>
      <c r="B195" s="468" t="s">
        <v>1696</v>
      </c>
      <c r="C195" s="2710" t="s">
        <v>3558</v>
      </c>
      <c r="D195" s="2710"/>
      <c r="E195" s="2710"/>
      <c r="F195" s="2710"/>
      <c r="G195" s="2710"/>
      <c r="H195" s="2710"/>
      <c r="I195" s="2710"/>
      <c r="J195" s="2710"/>
      <c r="K195" s="2710"/>
      <c r="L195" s="2710"/>
      <c r="M195" s="2710"/>
      <c r="N195" s="2710"/>
      <c r="O195" s="160" t="s">
        <v>1696</v>
      </c>
      <c r="P195" s="2379" t="s">
        <v>2885</v>
      </c>
      <c r="Q195" s="2378"/>
      <c r="AE195" s="458"/>
      <c r="AF195" s="458"/>
    </row>
    <row r="196" spans="1:32" ht="12" customHeight="1">
      <c r="A196" s="141"/>
      <c r="B196" s="40" t="s">
        <v>2304</v>
      </c>
      <c r="C196" s="856" t="s">
        <v>2574</v>
      </c>
      <c r="G196" s="842"/>
      <c r="H196" s="842"/>
      <c r="I196" s="842"/>
      <c r="J196" s="842"/>
      <c r="K196" s="842"/>
      <c r="L196" s="842"/>
      <c r="M196" s="842"/>
      <c r="O196" s="438" t="s">
        <v>2304</v>
      </c>
      <c r="P196" s="2255" t="s">
        <v>2885</v>
      </c>
      <c r="Q196" s="519"/>
    </row>
    <row r="197" spans="1:32" s="132" customFormat="1" ht="21.75" customHeight="1">
      <c r="A197" s="141"/>
      <c r="B197" s="468" t="s">
        <v>1516</v>
      </c>
      <c r="C197" s="2710" t="s">
        <v>2575</v>
      </c>
      <c r="D197" s="2710"/>
      <c r="E197" s="2710"/>
      <c r="F197" s="2710"/>
      <c r="G197" s="2710"/>
      <c r="H197" s="2710"/>
      <c r="I197" s="2710"/>
      <c r="J197" s="2710"/>
      <c r="K197" s="2710"/>
      <c r="L197" s="2710"/>
      <c r="M197" s="2710"/>
      <c r="N197" s="2710"/>
      <c r="O197" s="160" t="s">
        <v>1516</v>
      </c>
      <c r="P197" s="2379"/>
      <c r="Q197" s="2378"/>
      <c r="AE197" s="458"/>
      <c r="AF197" s="458"/>
    </row>
    <row r="198" spans="1:32" s="132" customFormat="1" ht="21.75" customHeight="1">
      <c r="A198" s="141"/>
      <c r="B198" s="468" t="s">
        <v>1517</v>
      </c>
      <c r="C198" s="2710" t="s">
        <v>3668</v>
      </c>
      <c r="D198" s="2710"/>
      <c r="E198" s="2710"/>
      <c r="F198" s="2710"/>
      <c r="G198" s="2710"/>
      <c r="H198" s="2710"/>
      <c r="I198" s="2710"/>
      <c r="J198" s="2710"/>
      <c r="K198" s="2710"/>
      <c r="L198" s="2710"/>
      <c r="M198" s="2710"/>
      <c r="N198" s="2710"/>
      <c r="O198" s="160" t="s">
        <v>1517</v>
      </c>
      <c r="P198" s="2379" t="s">
        <v>2885</v>
      </c>
      <c r="Q198" s="2378"/>
      <c r="AE198" s="458"/>
      <c r="AF198" s="458"/>
    </row>
    <row r="199" spans="1:32" ht="21.75" customHeight="1">
      <c r="A199" s="141" t="s">
        <v>2064</v>
      </c>
      <c r="B199" s="2710" t="s">
        <v>2576</v>
      </c>
      <c r="C199" s="2710"/>
      <c r="D199" s="2710"/>
      <c r="E199" s="2710"/>
      <c r="F199" s="2710"/>
      <c r="G199" s="2710"/>
      <c r="H199" s="2710"/>
      <c r="I199" s="2710"/>
      <c r="J199" s="2710"/>
      <c r="K199" s="2710"/>
      <c r="L199" s="2710"/>
      <c r="M199" s="2710"/>
      <c r="N199" s="2710"/>
      <c r="O199" s="160" t="s">
        <v>2064</v>
      </c>
      <c r="P199" s="2379" t="s">
        <v>2885</v>
      </c>
      <c r="Q199" s="2378"/>
    </row>
    <row r="200" spans="1:32" ht="12" customHeight="1">
      <c r="A200" s="141" t="s">
        <v>1692</v>
      </c>
      <c r="B200" s="842" t="s">
        <v>2317</v>
      </c>
      <c r="D200" s="842"/>
      <c r="E200" s="842"/>
      <c r="F200" s="842"/>
      <c r="G200" s="842"/>
      <c r="H200" s="842"/>
      <c r="I200" s="842"/>
      <c r="J200" s="842"/>
      <c r="K200" s="842"/>
      <c r="L200" s="842"/>
      <c r="M200" s="842"/>
      <c r="O200" s="160" t="s">
        <v>1692</v>
      </c>
      <c r="P200" s="2256" t="s">
        <v>2885</v>
      </c>
      <c r="Q200" s="520"/>
    </row>
    <row r="201" spans="1:32" ht="12" customHeight="1">
      <c r="B201" s="140" t="s">
        <v>3565</v>
      </c>
      <c r="D201" s="140"/>
      <c r="E201" s="140"/>
      <c r="F201" s="140"/>
      <c r="G201" s="140"/>
      <c r="H201" s="40"/>
      <c r="I201" s="2397"/>
      <c r="J201" s="2397"/>
      <c r="K201" s="2397"/>
      <c r="L201" s="2374"/>
      <c r="M201" s="2374"/>
      <c r="N201" s="2374"/>
      <c r="O201" s="2374"/>
      <c r="P201" s="2374"/>
      <c r="Q201" s="855"/>
    </row>
    <row r="202" spans="1:32" ht="24.75" customHeight="1">
      <c r="A202" s="2707" t="s">
        <v>7164</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76"/>
      <c r="E203" s="2376"/>
      <c r="F203" s="2376"/>
      <c r="G203" s="2376"/>
      <c r="H203" s="2376"/>
      <c r="I203" s="2376"/>
      <c r="J203" s="2376"/>
      <c r="K203" s="2376"/>
      <c r="L203" s="2376"/>
      <c r="M203" s="2376"/>
      <c r="N203" s="2376"/>
      <c r="O203" s="2376"/>
      <c r="P203" s="2376"/>
      <c r="Q203" s="2376"/>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4"/>
      <c r="B205" s="2397"/>
      <c r="C205" s="2376"/>
      <c r="D205" s="2376"/>
      <c r="E205" s="2376"/>
      <c r="F205" s="2376"/>
      <c r="G205" s="2376"/>
      <c r="H205" s="2376"/>
      <c r="I205" s="2376"/>
      <c r="J205" s="2376"/>
      <c r="K205" s="2376"/>
      <c r="L205" s="2376"/>
      <c r="M205" s="2376"/>
      <c r="N205" s="2376"/>
      <c r="O205" s="2376"/>
      <c r="P205" s="2376"/>
      <c r="Q205" s="2374"/>
    </row>
    <row r="206" spans="1:32" ht="14.1" customHeight="1">
      <c r="A206" s="2369" t="s">
        <v>357</v>
      </c>
      <c r="B206" s="2369" t="s">
        <v>2585</v>
      </c>
      <c r="C206" s="2369"/>
      <c r="D206" s="2376"/>
      <c r="E206" s="146"/>
      <c r="F206" s="146"/>
      <c r="G206" s="2376"/>
      <c r="J206" s="857"/>
      <c r="K206" s="857"/>
      <c r="L206" s="857"/>
      <c r="M206" s="857"/>
      <c r="N206" s="857"/>
      <c r="O206" s="131" t="s">
        <v>1820</v>
      </c>
      <c r="P206" s="2718"/>
      <c r="Q206" s="2719"/>
    </row>
    <row r="207" spans="1:32" ht="22.5" customHeight="1">
      <c r="A207" s="2723" t="s">
        <v>4483</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t="s">
        <v>7000</v>
      </c>
      <c r="K208" s="2788"/>
      <c r="L208" s="2788"/>
      <c r="M208" s="2788"/>
      <c r="N208" s="2728"/>
      <c r="O208" s="65" t="s">
        <v>1694</v>
      </c>
      <c r="P208" s="2254" t="s">
        <v>2885</v>
      </c>
      <c r="Q208" s="518"/>
    </row>
    <row r="209" spans="1:31" ht="11.25" customHeight="1">
      <c r="A209" s="138"/>
      <c r="B209" s="140" t="s">
        <v>3565</v>
      </c>
      <c r="C209" s="104"/>
      <c r="D209" s="104"/>
      <c r="E209" s="104"/>
      <c r="F209" s="104"/>
      <c r="H209" s="65" t="s">
        <v>1695</v>
      </c>
      <c r="I209" s="52" t="s">
        <v>1563</v>
      </c>
      <c r="J209" s="2711" t="s">
        <v>7047</v>
      </c>
      <c r="K209" s="2712"/>
      <c r="L209" s="2712"/>
      <c r="M209" s="2712"/>
      <c r="N209" s="2713"/>
      <c r="O209" s="65" t="s">
        <v>1695</v>
      </c>
      <c r="P209" s="2256" t="s">
        <v>2885</v>
      </c>
      <c r="Q209" s="520"/>
    </row>
    <row r="210" spans="1:31" ht="23.25" customHeight="1">
      <c r="A210" s="2707" t="s">
        <v>7115</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6"/>
      <c r="E211" s="2376"/>
      <c r="F211" s="2376"/>
      <c r="G211" s="2376"/>
      <c r="H211" s="2376"/>
      <c r="I211" s="2376"/>
      <c r="J211" s="2376"/>
      <c r="K211" s="2376"/>
      <c r="L211" s="2376"/>
      <c r="M211" s="2376"/>
      <c r="N211" s="2376"/>
      <c r="O211" s="2376"/>
      <c r="P211" s="2376"/>
      <c r="Q211" s="2376"/>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7"/>
      <c r="C213" s="2376"/>
      <c r="D213" s="2376"/>
      <c r="E213" s="2376"/>
      <c r="F213" s="2376"/>
      <c r="G213" s="2376"/>
      <c r="H213" s="2376"/>
      <c r="I213" s="2376"/>
      <c r="J213" s="2376"/>
      <c r="K213" s="2376"/>
      <c r="L213" s="2376"/>
      <c r="M213" s="2376"/>
      <c r="Q213" s="855"/>
    </row>
    <row r="214" spans="1:31" ht="14.1" customHeight="1">
      <c r="A214" s="2369" t="s">
        <v>358</v>
      </c>
      <c r="B214" s="4" t="s">
        <v>2586</v>
      </c>
      <c r="C214" s="4"/>
      <c r="D214" s="86"/>
      <c r="E214" s="86"/>
      <c r="F214" s="86"/>
      <c r="G214" s="2376"/>
      <c r="H214" s="2376"/>
      <c r="I214" s="2376"/>
      <c r="J214" s="2376"/>
      <c r="K214" s="2376"/>
      <c r="L214" s="2376"/>
      <c r="M214" s="2376"/>
      <c r="O214" s="131" t="s">
        <v>1820</v>
      </c>
      <c r="P214" s="2718"/>
      <c r="Q214" s="2719"/>
    </row>
    <row r="215" spans="1:31" ht="11.4" customHeight="1">
      <c r="A215" s="141" t="s">
        <v>1935</v>
      </c>
      <c r="B215" s="2710" t="s">
        <v>1802</v>
      </c>
      <c r="C215" s="2710"/>
      <c r="D215" s="2710"/>
      <c r="E215" s="2710"/>
      <c r="F215" s="2710"/>
      <c r="G215" s="2710"/>
      <c r="H215" s="65" t="s">
        <v>1694</v>
      </c>
      <c r="I215" s="52" t="s">
        <v>617</v>
      </c>
      <c r="J215" s="2727" t="s">
        <v>7000</v>
      </c>
      <c r="K215" s="2788"/>
      <c r="L215" s="2788"/>
      <c r="M215" s="2788"/>
      <c r="N215" s="2728"/>
      <c r="O215" s="160" t="s">
        <v>1455</v>
      </c>
      <c r="P215" s="2262" t="s">
        <v>2885</v>
      </c>
      <c r="Q215" s="1553"/>
    </row>
    <row r="216" spans="1:31" ht="11.4" customHeight="1">
      <c r="A216" s="149"/>
      <c r="B216" s="2710"/>
      <c r="C216" s="2710"/>
      <c r="D216" s="2710"/>
      <c r="E216" s="2710"/>
      <c r="F216" s="2710"/>
      <c r="G216" s="2710"/>
      <c r="H216" s="65" t="s">
        <v>1695</v>
      </c>
      <c r="I216" s="52" t="s">
        <v>113</v>
      </c>
      <c r="J216" s="2711" t="s">
        <v>7048</v>
      </c>
      <c r="K216" s="2712"/>
      <c r="L216" s="2712"/>
      <c r="M216" s="2712"/>
      <c r="N216" s="2713"/>
      <c r="O216" s="160" t="s">
        <v>1695</v>
      </c>
      <c r="P216" s="2255" t="s">
        <v>2885</v>
      </c>
      <c r="Q216" s="519"/>
    </row>
    <row r="217" spans="1:31" ht="12" customHeight="1">
      <c r="A217" s="141" t="s">
        <v>1937</v>
      </c>
      <c r="B217" s="52" t="s">
        <v>3673</v>
      </c>
      <c r="D217" s="52"/>
      <c r="E217" s="52"/>
      <c r="F217" s="52"/>
      <c r="G217" s="52"/>
      <c r="H217" s="52"/>
      <c r="I217" s="52"/>
      <c r="J217" s="52"/>
      <c r="K217" s="42"/>
      <c r="L217" s="52"/>
      <c r="M217" s="52"/>
      <c r="O217" s="455" t="s">
        <v>1937</v>
      </c>
      <c r="P217" s="2255"/>
      <c r="Q217" s="519"/>
    </row>
    <row r="218" spans="1:31" ht="12" customHeight="1">
      <c r="A218" s="47" t="s">
        <v>731</v>
      </c>
      <c r="B218" s="52" t="s">
        <v>3674</v>
      </c>
      <c r="D218" s="52"/>
      <c r="E218" s="52"/>
      <c r="F218" s="52"/>
      <c r="G218" s="52"/>
      <c r="H218" s="52"/>
      <c r="I218" s="52"/>
      <c r="J218" s="52"/>
      <c r="K218" s="42"/>
      <c r="L218" s="52"/>
      <c r="M218" s="52"/>
      <c r="O218" s="455" t="s">
        <v>731</v>
      </c>
      <c r="P218" s="2256"/>
      <c r="Q218" s="520"/>
    </row>
    <row r="219" spans="1:31" ht="11.25" customHeight="1">
      <c r="B219" s="140" t="s">
        <v>3565</v>
      </c>
      <c r="D219" s="140"/>
      <c r="E219" s="140"/>
      <c r="F219" s="140"/>
      <c r="G219" s="140"/>
      <c r="H219" s="40"/>
      <c r="I219" s="2397"/>
      <c r="J219" s="2397"/>
      <c r="K219" s="2397"/>
      <c r="L219" s="2374"/>
      <c r="M219" s="2374"/>
      <c r="N219" s="2374"/>
      <c r="O219" s="2374"/>
      <c r="P219" s="2374"/>
      <c r="Q219" s="855"/>
    </row>
    <row r="220" spans="1:31" ht="25.5" customHeight="1">
      <c r="A220" s="2707" t="s">
        <v>7116</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6"/>
      <c r="E221" s="2376"/>
      <c r="F221" s="2376"/>
      <c r="G221" s="2376"/>
      <c r="H221" s="2376"/>
      <c r="I221" s="2376"/>
      <c r="J221" s="2376"/>
      <c r="K221" s="2376"/>
      <c r="L221" s="2376"/>
      <c r="M221" s="2376"/>
      <c r="N221" s="2376"/>
      <c r="O221" s="2376"/>
      <c r="P221" s="2376"/>
      <c r="Q221" s="2376"/>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4"/>
      <c r="B223" s="2397"/>
      <c r="C223" s="2376"/>
      <c r="D223" s="2376"/>
      <c r="E223" s="2376"/>
      <c r="F223" s="2376"/>
      <c r="G223" s="2376"/>
      <c r="H223" s="2376"/>
      <c r="I223" s="2376"/>
      <c r="J223" s="2376"/>
      <c r="K223" s="2376"/>
      <c r="L223" s="2376"/>
      <c r="M223" s="2376"/>
      <c r="Q223" s="2374"/>
    </row>
    <row r="224" spans="1:31" ht="14.1" customHeight="1">
      <c r="A224" s="2369" t="s">
        <v>1683</v>
      </c>
      <c r="B224" s="2369" t="s">
        <v>2587</v>
      </c>
      <c r="C224" s="113"/>
      <c r="D224" s="2376"/>
      <c r="E224" s="2376"/>
      <c r="F224" s="2376"/>
      <c r="G224" s="2376"/>
      <c r="H224" s="2376"/>
      <c r="I224" s="2376"/>
      <c r="J224" s="2376"/>
      <c r="K224" s="2376"/>
      <c r="L224" s="2376"/>
      <c r="M224" s="2376"/>
      <c r="O224" s="131" t="s">
        <v>1820</v>
      </c>
      <c r="P224" s="2718"/>
      <c r="Q224" s="2719"/>
    </row>
    <row r="225" spans="1:32" s="27" customFormat="1" ht="11.4" customHeight="1">
      <c r="B225" s="144" t="s">
        <v>1167</v>
      </c>
      <c r="N225" s="120"/>
      <c r="P225" s="2252" t="s">
        <v>2888</v>
      </c>
      <c r="Q225" s="516"/>
      <c r="AE225" s="116"/>
      <c r="AF225" s="116"/>
    </row>
    <row r="226" spans="1:32" ht="12" customHeight="1">
      <c r="A226" s="47" t="s">
        <v>1935</v>
      </c>
      <c r="B226" s="36" t="s">
        <v>4707</v>
      </c>
      <c r="D226" s="42"/>
      <c r="E226" s="42"/>
      <c r="F226" s="42"/>
      <c r="G226" s="42"/>
      <c r="H226" s="42"/>
      <c r="I226" s="42"/>
      <c r="J226" s="42"/>
      <c r="K226" s="42"/>
      <c r="L226" s="42"/>
      <c r="M226" s="42"/>
      <c r="O226" s="455" t="s">
        <v>1935</v>
      </c>
      <c r="P226" s="2252" t="s">
        <v>7043</v>
      </c>
      <c r="Q226" s="518"/>
    </row>
    <row r="227" spans="1:32" ht="11.4" customHeight="1">
      <c r="A227" s="47"/>
      <c r="B227" s="145" t="s">
        <v>1694</v>
      </c>
      <c r="C227" s="52" t="s">
        <v>1883</v>
      </c>
      <c r="E227" s="52"/>
      <c r="F227" s="52"/>
      <c r="G227" s="52"/>
      <c r="H227" s="52"/>
      <c r="I227" s="42"/>
      <c r="J227" s="65" t="s">
        <v>1455</v>
      </c>
      <c r="K227" s="2727" t="s">
        <v>7049</v>
      </c>
      <c r="L227" s="2728"/>
      <c r="Q227" s="519"/>
    </row>
    <row r="228" spans="1:32" ht="11.4" customHeight="1">
      <c r="A228" s="47"/>
      <c r="B228" s="145" t="s">
        <v>1695</v>
      </c>
      <c r="C228" s="856" t="s">
        <v>4245</v>
      </c>
      <c r="E228" s="856"/>
      <c r="F228" s="856"/>
      <c r="G228" s="856"/>
      <c r="H228" s="856"/>
      <c r="I228" s="42"/>
      <c r="J228" s="65" t="s">
        <v>1456</v>
      </c>
      <c r="K228" s="2729" t="s">
        <v>7050</v>
      </c>
      <c r="L228" s="2730"/>
      <c r="M228" s="2724" t="s">
        <v>2641</v>
      </c>
      <c r="N228" s="2725"/>
      <c r="O228" s="2725"/>
      <c r="P228" s="2726"/>
      <c r="Q228" s="519"/>
    </row>
    <row r="229" spans="1:32" ht="11.4" customHeight="1">
      <c r="A229" s="47"/>
      <c r="B229" s="40" t="s">
        <v>1696</v>
      </c>
      <c r="C229" s="856" t="s">
        <v>4248</v>
      </c>
      <c r="D229" s="147"/>
      <c r="E229" s="856"/>
      <c r="F229" s="856"/>
      <c r="G229" s="856"/>
      <c r="H229" s="856"/>
      <c r="I229" s="94"/>
      <c r="J229" s="455" t="s">
        <v>1457</v>
      </c>
      <c r="K229" s="2863" t="s">
        <v>7051</v>
      </c>
      <c r="L229" s="2864"/>
      <c r="M229" s="2864"/>
      <c r="N229" s="2865"/>
      <c r="O229" s="1409"/>
      <c r="P229" s="1107"/>
      <c r="Q229" s="519"/>
      <c r="R229" s="42"/>
    </row>
    <row r="230" spans="1:32" ht="11.4" customHeight="1">
      <c r="A230" s="47"/>
      <c r="B230" s="40" t="s">
        <v>2304</v>
      </c>
      <c r="C230" s="856" t="s">
        <v>4247</v>
      </c>
      <c r="D230" s="147"/>
      <c r="E230" s="856"/>
      <c r="F230" s="856"/>
      <c r="G230" s="856"/>
      <c r="H230" s="856"/>
      <c r="I230" s="94"/>
      <c r="J230" s="455" t="s">
        <v>4246</v>
      </c>
      <c r="K230" s="2711" t="s">
        <v>7052</v>
      </c>
      <c r="L230" s="2712"/>
      <c r="M230" s="2712"/>
      <c r="N230" s="2713"/>
      <c r="O230" s="127"/>
      <c r="P230" s="1408"/>
      <c r="Q230" s="520"/>
      <c r="R230" s="42"/>
    </row>
    <row r="231" spans="1:32" ht="11.25" customHeight="1">
      <c r="A231" s="47" t="s">
        <v>1937</v>
      </c>
      <c r="B231" s="52" t="s">
        <v>4708</v>
      </c>
      <c r="D231" s="52"/>
      <c r="E231" s="52"/>
      <c r="F231" s="52"/>
      <c r="G231" s="52"/>
      <c r="H231" s="52"/>
      <c r="I231" s="52"/>
      <c r="J231" s="52"/>
      <c r="K231" s="42"/>
      <c r="L231" s="42"/>
      <c r="M231" s="42"/>
      <c r="N231" s="42"/>
      <c r="O231" s="455" t="s">
        <v>1937</v>
      </c>
      <c r="P231" s="2252" t="s">
        <v>7043</v>
      </c>
      <c r="Q231" s="516"/>
    </row>
    <row r="232" spans="1:32" ht="11.1" customHeight="1">
      <c r="A232" s="47"/>
      <c r="B232" s="52" t="s">
        <v>4401</v>
      </c>
      <c r="D232" s="52"/>
      <c r="E232" s="52"/>
      <c r="F232" s="52"/>
      <c r="G232" s="52"/>
      <c r="H232" s="52"/>
      <c r="I232" s="52"/>
      <c r="J232" s="52"/>
      <c r="K232" s="42"/>
      <c r="L232" s="42"/>
      <c r="M232" s="42"/>
      <c r="N232" s="455" t="s">
        <v>3451</v>
      </c>
      <c r="O232" s="1495">
        <f>'Part VI-Revenues &amp; Expenses'!$P$67</f>
        <v>50</v>
      </c>
      <c r="P232" s="2866" t="s">
        <v>4403</v>
      </c>
      <c r="Q232" s="2867"/>
    </row>
    <row r="233" spans="1:32" ht="11.1" customHeight="1">
      <c r="A233" s="47"/>
      <c r="B233" s="145" t="s">
        <v>1694</v>
      </c>
      <c r="C233" s="52" t="s">
        <v>4404</v>
      </c>
      <c r="D233" s="52"/>
      <c r="E233" s="52"/>
      <c r="F233" s="52"/>
      <c r="H233" s="455" t="s">
        <v>4405</v>
      </c>
      <c r="I233" s="52" t="s">
        <v>4414</v>
      </c>
      <c r="M233" s="42"/>
      <c r="N233" s="42"/>
      <c r="O233" s="292"/>
      <c r="P233" s="1486" t="s">
        <v>755</v>
      </c>
      <c r="Q233" s="1487" t="s">
        <v>4402</v>
      </c>
    </row>
    <row r="234" spans="1:32" s="43" customFormat="1" ht="11.4" customHeight="1">
      <c r="A234" s="51"/>
      <c r="B234" s="455" t="s">
        <v>2065</v>
      </c>
      <c r="C234" s="2868" t="s">
        <v>4397</v>
      </c>
      <c r="D234" s="2869"/>
      <c r="E234" s="2869"/>
      <c r="F234" s="2869"/>
      <c r="G234" s="2870"/>
      <c r="H234" s="455" t="s">
        <v>2065</v>
      </c>
      <c r="I234" s="2871" t="s">
        <v>3828</v>
      </c>
      <c r="J234" s="2872"/>
      <c r="K234" s="2872"/>
      <c r="L234" s="2872"/>
      <c r="M234" s="2872"/>
      <c r="N234" s="2872"/>
      <c r="O234" s="2873"/>
      <c r="P234" s="518"/>
      <c r="Q234" s="4117"/>
      <c r="AE234" s="54"/>
      <c r="AF234" s="54"/>
    </row>
    <row r="235" spans="1:32" s="43" customFormat="1" ht="11.4" customHeight="1">
      <c r="A235" s="51"/>
      <c r="B235" s="455" t="s">
        <v>2066</v>
      </c>
      <c r="C235" s="2874" t="s">
        <v>4398</v>
      </c>
      <c r="D235" s="2875"/>
      <c r="E235" s="2875"/>
      <c r="F235" s="2875"/>
      <c r="G235" s="2876"/>
      <c r="H235" s="455" t="s">
        <v>2066</v>
      </c>
      <c r="I235" s="2737"/>
      <c r="J235" s="2738"/>
      <c r="K235" s="2738"/>
      <c r="L235" s="2738"/>
      <c r="M235" s="2738"/>
      <c r="N235" s="2738"/>
      <c r="O235" s="2739"/>
      <c r="P235" s="519"/>
      <c r="Q235" s="4118"/>
      <c r="AE235" s="54"/>
      <c r="AF235" s="54"/>
    </row>
    <row r="236" spans="1:32" s="43" customFormat="1" ht="11.4" customHeight="1">
      <c r="A236" s="51"/>
      <c r="B236" s="455" t="s">
        <v>1691</v>
      </c>
      <c r="C236" s="2874" t="s">
        <v>4477</v>
      </c>
      <c r="D236" s="2875"/>
      <c r="E236" s="2875"/>
      <c r="F236" s="2875"/>
      <c r="G236" s="2876"/>
      <c r="H236" s="455" t="s">
        <v>1691</v>
      </c>
      <c r="I236" s="2737" t="s">
        <v>3828</v>
      </c>
      <c r="J236" s="2738"/>
      <c r="K236" s="2738"/>
      <c r="L236" s="2738"/>
      <c r="M236" s="2738"/>
      <c r="N236" s="2738"/>
      <c r="O236" s="2739"/>
      <c r="P236" s="519"/>
      <c r="Q236" s="4118"/>
      <c r="AE236" s="54"/>
      <c r="AF236" s="54"/>
    </row>
    <row r="237" spans="1:32" s="43" customFormat="1" ht="11.4" customHeight="1">
      <c r="A237" s="51"/>
      <c r="B237" s="455" t="s">
        <v>4413</v>
      </c>
      <c r="C237" s="2731" t="s">
        <v>4399</v>
      </c>
      <c r="D237" s="2732"/>
      <c r="E237" s="2732"/>
      <c r="F237" s="2732"/>
      <c r="G237" s="2733"/>
      <c r="H237" s="455" t="s">
        <v>4413</v>
      </c>
      <c r="I237" s="2734"/>
      <c r="J237" s="2735"/>
      <c r="K237" s="2735"/>
      <c r="L237" s="2735"/>
      <c r="M237" s="2735"/>
      <c r="N237" s="2735"/>
      <c r="O237" s="2736"/>
      <c r="P237" s="520"/>
      <c r="Q237" s="4119"/>
      <c r="AE237" s="54"/>
      <c r="AF237" s="54"/>
    </row>
    <row r="238" spans="1:32" ht="12" customHeight="1">
      <c r="A238" s="47" t="s">
        <v>731</v>
      </c>
      <c r="B238" s="52" t="s">
        <v>1354</v>
      </c>
      <c r="C238" s="52"/>
      <c r="E238" s="52"/>
      <c r="F238" s="52"/>
      <c r="G238" s="52"/>
      <c r="H238" s="52"/>
      <c r="I238" s="52"/>
      <c r="J238" s="52"/>
      <c r="K238" s="42"/>
      <c r="L238" s="52"/>
      <c r="M238" s="52"/>
      <c r="O238" s="455" t="s">
        <v>731</v>
      </c>
      <c r="P238" s="2254" t="s">
        <v>7043</v>
      </c>
      <c r="Q238" s="518"/>
    </row>
    <row r="239" spans="1:32" ht="11.4" customHeight="1">
      <c r="A239" s="47"/>
      <c r="B239" s="145" t="s">
        <v>1694</v>
      </c>
      <c r="C239" s="52" t="s">
        <v>3347</v>
      </c>
      <c r="E239" s="52"/>
      <c r="F239" s="52"/>
      <c r="L239" s="33"/>
      <c r="M239" s="33"/>
      <c r="O239" s="65" t="s">
        <v>1694</v>
      </c>
      <c r="P239" s="2255" t="s">
        <v>2885</v>
      </c>
      <c r="Q239" s="519"/>
    </row>
    <row r="240" spans="1:32" ht="11.4" customHeight="1">
      <c r="B240" s="145" t="s">
        <v>1695</v>
      </c>
      <c r="C240" s="856" t="s">
        <v>2713</v>
      </c>
      <c r="E240" s="856"/>
      <c r="F240" s="856"/>
      <c r="L240" s="33"/>
      <c r="M240" s="33"/>
      <c r="O240" s="65" t="s">
        <v>1695</v>
      </c>
      <c r="P240" s="2255" t="s">
        <v>2885</v>
      </c>
      <c r="Q240" s="519"/>
    </row>
    <row r="241" spans="1:31" ht="11.4" customHeight="1">
      <c r="B241" s="145" t="s">
        <v>1696</v>
      </c>
      <c r="C241" s="856" t="s">
        <v>4562</v>
      </c>
      <c r="E241" s="856"/>
      <c r="F241" s="856"/>
      <c r="G241" s="856"/>
      <c r="H241" s="856"/>
      <c r="I241" s="42"/>
      <c r="J241" s="33"/>
      <c r="K241" s="42"/>
      <c r="L241" s="33"/>
      <c r="M241" s="33"/>
      <c r="O241" s="65" t="s">
        <v>1696</v>
      </c>
      <c r="P241" s="2255" t="s">
        <v>2885</v>
      </c>
      <c r="Q241" s="519"/>
    </row>
    <row r="242" spans="1:31" ht="11.4" customHeight="1">
      <c r="A242" s="47"/>
      <c r="B242" s="145" t="s">
        <v>2304</v>
      </c>
      <c r="C242" s="856" t="s">
        <v>2714</v>
      </c>
      <c r="E242" s="856"/>
      <c r="F242" s="856"/>
      <c r="G242" s="856"/>
      <c r="H242" s="856"/>
      <c r="I242" s="42"/>
      <c r="J242" s="33"/>
      <c r="K242" s="42"/>
      <c r="L242" s="33"/>
      <c r="M242" s="33"/>
      <c r="O242" s="65" t="s">
        <v>2304</v>
      </c>
      <c r="P242" s="2255" t="s">
        <v>2885</v>
      </c>
      <c r="Q242" s="519"/>
    </row>
    <row r="243" spans="1:31" ht="11.4" customHeight="1">
      <c r="A243" s="47"/>
      <c r="B243" s="145" t="s">
        <v>1516</v>
      </c>
      <c r="C243" s="856" t="s">
        <v>2715</v>
      </c>
      <c r="E243" s="856"/>
      <c r="F243" s="856"/>
      <c r="G243" s="856"/>
      <c r="H243" s="856"/>
      <c r="I243" s="42"/>
      <c r="J243" s="33"/>
      <c r="K243" s="42"/>
      <c r="L243" s="33"/>
      <c r="M243" s="33"/>
      <c r="O243" s="65" t="s">
        <v>1516</v>
      </c>
      <c r="P243" s="2255" t="s">
        <v>2885</v>
      </c>
      <c r="Q243" s="519"/>
    </row>
    <row r="244" spans="1:31" ht="11.4" customHeight="1">
      <c r="A244" s="47"/>
      <c r="B244" s="40" t="s">
        <v>1517</v>
      </c>
      <c r="C244" s="52" t="s">
        <v>4638</v>
      </c>
      <c r="E244" s="52"/>
      <c r="F244" s="52"/>
      <c r="G244" s="52"/>
      <c r="H244" s="52"/>
      <c r="I244" s="42"/>
      <c r="J244" s="33"/>
      <c r="K244" s="42"/>
      <c r="L244" s="33"/>
      <c r="M244" s="33"/>
      <c r="O244" s="455" t="s">
        <v>2705</v>
      </c>
      <c r="P244" s="2255" t="s">
        <v>2885</v>
      </c>
      <c r="Q244" s="519"/>
    </row>
    <row r="245" spans="1:31" ht="11.4" customHeight="1">
      <c r="A245" s="47"/>
      <c r="B245" s="65"/>
      <c r="C245" s="52" t="s">
        <v>1458</v>
      </c>
      <c r="E245" s="52"/>
      <c r="F245" s="52"/>
      <c r="G245" s="52"/>
      <c r="H245" s="52"/>
      <c r="I245" s="42"/>
      <c r="J245" s="33"/>
      <c r="K245" s="42"/>
      <c r="L245" s="33"/>
      <c r="M245" s="33"/>
      <c r="O245" s="455" t="s">
        <v>2706</v>
      </c>
      <c r="P245" s="2256" t="s">
        <v>2888</v>
      </c>
      <c r="Q245" s="520"/>
    </row>
    <row r="246" spans="1:31" ht="11.25" customHeight="1">
      <c r="A246" s="47" t="s">
        <v>2064</v>
      </c>
      <c r="B246" s="52" t="s">
        <v>4561</v>
      </c>
      <c r="C246" s="52"/>
      <c r="E246" s="52"/>
      <c r="F246" s="52"/>
      <c r="G246" s="52"/>
      <c r="H246" s="52"/>
      <c r="I246" s="52"/>
      <c r="J246" s="52"/>
      <c r="K246" s="42"/>
      <c r="M246" s="64"/>
      <c r="N246" s="1466" t="str">
        <f>'Part I-Project Information'!$H$82</f>
        <v>Family</v>
      </c>
      <c r="O246" s="455" t="s">
        <v>2064</v>
      </c>
      <c r="P246" s="2254" t="s">
        <v>948</v>
      </c>
      <c r="Q246" s="518"/>
    </row>
    <row r="247" spans="1:31" ht="11.4" customHeight="1">
      <c r="B247" s="145" t="s">
        <v>1694</v>
      </c>
      <c r="C247" s="39" t="s">
        <v>1229</v>
      </c>
      <c r="E247" s="42"/>
      <c r="F247" s="42"/>
      <c r="G247" s="39"/>
      <c r="H247" s="856"/>
      <c r="I247" s="42"/>
      <c r="J247" s="856"/>
      <c r="K247" s="42"/>
      <c r="L247" s="856"/>
      <c r="M247" s="856"/>
      <c r="O247" s="65" t="s">
        <v>1694</v>
      </c>
      <c r="P247" s="2255"/>
      <c r="Q247" s="519"/>
    </row>
    <row r="248" spans="1:31" ht="11.4" customHeight="1">
      <c r="B248" s="145" t="s">
        <v>1695</v>
      </c>
      <c r="C248" s="36" t="s">
        <v>4261</v>
      </c>
      <c r="E248" s="42"/>
      <c r="F248" s="42"/>
      <c r="G248" s="856"/>
      <c r="H248" s="856"/>
      <c r="I248" s="42"/>
      <c r="J248" s="856"/>
      <c r="K248" s="42"/>
      <c r="L248" s="856"/>
      <c r="M248" s="856"/>
      <c r="O248" s="65" t="s">
        <v>1695</v>
      </c>
      <c r="P248" s="2256"/>
      <c r="Q248" s="520"/>
    </row>
    <row r="249" spans="1:31" ht="11.25" customHeight="1">
      <c r="B249" s="140" t="s">
        <v>3565</v>
      </c>
      <c r="D249" s="140"/>
      <c r="E249" s="140"/>
      <c r="F249" s="140"/>
      <c r="G249" s="140"/>
      <c r="H249" s="40"/>
      <c r="I249" s="2397"/>
      <c r="J249" s="2397"/>
      <c r="K249" s="2397"/>
      <c r="L249" s="2374"/>
      <c r="M249" s="2374"/>
      <c r="N249" s="2374"/>
      <c r="O249" s="2374"/>
      <c r="P249" s="2374"/>
      <c r="Q249" s="855"/>
    </row>
    <row r="250" spans="1:31" ht="15.75" customHeight="1">
      <c r="A250" s="2707" t="s">
        <v>7117</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6"/>
      <c r="E251" s="2376"/>
      <c r="F251" s="2376"/>
      <c r="G251" s="2376"/>
      <c r="H251" s="2376"/>
      <c r="I251" s="2376"/>
      <c r="J251" s="2376"/>
      <c r="K251" s="2376"/>
      <c r="L251" s="2376"/>
      <c r="M251" s="2376"/>
      <c r="N251" s="2376"/>
      <c r="O251" s="2376"/>
      <c r="P251" s="2376"/>
      <c r="Q251" s="2376"/>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4"/>
      <c r="B253" s="2397"/>
      <c r="C253" s="2376"/>
      <c r="D253" s="2376"/>
      <c r="E253" s="2376"/>
      <c r="F253" s="2376"/>
      <c r="G253" s="2376"/>
      <c r="H253" s="2376"/>
      <c r="I253" s="2376"/>
      <c r="J253" s="2376"/>
      <c r="K253" s="2376"/>
      <c r="L253" s="2376"/>
      <c r="M253" s="2376"/>
      <c r="Q253" s="2374"/>
    </row>
    <row r="254" spans="1:31" ht="14.1" customHeight="1">
      <c r="A254" s="2369" t="s">
        <v>2690</v>
      </c>
      <c r="B254" s="4" t="s">
        <v>4563</v>
      </c>
      <c r="C254" s="4"/>
      <c r="D254" s="86"/>
      <c r="E254" s="86"/>
      <c r="F254" s="86"/>
      <c r="G254" s="86"/>
      <c r="H254" s="2376"/>
      <c r="I254" s="2376"/>
      <c r="J254" s="2376"/>
      <c r="K254" s="2376"/>
      <c r="L254" s="1536"/>
      <c r="M254" s="1537"/>
      <c r="O254" s="131" t="s">
        <v>1820</v>
      </c>
      <c r="P254" s="2718"/>
      <c r="Q254" s="2719"/>
    </row>
    <row r="255" spans="1:31" ht="11.4" customHeight="1">
      <c r="A255" s="47" t="s">
        <v>1935</v>
      </c>
      <c r="B255" s="52" t="s">
        <v>1242</v>
      </c>
      <c r="D255" s="42"/>
      <c r="E255" s="52"/>
      <c r="F255" s="52"/>
      <c r="J255" s="455" t="s">
        <v>1935</v>
      </c>
      <c r="K255" s="2698" t="s">
        <v>3819</v>
      </c>
      <c r="L255" s="2699"/>
      <c r="M255" s="2699"/>
      <c r="N255" s="2699"/>
      <c r="O255" s="2700"/>
      <c r="P255" s="4120" t="s">
        <v>1727</v>
      </c>
      <c r="Q255" s="4121"/>
    </row>
    <row r="256" spans="1:31" ht="11.4" customHeight="1">
      <c r="A256" s="47" t="s">
        <v>1937</v>
      </c>
      <c r="B256" s="52" t="s">
        <v>2716</v>
      </c>
      <c r="D256" s="52"/>
      <c r="E256" s="52"/>
      <c r="F256" s="52"/>
      <c r="J256" s="455" t="s">
        <v>1937</v>
      </c>
      <c r="K256" s="2899">
        <v>43997</v>
      </c>
      <c r="L256" s="2900"/>
      <c r="M256" s="2900"/>
      <c r="N256" s="2900"/>
      <c r="O256" s="2901"/>
      <c r="P256" s="4122"/>
      <c r="Q256" s="4123"/>
    </row>
    <row r="257" spans="1:32" s="147" customFormat="1" ht="11.4" customHeight="1">
      <c r="A257" s="47"/>
      <c r="B257" s="52" t="s">
        <v>1897</v>
      </c>
      <c r="D257" s="52"/>
      <c r="E257" s="52"/>
      <c r="F257" s="52"/>
      <c r="K257" s="2711" t="s">
        <v>7053</v>
      </c>
      <c r="L257" s="2712"/>
      <c r="M257" s="2712"/>
      <c r="N257" s="2712"/>
      <c r="O257" s="2713"/>
      <c r="P257" s="4124"/>
      <c r="Q257" s="4125"/>
      <c r="AE257" s="459"/>
      <c r="AF257" s="459"/>
    </row>
    <row r="258" spans="1:32" s="147" customFormat="1" ht="11.4" customHeight="1">
      <c r="A258" s="47"/>
      <c r="B258" s="52" t="s">
        <v>2476</v>
      </c>
      <c r="D258" s="52"/>
      <c r="E258" s="52"/>
      <c r="F258" s="52"/>
      <c r="G258" s="52"/>
      <c r="H258" s="52"/>
      <c r="I258" s="94"/>
      <c r="J258" s="94"/>
      <c r="M258" s="36"/>
      <c r="N258" s="979"/>
      <c r="O258" s="455"/>
      <c r="P258" s="2255" t="s">
        <v>2885</v>
      </c>
      <c r="Q258" s="519"/>
      <c r="AE258" s="459"/>
      <c r="AF258" s="459"/>
    </row>
    <row r="259" spans="1:32" s="147" customFormat="1" ht="11.4" customHeight="1">
      <c r="A259" s="47" t="s">
        <v>731</v>
      </c>
      <c r="B259" s="52" t="s">
        <v>4354</v>
      </c>
      <c r="D259" s="52"/>
      <c r="E259" s="52"/>
      <c r="F259" s="52"/>
      <c r="J259" s="455" t="s">
        <v>731</v>
      </c>
      <c r="K259" s="2896" t="s">
        <v>7118</v>
      </c>
      <c r="L259" s="2897"/>
      <c r="M259" s="2897"/>
      <c r="N259" s="2897"/>
      <c r="O259" s="2898"/>
      <c r="P259" s="4126"/>
      <c r="Q259" s="4127"/>
      <c r="AE259" s="459"/>
      <c r="AF259" s="459"/>
    </row>
    <row r="260" spans="1:32" s="147" customFormat="1" ht="11.4" customHeight="1">
      <c r="A260" s="47"/>
      <c r="B260" s="52" t="s">
        <v>4266</v>
      </c>
      <c r="D260" s="52"/>
      <c r="E260" s="52"/>
      <c r="F260" s="52"/>
      <c r="AE260" s="459"/>
      <c r="AF260" s="459"/>
    </row>
    <row r="261" spans="1:32" s="147" customFormat="1" ht="11.4" customHeight="1">
      <c r="A261" s="47"/>
      <c r="C261" s="52" t="s">
        <v>4264</v>
      </c>
      <c r="D261" s="52"/>
      <c r="E261" s="52"/>
      <c r="F261" s="52"/>
      <c r="K261" s="455" t="s">
        <v>4263</v>
      </c>
      <c r="L261" s="2267"/>
      <c r="M261" s="36"/>
      <c r="N261" s="979"/>
      <c r="O261" s="979"/>
      <c r="P261" s="2254"/>
      <c r="Q261" s="518"/>
      <c r="AE261" s="459"/>
      <c r="AF261" s="459"/>
    </row>
    <row r="262" spans="1:32" s="147" customFormat="1" ht="11.4" customHeight="1">
      <c r="A262" s="47"/>
      <c r="B262" s="52"/>
      <c r="C262" s="55" t="s">
        <v>4486</v>
      </c>
      <c r="D262" s="52"/>
      <c r="E262" s="52"/>
      <c r="F262" s="52"/>
      <c r="K262" s="455" t="s">
        <v>4265</v>
      </c>
      <c r="L262" s="2268"/>
      <c r="M262" s="36"/>
      <c r="N262" s="979"/>
      <c r="O262" s="979"/>
      <c r="P262" s="2256"/>
      <c r="Q262" s="520"/>
      <c r="AE262" s="459"/>
      <c r="AF262" s="459"/>
    </row>
    <row r="263" spans="1:32" s="147" customFormat="1" ht="11.4" customHeight="1">
      <c r="A263" s="47"/>
      <c r="B263" s="52" t="s">
        <v>4262</v>
      </c>
      <c r="D263" s="52"/>
      <c r="E263" s="52"/>
      <c r="F263" s="52"/>
      <c r="K263" s="2698"/>
      <c r="L263" s="2699"/>
      <c r="M263" s="2699"/>
      <c r="N263" s="2699"/>
      <c r="O263" s="2700"/>
      <c r="P263" s="4128"/>
      <c r="Q263" s="4129"/>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54" t="s">
        <v>2885</v>
      </c>
      <c r="Q264" s="518"/>
      <c r="AE264" s="459"/>
      <c r="AF264" s="459"/>
    </row>
    <row r="265" spans="1:32" s="147" customFormat="1" ht="11.4" customHeight="1">
      <c r="A265" s="47"/>
      <c r="B265" s="2710" t="s">
        <v>3571</v>
      </c>
      <c r="C265" s="2710"/>
      <c r="D265" s="2710"/>
      <c r="E265" s="2710"/>
      <c r="F265" s="2710"/>
      <c r="G265" s="2710"/>
      <c r="H265" s="427" t="s">
        <v>3797</v>
      </c>
      <c r="K265" s="94"/>
      <c r="M265" s="36"/>
      <c r="N265" s="979"/>
      <c r="O265" s="65" t="s">
        <v>1694</v>
      </c>
      <c r="P265" s="2255" t="s">
        <v>2885</v>
      </c>
      <c r="Q265" s="519"/>
      <c r="AE265" s="459"/>
      <c r="AF265" s="459"/>
    </row>
    <row r="266" spans="1:32" s="147" customFormat="1" ht="11.4" customHeight="1">
      <c r="A266" s="47"/>
      <c r="B266" s="2710"/>
      <c r="C266" s="2710"/>
      <c r="D266" s="2710"/>
      <c r="E266" s="2710"/>
      <c r="F266" s="2710"/>
      <c r="G266" s="2710"/>
      <c r="H266" s="55" t="s">
        <v>3798</v>
      </c>
      <c r="K266" s="94"/>
      <c r="M266" s="36"/>
      <c r="N266" s="979"/>
      <c r="O266" s="65" t="s">
        <v>1695</v>
      </c>
      <c r="P266" s="2255" t="s">
        <v>2885</v>
      </c>
      <c r="Q266" s="519"/>
      <c r="AE266" s="459"/>
      <c r="AF266" s="459"/>
    </row>
    <row r="267" spans="1:32" s="147" customFormat="1" ht="11.4" customHeight="1">
      <c r="A267" s="47"/>
      <c r="B267" s="52"/>
      <c r="D267" s="52"/>
      <c r="E267" s="52"/>
      <c r="F267" s="52"/>
      <c r="G267" s="52"/>
      <c r="H267" s="55" t="s">
        <v>3799</v>
      </c>
      <c r="K267" s="94"/>
      <c r="M267" s="36"/>
      <c r="N267" s="979"/>
      <c r="O267" s="65" t="s">
        <v>1696</v>
      </c>
      <c r="P267" s="2255" t="s">
        <v>2885</v>
      </c>
      <c r="Q267" s="519"/>
      <c r="AE267" s="459"/>
      <c r="AF267" s="459"/>
    </row>
    <row r="268" spans="1:32" s="147" customFormat="1" ht="11.4" customHeight="1">
      <c r="A268" s="47"/>
      <c r="B268" s="52"/>
      <c r="D268" s="52"/>
      <c r="E268" s="52"/>
      <c r="F268" s="52"/>
      <c r="G268" s="52"/>
      <c r="H268" s="55" t="s">
        <v>3800</v>
      </c>
      <c r="K268" s="94"/>
      <c r="M268" s="36"/>
      <c r="N268" s="979"/>
      <c r="O268" s="455" t="s">
        <v>2304</v>
      </c>
      <c r="P268" s="2255" t="s">
        <v>2885</v>
      </c>
      <c r="Q268" s="519"/>
      <c r="AE268" s="459"/>
      <c r="AF268" s="459"/>
    </row>
    <row r="269" spans="1:32" s="147" customFormat="1" ht="21.75" customHeight="1">
      <c r="B269" s="2710" t="s">
        <v>4709</v>
      </c>
      <c r="C269" s="2710"/>
      <c r="D269" s="2710"/>
      <c r="E269" s="2710"/>
      <c r="F269" s="2710"/>
      <c r="G269" s="2710"/>
      <c r="H269" s="2710"/>
      <c r="I269" s="2710"/>
      <c r="J269" s="2710"/>
      <c r="K269" s="2710"/>
      <c r="L269" s="2710"/>
      <c r="M269" s="2710"/>
      <c r="N269" s="2710"/>
      <c r="O269" s="160" t="s">
        <v>1516</v>
      </c>
      <c r="P269" s="2387" t="s">
        <v>7043</v>
      </c>
      <c r="Q269" s="2251"/>
      <c r="T269" s="459"/>
      <c r="AE269" s="459"/>
      <c r="AF269" s="459"/>
    </row>
    <row r="270" spans="1:32" ht="11.25" customHeight="1">
      <c r="B270" s="140" t="s">
        <v>3565</v>
      </c>
      <c r="D270" s="140"/>
      <c r="E270" s="140"/>
      <c r="F270" s="140"/>
      <c r="G270" s="140"/>
      <c r="H270" s="40"/>
      <c r="I270" s="2397"/>
      <c r="J270" s="2397"/>
      <c r="K270" s="2397"/>
      <c r="L270" s="2374"/>
      <c r="M270" s="2374"/>
      <c r="N270" s="2374"/>
      <c r="O270" s="2374"/>
      <c r="P270" s="2374"/>
      <c r="Q270" s="855"/>
    </row>
    <row r="271" spans="1:32" ht="34.5" customHeight="1">
      <c r="A271" s="2707" t="s">
        <v>7165</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76"/>
      <c r="E272" s="2376"/>
      <c r="F272" s="2376"/>
      <c r="G272" s="2376"/>
      <c r="H272" s="2376"/>
      <c r="I272" s="2376"/>
      <c r="J272" s="2376"/>
      <c r="K272" s="2376"/>
      <c r="L272" s="2376"/>
      <c r="M272" s="2376"/>
      <c r="N272" s="2376"/>
      <c r="O272" s="2376"/>
      <c r="P272" s="2376"/>
      <c r="Q272" s="2376"/>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4"/>
      <c r="B274" s="2397"/>
      <c r="C274" s="2376"/>
      <c r="D274" s="2376"/>
      <c r="E274" s="2376"/>
      <c r="F274" s="2376"/>
      <c r="G274" s="2376"/>
      <c r="H274" s="2376"/>
      <c r="I274" s="2376"/>
      <c r="J274" s="2376"/>
      <c r="K274" s="2376"/>
      <c r="L274" s="2376"/>
      <c r="M274" s="2376"/>
      <c r="Q274" s="2374"/>
    </row>
    <row r="275" spans="1:32" ht="14.1" customHeight="1">
      <c r="A275" s="2369" t="s">
        <v>2193</v>
      </c>
      <c r="B275" s="4" t="s">
        <v>2588</v>
      </c>
      <c r="C275" s="4"/>
      <c r="D275" s="86"/>
      <c r="E275" s="86"/>
      <c r="F275" s="86"/>
      <c r="G275" s="86"/>
      <c r="H275" s="2376"/>
      <c r="I275" s="2376"/>
      <c r="J275" s="2376"/>
      <c r="K275" s="2376"/>
      <c r="L275" s="2376"/>
      <c r="M275" s="2376"/>
      <c r="O275" s="131" t="s">
        <v>1820</v>
      </c>
      <c r="P275" s="2718"/>
      <c r="Q275" s="2719"/>
    </row>
    <row r="276" spans="1:32" s="411" customFormat="1" ht="21.75" customHeight="1">
      <c r="A276" s="141" t="s">
        <v>1935</v>
      </c>
      <c r="B276" s="2376" t="s">
        <v>1694</v>
      </c>
      <c r="C276" s="2710" t="s">
        <v>4710</v>
      </c>
      <c r="D276" s="2710"/>
      <c r="E276" s="2710"/>
      <c r="F276" s="2710"/>
      <c r="G276" s="2710"/>
      <c r="H276" s="2710"/>
      <c r="I276" s="2710"/>
      <c r="J276" s="2710"/>
      <c r="K276" s="2710"/>
      <c r="L276" s="2710"/>
      <c r="M276" s="2710"/>
      <c r="N276" s="2710"/>
      <c r="O276" s="1725" t="s">
        <v>1455</v>
      </c>
      <c r="P276" s="2266" t="s">
        <v>2885</v>
      </c>
      <c r="Q276" s="1088"/>
      <c r="AE276" s="460"/>
      <c r="AF276" s="460"/>
    </row>
    <row r="277" spans="1:32" s="147" customFormat="1" ht="11.4" customHeight="1">
      <c r="A277" s="47"/>
      <c r="B277" s="2376" t="s">
        <v>1695</v>
      </c>
      <c r="C277" s="52" t="s">
        <v>3568</v>
      </c>
      <c r="D277" s="52"/>
      <c r="E277" s="52"/>
      <c r="F277" s="52"/>
      <c r="G277" s="52"/>
      <c r="H277" s="52"/>
      <c r="I277" s="52"/>
      <c r="J277" s="52"/>
      <c r="K277" s="52"/>
      <c r="L277" s="52"/>
      <c r="M277" s="52"/>
      <c r="O277" s="1725" t="s">
        <v>1695</v>
      </c>
      <c r="P277" s="2256" t="s">
        <v>2885</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56" t="s">
        <v>2885</v>
      </c>
      <c r="Q278" s="520"/>
      <c r="AE278" s="459"/>
      <c r="AF278" s="459"/>
    </row>
    <row r="279" spans="1:32" s="411" customFormat="1" ht="19.95" customHeight="1">
      <c r="A279" s="141" t="s">
        <v>731</v>
      </c>
      <c r="B279" s="2376" t="s">
        <v>1694</v>
      </c>
      <c r="C279" s="2710" t="s">
        <v>4746</v>
      </c>
      <c r="D279" s="2710"/>
      <c r="E279" s="2710"/>
      <c r="F279" s="2710"/>
      <c r="G279" s="2710"/>
      <c r="H279" s="2710"/>
      <c r="I279" s="2710"/>
      <c r="J279" s="2710"/>
      <c r="K279" s="2710"/>
      <c r="L279" s="2710"/>
      <c r="M279" s="2710"/>
      <c r="N279" s="2710"/>
      <c r="O279" s="1725" t="s">
        <v>4747</v>
      </c>
      <c r="P279" s="2266" t="s">
        <v>2885</v>
      </c>
      <c r="Q279" s="1088"/>
      <c r="AE279" s="460"/>
      <c r="AF279" s="460"/>
    </row>
    <row r="280" spans="1:32" s="147" customFormat="1" ht="11.4" customHeight="1">
      <c r="A280" s="47"/>
      <c r="B280" s="2376" t="s">
        <v>1695</v>
      </c>
      <c r="C280" s="52" t="s">
        <v>3570</v>
      </c>
      <c r="D280" s="52"/>
      <c r="E280" s="52"/>
      <c r="F280" s="52"/>
      <c r="G280" s="52"/>
      <c r="H280" s="52"/>
      <c r="I280" s="52"/>
      <c r="J280" s="52"/>
      <c r="K280" s="52"/>
      <c r="L280" s="52"/>
      <c r="M280" s="52"/>
      <c r="O280" s="1725" t="s">
        <v>1695</v>
      </c>
      <c r="P280" s="2256" t="s">
        <v>2885</v>
      </c>
      <c r="Q280" s="520"/>
      <c r="AE280" s="459"/>
      <c r="AF280" s="459"/>
    </row>
    <row r="281" spans="1:32" s="147" customFormat="1" ht="22.5" customHeight="1">
      <c r="A281" s="141" t="s">
        <v>2064</v>
      </c>
      <c r="B281" s="2710" t="s">
        <v>4748</v>
      </c>
      <c r="C281" s="2710"/>
      <c r="D281" s="2710"/>
      <c r="E281" s="2710"/>
      <c r="F281" s="2710"/>
      <c r="G281" s="2710"/>
      <c r="H281" s="2710"/>
      <c r="I281" s="2710"/>
      <c r="J281" s="2710"/>
      <c r="K281" s="2710"/>
      <c r="L281" s="2710"/>
      <c r="M281" s="2710"/>
      <c r="N281" s="2710"/>
      <c r="O281" s="455" t="s">
        <v>2064</v>
      </c>
      <c r="P281" s="2387" t="s">
        <v>2885</v>
      </c>
      <c r="Q281" s="2251"/>
      <c r="AE281" s="459"/>
      <c r="AF281" s="459"/>
    </row>
    <row r="282" spans="1:32" ht="11.25" customHeight="1">
      <c r="B282" s="140" t="s">
        <v>3565</v>
      </c>
      <c r="D282" s="140"/>
      <c r="E282" s="140"/>
      <c r="F282" s="140"/>
      <c r="G282" s="140"/>
      <c r="H282" s="40"/>
      <c r="I282" s="2397"/>
      <c r="J282" s="2397"/>
      <c r="K282" s="2397"/>
      <c r="L282" s="2374"/>
      <c r="M282" s="2374"/>
      <c r="N282" s="2374"/>
      <c r="O282" s="2374"/>
      <c r="P282" s="2374"/>
      <c r="Q282" s="855"/>
    </row>
    <row r="283" spans="1:32" ht="23.25" customHeight="1">
      <c r="A283" s="2707" t="s">
        <v>7119</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6"/>
      <c r="E284" s="2376"/>
      <c r="F284" s="2376"/>
      <c r="G284" s="2376"/>
      <c r="H284" s="2376"/>
      <c r="I284" s="2376"/>
      <c r="J284" s="2376"/>
      <c r="K284" s="2376"/>
      <c r="L284" s="2376"/>
      <c r="M284" s="2376"/>
      <c r="N284" s="2376"/>
      <c r="O284" s="2376"/>
      <c r="P284" s="2376"/>
      <c r="Q284" s="2376"/>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69" t="s">
        <v>3785</v>
      </c>
      <c r="B287" s="2369" t="s">
        <v>2589</v>
      </c>
      <c r="C287" s="2369"/>
      <c r="D287" s="2376"/>
      <c r="E287" s="2376"/>
      <c r="F287" s="2376"/>
      <c r="G287" s="2376"/>
      <c r="H287" s="2376"/>
      <c r="I287" s="2376"/>
      <c r="J287" s="2376"/>
      <c r="K287" s="2376"/>
      <c r="L287" s="2376"/>
      <c r="M287" s="2376"/>
      <c r="O287" s="131" t="s">
        <v>1820</v>
      </c>
      <c r="P287" s="2718"/>
      <c r="Q287" s="2719"/>
    </row>
    <row r="288" spans="1:32" s="411" customFormat="1" ht="35.25" customHeight="1">
      <c r="A288" s="141" t="s">
        <v>1935</v>
      </c>
      <c r="B288" s="857" t="s">
        <v>1694</v>
      </c>
      <c r="C288" s="2710" t="s">
        <v>4393</v>
      </c>
      <c r="D288" s="2710"/>
      <c r="E288" s="2710"/>
      <c r="F288" s="2710"/>
      <c r="G288" s="2710"/>
      <c r="H288" s="2710"/>
      <c r="I288" s="2710"/>
      <c r="J288" s="2710"/>
      <c r="K288" s="2710"/>
      <c r="L288" s="2710"/>
      <c r="M288" s="2710"/>
      <c r="N288" s="2710"/>
      <c r="O288" s="160" t="s">
        <v>1935</v>
      </c>
      <c r="P288" s="2266" t="s">
        <v>7043</v>
      </c>
      <c r="Q288" s="1088"/>
      <c r="AE288" s="460"/>
      <c r="AF288" s="460"/>
    </row>
    <row r="289" spans="1:32" s="411" customFormat="1" ht="21.75" customHeight="1">
      <c r="A289" s="141"/>
      <c r="B289" s="857" t="s">
        <v>1695</v>
      </c>
      <c r="C289" s="2710" t="s">
        <v>2717</v>
      </c>
      <c r="D289" s="2710"/>
      <c r="E289" s="2710"/>
      <c r="F289" s="2710"/>
      <c r="G289" s="2710"/>
      <c r="H289" s="2710"/>
      <c r="I289" s="2710"/>
      <c r="J289" s="2710"/>
      <c r="K289" s="2710"/>
      <c r="L289" s="2710"/>
      <c r="M289" s="2710"/>
      <c r="N289" s="2710"/>
      <c r="O289" s="160"/>
      <c r="P289" s="2387" t="s">
        <v>7043</v>
      </c>
      <c r="Q289" s="2251"/>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1937</v>
      </c>
      <c r="P291" s="2269" t="s">
        <v>7043</v>
      </c>
      <c r="Q291" s="1089"/>
      <c r="R291" s="455"/>
    </row>
    <row r="292" spans="1:32" s="102" customFormat="1" ht="11.4" customHeight="1">
      <c r="A292" s="42"/>
      <c r="B292" s="140" t="s">
        <v>3565</v>
      </c>
      <c r="C292" s="42"/>
      <c r="D292" s="48"/>
      <c r="E292" s="48"/>
      <c r="F292" s="48"/>
      <c r="G292" s="48"/>
      <c r="K292" s="36"/>
      <c r="M292" s="46"/>
      <c r="N292" s="6"/>
      <c r="O292" s="3"/>
      <c r="P292" s="2373"/>
    </row>
    <row r="293" spans="1:32" s="43" customFormat="1" ht="30.75" customHeight="1">
      <c r="A293" s="2707" t="s">
        <v>7120</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76"/>
      <c r="E294" s="2376"/>
      <c r="F294" s="2376"/>
      <c r="G294" s="2376"/>
      <c r="H294" s="2376"/>
      <c r="I294" s="2376"/>
      <c r="J294" s="2376"/>
      <c r="K294" s="2376"/>
      <c r="L294" s="2376"/>
      <c r="M294" s="2376"/>
      <c r="N294" s="2376"/>
      <c r="O294" s="2376"/>
      <c r="P294" s="2376"/>
      <c r="Q294" s="2376"/>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5"/>
      <c r="P296" s="3"/>
    </row>
    <row r="297" spans="1:32" ht="14.1" customHeight="1">
      <c r="A297" s="2369" t="s">
        <v>3786</v>
      </c>
      <c r="B297" s="2369" t="s">
        <v>2590</v>
      </c>
      <c r="C297" s="2371"/>
      <c r="D297" s="2381"/>
      <c r="E297" s="2376"/>
      <c r="F297" s="2376"/>
      <c r="G297" s="2376"/>
      <c r="H297" s="2376"/>
      <c r="I297" s="2376"/>
      <c r="J297" s="2376"/>
      <c r="K297" s="2376"/>
      <c r="L297" s="2376"/>
      <c r="M297" s="2376"/>
      <c r="O297" s="131" t="s">
        <v>1820</v>
      </c>
      <c r="P297" s="2718"/>
      <c r="Q297" s="2719"/>
    </row>
    <row r="298" spans="1:32" ht="12.75" customHeight="1">
      <c r="A298" s="138" t="s">
        <v>1935</v>
      </c>
      <c r="B298" s="179" t="s">
        <v>3801</v>
      </c>
    </row>
    <row r="299" spans="1:32" s="147" customFormat="1" ht="44.25" customHeight="1">
      <c r="A299" s="141"/>
      <c r="B299" s="1488" t="s">
        <v>1694</v>
      </c>
      <c r="C299" s="2710" t="s">
        <v>3677</v>
      </c>
      <c r="D299" s="2710"/>
      <c r="E299" s="2710"/>
      <c r="F299" s="2710"/>
      <c r="G299" s="2710"/>
      <c r="H299" s="2710"/>
      <c r="I299" s="2710"/>
      <c r="J299" s="2710"/>
      <c r="K299" s="2710"/>
      <c r="L299" s="2710"/>
      <c r="M299" s="2710"/>
      <c r="N299" s="2710"/>
      <c r="O299" s="160" t="s">
        <v>2642</v>
      </c>
      <c r="P299" s="2266" t="s">
        <v>2885</v>
      </c>
      <c r="Q299" s="1088"/>
      <c r="AE299" s="459"/>
      <c r="AF299" s="459"/>
    </row>
    <row r="300" spans="1:32" s="411" customFormat="1" ht="12" customHeight="1">
      <c r="A300" s="141"/>
      <c r="B300" s="1488" t="s">
        <v>1695</v>
      </c>
      <c r="C300" s="2710" t="s">
        <v>4745</v>
      </c>
      <c r="D300" s="2710"/>
      <c r="E300" s="2710"/>
      <c r="F300" s="2710"/>
      <c r="G300" s="2710"/>
      <c r="H300" s="2710"/>
      <c r="I300" s="2710"/>
      <c r="J300" s="2710"/>
      <c r="K300" s="2710"/>
      <c r="L300" s="2710"/>
      <c r="M300" s="2710"/>
      <c r="N300" s="2710"/>
      <c r="O300" s="148" t="s">
        <v>1695</v>
      </c>
      <c r="P300" s="2379" t="s">
        <v>2885</v>
      </c>
      <c r="Q300" s="2378"/>
      <c r="AE300" s="460"/>
      <c r="AF300" s="460"/>
    </row>
    <row r="301" spans="1:32" s="411" customFormat="1" ht="21.75" customHeight="1">
      <c r="A301" s="141"/>
      <c r="B301" s="468" t="s">
        <v>1696</v>
      </c>
      <c r="C301" s="2710" t="s">
        <v>3676</v>
      </c>
      <c r="D301" s="2710"/>
      <c r="E301" s="2710"/>
      <c r="F301" s="2710"/>
      <c r="G301" s="2710"/>
      <c r="H301" s="2710"/>
      <c r="I301" s="2710"/>
      <c r="J301" s="2710"/>
      <c r="K301" s="2710"/>
      <c r="L301" s="2710"/>
      <c r="M301" s="2710"/>
      <c r="N301" s="2710"/>
      <c r="O301" s="160" t="s">
        <v>1696</v>
      </c>
      <c r="P301" s="2387"/>
      <c r="Q301" s="2251"/>
      <c r="AE301" s="460"/>
      <c r="AF301" s="460"/>
    </row>
    <row r="302" spans="1:32" s="94" customFormat="1" ht="12.75" customHeight="1">
      <c r="A302" s="138" t="s">
        <v>1937</v>
      </c>
      <c r="B302" s="179" t="s">
        <v>3652</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3562</v>
      </c>
      <c r="D303" s="2710"/>
      <c r="E303" s="2710"/>
      <c r="F303" s="2710"/>
      <c r="G303" s="2710"/>
      <c r="H303" s="2710"/>
      <c r="I303" s="139"/>
      <c r="J303" s="2740" t="s">
        <v>3601</v>
      </c>
      <c r="K303" s="2902"/>
      <c r="L303" s="2902"/>
      <c r="M303" s="2889" t="s">
        <v>3573</v>
      </c>
      <c r="N303" s="2889"/>
      <c r="AE303" s="461"/>
      <c r="AF303" s="461"/>
    </row>
    <row r="304" spans="1:32" s="293" customFormat="1" ht="10.5" customHeight="1">
      <c r="A304" s="304"/>
      <c r="B304" s="2343"/>
      <c r="C304" s="2710"/>
      <c r="D304" s="2710"/>
      <c r="E304" s="2710"/>
      <c r="F304" s="2710"/>
      <c r="G304" s="2710"/>
      <c r="H304" s="2710"/>
      <c r="I304" s="2354"/>
      <c r="J304" s="2902"/>
      <c r="K304" s="2902"/>
      <c r="L304" s="2902"/>
      <c r="M304" s="36" t="s">
        <v>3574</v>
      </c>
      <c r="N304" s="2397" t="s">
        <v>3600</v>
      </c>
      <c r="P304" s="302"/>
    </row>
    <row r="305" spans="1:33" s="293" customFormat="1" ht="13.35" customHeight="1">
      <c r="A305" s="304"/>
      <c r="B305" s="2343"/>
      <c r="C305" s="2710"/>
      <c r="D305" s="2710"/>
      <c r="E305" s="2710"/>
      <c r="F305" s="2710"/>
      <c r="G305" s="2710"/>
      <c r="H305" s="2710"/>
      <c r="I305" s="52" t="s">
        <v>3802</v>
      </c>
      <c r="K305" s="2270">
        <v>6</v>
      </c>
      <c r="L305" s="974" t="str">
        <f>IF(K305&lt;M305,"Check!!!","")</f>
        <v/>
      </c>
      <c r="M305" s="975">
        <f>ROUNDUP('Part VI-Revenues &amp; Expenses'!$P$67*'Part VIII-Threshold Criteria'!N305,0)</f>
        <v>3</v>
      </c>
      <c r="N305" s="1465">
        <f>'DCA Underwriting Assumptions'!$Q$154</f>
        <v>0.05</v>
      </c>
      <c r="O305" s="455" t="s">
        <v>3470</v>
      </c>
      <c r="P305" s="2254"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3563</v>
      </c>
      <c r="D306" s="2710"/>
      <c r="E306" s="2710"/>
      <c r="F306" s="2710"/>
      <c r="G306" s="2710"/>
      <c r="H306" s="2710"/>
      <c r="I306" s="843" t="s">
        <v>3803</v>
      </c>
      <c r="J306" s="293"/>
      <c r="K306" s="2270">
        <v>6</v>
      </c>
      <c r="L306" s="974" t="str">
        <f>IF(K306&lt;M306,"Check!!!","")</f>
        <v/>
      </c>
      <c r="M306" s="975">
        <f>ROUNDUP(K305*'Part VIII-Threshold Criteria'!N306,0)</f>
        <v>3</v>
      </c>
      <c r="N306" s="1465">
        <f>'DCA Underwriting Assumptions'!$Q$155</f>
        <v>0.4</v>
      </c>
      <c r="O306" s="455" t="s">
        <v>2066</v>
      </c>
      <c r="P306" s="2753" t="s">
        <v>2885</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3"/>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3564</v>
      </c>
      <c r="D308" s="2710"/>
      <c r="E308" s="2710"/>
      <c r="F308" s="2710"/>
      <c r="G308" s="2710"/>
      <c r="H308" s="2710"/>
      <c r="I308" s="52" t="s">
        <v>3804</v>
      </c>
      <c r="J308" s="293"/>
      <c r="K308" s="2270">
        <v>2</v>
      </c>
      <c r="L308" s="974" t="str">
        <f>IF(K308&lt;M308,"Check!!!","")</f>
        <v/>
      </c>
      <c r="M308" s="975">
        <f>ROUNDUP('Part VI-Revenues &amp; Expenses'!$P$67*'Part VIII-Threshold Criteria'!N308,0)</f>
        <v>1</v>
      </c>
      <c r="N308" s="1465">
        <f>'DCA Underwriting Assumptions'!$Q$156</f>
        <v>0.02</v>
      </c>
      <c r="O308" s="455" t="s">
        <v>1695</v>
      </c>
      <c r="P308" s="2256"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88"/>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3653</v>
      </c>
      <c r="D311" s="2376"/>
      <c r="E311" s="2376"/>
      <c r="F311" s="2376"/>
      <c r="G311" s="2376"/>
      <c r="H311" s="2376"/>
      <c r="O311" s="40"/>
      <c r="P311" s="455"/>
      <c r="V311" s="36"/>
      <c r="W311" s="843"/>
      <c r="X311" s="36"/>
      <c r="Z311" s="974"/>
      <c r="AA311" s="974"/>
      <c r="AB311" s="974"/>
      <c r="AC311" s="974"/>
      <c r="AD311" s="974"/>
      <c r="AE311" s="974"/>
      <c r="AF311" s="974"/>
      <c r="AG311" s="974"/>
    </row>
    <row r="312" spans="1:33" s="94" customFormat="1" ht="21.75" customHeight="1">
      <c r="B312" s="2720" t="s">
        <v>3472</v>
      </c>
      <c r="C312" s="2720"/>
      <c r="D312" s="2720"/>
      <c r="E312" s="2720"/>
      <c r="F312" s="2720"/>
      <c r="G312" s="2720"/>
      <c r="H312" s="2720"/>
      <c r="I312" s="2720"/>
      <c r="J312" s="2720"/>
      <c r="K312" s="2720"/>
      <c r="L312" s="2720"/>
      <c r="M312" s="2720"/>
      <c r="N312" s="2720"/>
      <c r="O312" s="160" t="s">
        <v>731</v>
      </c>
      <c r="P312" s="2269" t="s">
        <v>2885</v>
      </c>
      <c r="Q312" s="1089"/>
      <c r="AE312" s="461"/>
      <c r="AF312" s="461"/>
    </row>
    <row r="313" spans="1:33" s="94" customFormat="1" ht="11.25" customHeight="1">
      <c r="B313" s="389" t="s">
        <v>3473</v>
      </c>
      <c r="D313" s="389"/>
      <c r="E313" s="389"/>
      <c r="F313" s="389"/>
      <c r="G313" s="389"/>
      <c r="H313" s="389"/>
      <c r="I313" s="389" t="s">
        <v>3572</v>
      </c>
      <c r="J313" s="389"/>
      <c r="K313" s="389"/>
      <c r="L313" s="2891" t="s">
        <v>7054</v>
      </c>
      <c r="M313" s="2892"/>
      <c r="N313" s="2892"/>
      <c r="O313" s="2893"/>
      <c r="P313" s="389"/>
      <c r="Q313" s="389"/>
      <c r="R313" s="389"/>
      <c r="AE313" s="461"/>
      <c r="AF313" s="461"/>
    </row>
    <row r="314" spans="1:33" s="411" customFormat="1" ht="44.25" customHeight="1">
      <c r="B314" s="1488" t="s">
        <v>1694</v>
      </c>
      <c r="C314" s="2710" t="s">
        <v>3471</v>
      </c>
      <c r="D314" s="2710"/>
      <c r="E314" s="2710"/>
      <c r="F314" s="2710"/>
      <c r="G314" s="2710"/>
      <c r="H314" s="2710"/>
      <c r="I314" s="2710"/>
      <c r="J314" s="2710"/>
      <c r="K314" s="2710"/>
      <c r="L314" s="2710"/>
      <c r="M314" s="2710"/>
      <c r="N314" s="2710"/>
      <c r="O314" s="160" t="s">
        <v>3476</v>
      </c>
      <c r="P314" s="2266" t="s">
        <v>2885</v>
      </c>
      <c r="Q314" s="1088"/>
      <c r="AE314" s="460"/>
      <c r="AF314" s="460"/>
    </row>
    <row r="315" spans="1:33" s="411" customFormat="1" ht="34.5" customHeight="1">
      <c r="B315" s="1488" t="s">
        <v>1695</v>
      </c>
      <c r="C315" s="2710" t="s">
        <v>4355</v>
      </c>
      <c r="D315" s="2710"/>
      <c r="E315" s="2710"/>
      <c r="F315" s="2710"/>
      <c r="G315" s="2710"/>
      <c r="H315" s="2710"/>
      <c r="I315" s="2710"/>
      <c r="J315" s="2710"/>
      <c r="K315" s="2710"/>
      <c r="L315" s="2710"/>
      <c r="M315" s="2710"/>
      <c r="N315" s="2710"/>
      <c r="O315" s="160" t="s">
        <v>3477</v>
      </c>
      <c r="P315" s="2379" t="s">
        <v>2885</v>
      </c>
      <c r="Q315" s="2378"/>
      <c r="AE315" s="460"/>
      <c r="AF315" s="460"/>
    </row>
    <row r="316" spans="1:33" s="411" customFormat="1" ht="22.5" customHeight="1">
      <c r="B316" s="468" t="s">
        <v>1696</v>
      </c>
      <c r="C316" s="2710" t="s">
        <v>3474</v>
      </c>
      <c r="D316" s="2710"/>
      <c r="E316" s="2710"/>
      <c r="F316" s="2710"/>
      <c r="G316" s="2710"/>
      <c r="H316" s="2710"/>
      <c r="I316" s="2710"/>
      <c r="J316" s="2710"/>
      <c r="K316" s="2710"/>
      <c r="L316" s="2710"/>
      <c r="M316" s="2710"/>
      <c r="N316" s="2710"/>
      <c r="O316" s="160" t="s">
        <v>3478</v>
      </c>
      <c r="P316" s="2379" t="s">
        <v>2885</v>
      </c>
      <c r="Q316" s="2378"/>
      <c r="AE316" s="460"/>
      <c r="AF316" s="460"/>
    </row>
    <row r="317" spans="1:33" s="411" customFormat="1" ht="32.25" customHeight="1">
      <c r="B317" s="468" t="s">
        <v>2304</v>
      </c>
      <c r="C317" s="2710" t="s">
        <v>3475</v>
      </c>
      <c r="D317" s="2710"/>
      <c r="E317" s="2710"/>
      <c r="F317" s="2710"/>
      <c r="G317" s="2710"/>
      <c r="H317" s="2710"/>
      <c r="I317" s="2710"/>
      <c r="J317" s="2710"/>
      <c r="K317" s="2710"/>
      <c r="L317" s="2710"/>
      <c r="M317" s="2710"/>
      <c r="N317" s="2710"/>
      <c r="O317" s="160" t="s">
        <v>3479</v>
      </c>
      <c r="P317" s="2387" t="s">
        <v>2885</v>
      </c>
      <c r="Q317" s="2251"/>
      <c r="AE317" s="460"/>
      <c r="AF317" s="460"/>
    </row>
    <row r="318" spans="1:33" ht="11.25" customHeight="1">
      <c r="B318" s="140" t="s">
        <v>3565</v>
      </c>
      <c r="D318" s="140"/>
      <c r="E318" s="140"/>
      <c r="F318" s="140"/>
      <c r="G318" s="140"/>
      <c r="H318" s="40"/>
      <c r="I318" s="2397"/>
      <c r="J318" s="2397"/>
      <c r="K318" s="2397"/>
      <c r="L318" s="2374"/>
      <c r="M318" s="2374"/>
      <c r="N318" s="2374"/>
      <c r="O318" s="2374"/>
      <c r="P318" s="2374"/>
      <c r="Q318" s="855"/>
    </row>
    <row r="319" spans="1:33" ht="36.75" customHeight="1">
      <c r="A319" s="2707" t="s">
        <v>7121</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6"/>
      <c r="E320" s="2376"/>
      <c r="F320" s="2376"/>
      <c r="G320" s="2376"/>
      <c r="H320" s="2376"/>
      <c r="I320" s="2376"/>
      <c r="J320" s="2376"/>
      <c r="K320" s="2376"/>
      <c r="L320" s="2376"/>
      <c r="M320" s="2376"/>
      <c r="N320" s="2376"/>
      <c r="O320" s="2376"/>
      <c r="P320" s="2376"/>
      <c r="Q320" s="2376"/>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69" t="s">
        <v>3784</v>
      </c>
      <c r="B322" s="10" t="s">
        <v>2591</v>
      </c>
      <c r="C322" s="10"/>
      <c r="D322" s="10"/>
      <c r="E322" s="10"/>
      <c r="F322" s="10"/>
      <c r="G322" s="10"/>
      <c r="H322" s="2376"/>
      <c r="I322" s="2376"/>
      <c r="J322" s="2376"/>
      <c r="K322" s="2376"/>
      <c r="L322" s="2376"/>
      <c r="M322" s="2376"/>
      <c r="O322" s="131" t="s">
        <v>1820</v>
      </c>
      <c r="P322" s="2880"/>
      <c r="Q322" s="2881"/>
    </row>
    <row r="323" spans="1:256 1523:1523" ht="11.4" customHeight="1">
      <c r="B323" s="144" t="s">
        <v>2194</v>
      </c>
      <c r="P323" s="2254" t="s">
        <v>2888</v>
      </c>
      <c r="Q323" s="518"/>
    </row>
    <row r="324" spans="1:256 1523:1523" ht="12" customHeight="1">
      <c r="B324" s="842" t="s">
        <v>2154</v>
      </c>
      <c r="C324" s="842"/>
      <c r="D324" s="842"/>
      <c r="E324" s="842"/>
      <c r="F324" s="842"/>
      <c r="G324" s="842"/>
      <c r="H324" s="842"/>
      <c r="I324" s="842"/>
      <c r="J324" s="842"/>
      <c r="K324" s="842"/>
      <c r="L324" s="842"/>
      <c r="P324" s="2256"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0" t="s">
        <v>2780</v>
      </c>
      <c r="C326" s="2710"/>
      <c r="D326" s="2710"/>
      <c r="E326" s="2710"/>
      <c r="F326" s="2710"/>
      <c r="G326" s="2710"/>
      <c r="H326" s="2710"/>
      <c r="I326" s="2710"/>
      <c r="J326" s="2710"/>
      <c r="K326" s="2710"/>
      <c r="L326" s="2710"/>
      <c r="M326" s="2710"/>
      <c r="N326" s="2710"/>
      <c r="O326" s="160" t="s">
        <v>1935</v>
      </c>
      <c r="P326" s="2271" t="s">
        <v>2885</v>
      </c>
      <c r="Q326" s="4130"/>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2922" t="s">
        <v>3678</v>
      </c>
      <c r="H328" s="2923"/>
      <c r="I328" s="2923"/>
      <c r="J328" s="2923"/>
      <c r="K328" s="2923"/>
      <c r="L328" s="2923"/>
      <c r="M328" s="2923"/>
      <c r="N328" s="2924"/>
      <c r="O328" s="215" t="s">
        <v>1694</v>
      </c>
      <c r="P328" s="2266" t="s">
        <v>2885</v>
      </c>
      <c r="Q328" s="1088"/>
      <c r="BFO328" s="147" t="s">
        <v>2643</v>
      </c>
    </row>
    <row r="329" spans="1:256 1523:1523" ht="23.25" customHeight="1">
      <c r="B329" s="842" t="s">
        <v>1695</v>
      </c>
      <c r="C329" s="2710" t="s">
        <v>1110</v>
      </c>
      <c r="D329" s="2710"/>
      <c r="E329" s="2710"/>
      <c r="F329" s="2882"/>
      <c r="G329" s="2734" t="s">
        <v>2577</v>
      </c>
      <c r="H329" s="2894"/>
      <c r="I329" s="2894"/>
      <c r="J329" s="2894"/>
      <c r="K329" s="2894"/>
      <c r="L329" s="2894"/>
      <c r="M329" s="2894"/>
      <c r="N329" s="2895"/>
      <c r="O329" s="215" t="s">
        <v>1695</v>
      </c>
      <c r="P329" s="2387" t="s">
        <v>2885</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62" t="s">
        <v>2595</v>
      </c>
      <c r="C331" s="2762"/>
      <c r="D331" s="2762"/>
      <c r="E331" s="2762"/>
      <c r="F331" s="2762"/>
      <c r="G331" s="2762"/>
      <c r="H331" s="2762"/>
      <c r="I331" s="2762"/>
      <c r="J331" s="2762"/>
      <c r="K331" s="2762"/>
      <c r="L331" s="2762"/>
      <c r="M331" s="2762"/>
      <c r="N331" s="2762"/>
      <c r="O331" s="438" t="s">
        <v>731</v>
      </c>
      <c r="P331" s="2374"/>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266"/>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7"/>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3565</v>
      </c>
      <c r="D335" s="140"/>
      <c r="E335" s="140"/>
      <c r="F335" s="140"/>
      <c r="G335" s="140"/>
      <c r="H335" s="40"/>
      <c r="I335" s="2397"/>
      <c r="J335" s="2397"/>
      <c r="K335" s="2397"/>
      <c r="L335" s="2374"/>
      <c r="M335" s="2374"/>
      <c r="N335" s="2374"/>
      <c r="O335" s="2374"/>
      <c r="P335" s="2374"/>
      <c r="Q335" s="855"/>
    </row>
    <row r="336" spans="1:256 1523:1523" ht="25.5" customHeight="1">
      <c r="A336" s="2707" t="s">
        <v>7122</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6"/>
      <c r="E337" s="2376"/>
      <c r="F337" s="2376"/>
      <c r="G337" s="2376"/>
      <c r="H337" s="2376"/>
      <c r="I337" s="2376"/>
      <c r="J337" s="2376"/>
      <c r="K337" s="2376"/>
      <c r="L337" s="2376"/>
      <c r="M337" s="2376"/>
      <c r="N337" s="2376"/>
      <c r="O337" s="2376"/>
      <c r="P337" s="2376"/>
      <c r="Q337" s="2376"/>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69" t="s">
        <v>3787</v>
      </c>
      <c r="B339" s="2369" t="s">
        <v>3808</v>
      </c>
      <c r="C339" s="2369"/>
      <c r="D339" s="2376"/>
      <c r="E339" s="2376"/>
      <c r="F339" s="2376"/>
      <c r="G339" s="2376"/>
      <c r="H339" s="2376"/>
      <c r="O339" s="131" t="s">
        <v>1820</v>
      </c>
      <c r="P339" s="2718"/>
      <c r="Q339" s="2719"/>
    </row>
    <row r="340" spans="1:31" ht="11.4" customHeight="1">
      <c r="A340" s="47" t="s">
        <v>1935</v>
      </c>
      <c r="B340" s="55" t="s">
        <v>4711</v>
      </c>
      <c r="O340" s="160" t="s">
        <v>1935</v>
      </c>
      <c r="P340" s="2254" t="s">
        <v>2885</v>
      </c>
      <c r="Q340" s="518"/>
    </row>
    <row r="341" spans="1:31" ht="11.4" customHeight="1">
      <c r="A341" s="141" t="s">
        <v>1937</v>
      </c>
      <c r="B341" s="55" t="s">
        <v>3775</v>
      </c>
      <c r="O341" s="160" t="s">
        <v>1937</v>
      </c>
      <c r="P341" s="2255" t="s">
        <v>2885</v>
      </c>
      <c r="Q341" s="519"/>
    </row>
    <row r="342" spans="1:31" ht="11.4" customHeight="1">
      <c r="A342" s="141" t="s">
        <v>731</v>
      </c>
      <c r="B342" s="144" t="s">
        <v>2290</v>
      </c>
      <c r="O342" s="160" t="s">
        <v>731</v>
      </c>
      <c r="P342" s="2255" t="s">
        <v>2888</v>
      </c>
      <c r="Q342" s="519"/>
    </row>
    <row r="343" spans="1:31" ht="11.4" customHeight="1">
      <c r="A343" s="47" t="s">
        <v>2064</v>
      </c>
      <c r="B343" s="55" t="s">
        <v>3627</v>
      </c>
      <c r="O343" s="455" t="s">
        <v>2064</v>
      </c>
      <c r="P343" s="2256" t="s">
        <v>2888</v>
      </c>
      <c r="Q343" s="520"/>
    </row>
    <row r="344" spans="1:31" ht="11.4" customHeight="1">
      <c r="A344" s="141" t="s">
        <v>1692</v>
      </c>
      <c r="B344" s="55" t="s">
        <v>2781</v>
      </c>
      <c r="N344" s="160" t="s">
        <v>1692</v>
      </c>
      <c r="O344" s="2886" t="s">
        <v>4734</v>
      </c>
      <c r="P344" s="2887"/>
      <c r="Q344" s="2888"/>
    </row>
    <row r="345" spans="1:31" ht="11.4" customHeight="1">
      <c r="A345" s="141" t="s">
        <v>1693</v>
      </c>
      <c r="B345" s="407" t="s">
        <v>2291</v>
      </c>
      <c r="N345" s="160" t="s">
        <v>1693</v>
      </c>
      <c r="O345" s="4131" t="s">
        <v>2782</v>
      </c>
      <c r="P345" s="4132"/>
      <c r="Q345" s="4133"/>
    </row>
    <row r="346" spans="1:31" ht="11.25" customHeight="1">
      <c r="B346" s="140" t="s">
        <v>3565</v>
      </c>
      <c r="D346" s="140"/>
      <c r="E346" s="140"/>
      <c r="F346" s="140"/>
      <c r="G346" s="140"/>
      <c r="H346" s="40"/>
      <c r="I346" s="2397"/>
      <c r="J346" s="2397"/>
      <c r="K346" s="2397"/>
      <c r="L346" s="2374"/>
      <c r="M346" s="2374"/>
      <c r="N346" s="2374"/>
      <c r="O346" s="2374"/>
      <c r="P346" s="2374"/>
      <c r="Q346" s="855"/>
    </row>
    <row r="347" spans="1:31" ht="29.25" customHeight="1">
      <c r="A347" s="2707" t="s">
        <v>7123</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6"/>
      <c r="E348" s="2376"/>
      <c r="F348" s="2376"/>
      <c r="G348" s="2376"/>
      <c r="H348" s="2376"/>
      <c r="I348" s="2376"/>
      <c r="J348" s="2376"/>
      <c r="K348" s="2376"/>
      <c r="L348" s="2376"/>
      <c r="M348" s="2376"/>
      <c r="N348" s="2376"/>
      <c r="O348" s="2376"/>
      <c r="P348" s="2376"/>
      <c r="Q348" s="2376"/>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4"/>
      <c r="B350" s="2397"/>
      <c r="C350" s="2376"/>
      <c r="D350" s="2376"/>
      <c r="E350" s="2376"/>
      <c r="F350" s="2376"/>
      <c r="G350" s="2376"/>
      <c r="H350" s="2376"/>
      <c r="I350" s="2376"/>
      <c r="J350" s="2376"/>
      <c r="K350" s="2376"/>
      <c r="L350" s="2376"/>
      <c r="M350" s="2376"/>
      <c r="N350" s="2376"/>
      <c r="O350" s="2376"/>
      <c r="P350" s="2376"/>
      <c r="Q350" s="855"/>
      <c r="R350" s="8"/>
      <c r="S350" s="8"/>
    </row>
    <row r="351" spans="1:31" ht="14.1" customHeight="1">
      <c r="A351" s="2369" t="s">
        <v>3788</v>
      </c>
      <c r="B351" s="4" t="s">
        <v>3766</v>
      </c>
      <c r="C351" s="4"/>
      <c r="D351" s="4"/>
      <c r="E351" s="4"/>
      <c r="F351" s="4"/>
      <c r="G351" s="4"/>
      <c r="H351" s="2376"/>
      <c r="I351" s="2376"/>
      <c r="J351" s="2376"/>
      <c r="K351" s="2376"/>
      <c r="L351" s="2376"/>
      <c r="M351" s="2376"/>
      <c r="O351" s="131" t="s">
        <v>1820</v>
      </c>
      <c r="P351" s="4134"/>
      <c r="Q351" s="2719"/>
    </row>
    <row r="352" spans="1:31" ht="10.5" customHeight="1">
      <c r="A352" s="47" t="s">
        <v>1935</v>
      </c>
      <c r="B352" s="134" t="s">
        <v>3767</v>
      </c>
      <c r="D352" s="149"/>
      <c r="E352" s="149"/>
      <c r="F352" s="149"/>
      <c r="G352" s="149"/>
      <c r="H352" s="455" t="s">
        <v>1935</v>
      </c>
      <c r="I352" s="2698"/>
      <c r="J352" s="2699"/>
      <c r="K352" s="2699"/>
      <c r="L352" s="2699"/>
      <c r="M352" s="2699"/>
      <c r="N352" s="2699"/>
      <c r="O352" s="2699"/>
      <c r="P352" s="2700"/>
      <c r="Q352" s="516"/>
    </row>
    <row r="353" spans="1:32" ht="10.5" customHeight="1">
      <c r="A353" s="141" t="s">
        <v>1937</v>
      </c>
      <c r="B353" s="134" t="s">
        <v>3768</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0" t="s">
        <v>3759</v>
      </c>
      <c r="C354" s="2890"/>
      <c r="D354" s="2890"/>
      <c r="E354" s="2890"/>
      <c r="F354" s="2890"/>
      <c r="G354" s="2890"/>
      <c r="H354" s="2890"/>
      <c r="I354" s="2890"/>
      <c r="J354" s="2890"/>
      <c r="K354" s="2890"/>
      <c r="L354" s="2890"/>
      <c r="M354" s="2890"/>
      <c r="N354" s="2890"/>
      <c r="O354" s="160" t="s">
        <v>731</v>
      </c>
      <c r="P354" s="2272"/>
      <c r="Q354" s="1088"/>
    </row>
    <row r="355" spans="1:32" ht="21.75" customHeight="1">
      <c r="A355" s="141" t="s">
        <v>2064</v>
      </c>
      <c r="B355" s="2710" t="s">
        <v>3760</v>
      </c>
      <c r="C355" s="2710"/>
      <c r="D355" s="2710"/>
      <c r="E355" s="2710"/>
      <c r="F355" s="2710"/>
      <c r="G355" s="2710"/>
      <c r="H355" s="2710"/>
      <c r="I355" s="2710"/>
      <c r="J355" s="2710"/>
      <c r="K355" s="2710"/>
      <c r="L355" s="2710"/>
      <c r="M355" s="2710"/>
      <c r="N355" s="2710"/>
      <c r="O355" s="455" t="s">
        <v>2064</v>
      </c>
      <c r="P355" s="2379"/>
      <c r="Q355" s="2378"/>
    </row>
    <row r="356" spans="1:32" ht="10.5" customHeight="1">
      <c r="A356" s="141" t="s">
        <v>1692</v>
      </c>
      <c r="B356" s="52" t="s">
        <v>3761</v>
      </c>
      <c r="D356" s="52"/>
      <c r="E356" s="52"/>
      <c r="F356" s="52"/>
      <c r="G356" s="52"/>
      <c r="H356" s="52"/>
      <c r="I356" s="52"/>
      <c r="J356" s="52"/>
      <c r="K356" s="52"/>
      <c r="L356" s="52"/>
      <c r="M356" s="52"/>
      <c r="O356" s="160" t="s">
        <v>1692</v>
      </c>
      <c r="P356" s="2255"/>
      <c r="Q356" s="519"/>
    </row>
    <row r="357" spans="1:32" s="132" customFormat="1" ht="21.75" customHeight="1">
      <c r="A357" s="141" t="s">
        <v>1693</v>
      </c>
      <c r="B357" s="2710" t="s">
        <v>3762</v>
      </c>
      <c r="C357" s="2710"/>
      <c r="D357" s="2710"/>
      <c r="E357" s="2710"/>
      <c r="F357" s="2710"/>
      <c r="G357" s="2710"/>
      <c r="H357" s="2710"/>
      <c r="I357" s="2710"/>
      <c r="J357" s="2710"/>
      <c r="K357" s="2710"/>
      <c r="L357" s="2710"/>
      <c r="M357" s="2710"/>
      <c r="N357" s="2710"/>
      <c r="O357" s="160" t="s">
        <v>1693</v>
      </c>
      <c r="P357" s="2273"/>
      <c r="Q357" s="4135"/>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266"/>
      <c r="Q358" s="1088"/>
      <c r="AE358" s="458"/>
      <c r="AF358" s="458"/>
    </row>
    <row r="359" spans="1:32" s="132" customFormat="1" ht="10.5" customHeight="1">
      <c r="C359" s="842" t="s">
        <v>4420</v>
      </c>
      <c r="E359" s="2376"/>
      <c r="F359" s="2376"/>
      <c r="G359" s="2376"/>
      <c r="H359" s="2376"/>
      <c r="I359" s="2376"/>
      <c r="J359" s="2376"/>
      <c r="K359" s="2376"/>
      <c r="L359" s="2376"/>
      <c r="M359" s="2376"/>
      <c r="N359" s="2376"/>
      <c r="P359" s="2387"/>
      <c r="Q359" s="2251"/>
      <c r="AE359" s="458"/>
      <c r="AF359" s="458"/>
    </row>
    <row r="360" spans="1:32" ht="21.75" customHeight="1">
      <c r="A360" s="141" t="s">
        <v>3263</v>
      </c>
      <c r="B360" s="2710" t="s">
        <v>3764</v>
      </c>
      <c r="C360" s="2710"/>
      <c r="D360" s="2710"/>
      <c r="E360" s="2710"/>
      <c r="F360" s="2710"/>
      <c r="G360" s="2710"/>
      <c r="H360" s="2710"/>
      <c r="I360" s="2710"/>
      <c r="J360" s="2710"/>
      <c r="K360" s="2710"/>
      <c r="L360" s="2710"/>
      <c r="M360" s="2710"/>
      <c r="N360" s="2710"/>
      <c r="O360" s="160" t="s">
        <v>3263</v>
      </c>
      <c r="P360" s="2266"/>
      <c r="Q360" s="1088"/>
    </row>
    <row r="361" spans="1:32" ht="33" customHeight="1">
      <c r="A361" s="141" t="s">
        <v>598</v>
      </c>
      <c r="B361" s="2710" t="s">
        <v>3765</v>
      </c>
      <c r="C361" s="2710"/>
      <c r="D361" s="2710"/>
      <c r="E361" s="2710"/>
      <c r="F361" s="2710"/>
      <c r="G361" s="2710"/>
      <c r="H361" s="2710"/>
      <c r="I361" s="2710"/>
      <c r="J361" s="2710"/>
      <c r="K361" s="2710"/>
      <c r="L361" s="2710"/>
      <c r="M361" s="2710"/>
      <c r="N361" s="2710"/>
      <c r="O361" s="160" t="s">
        <v>598</v>
      </c>
      <c r="P361" s="2387"/>
      <c r="Q361" s="2251"/>
    </row>
    <row r="362" spans="1:32" ht="10.5" customHeight="1">
      <c r="B362" s="140" t="s">
        <v>3565</v>
      </c>
      <c r="D362" s="140"/>
      <c r="E362" s="140"/>
      <c r="F362" s="140"/>
      <c r="G362" s="140"/>
      <c r="H362" s="40"/>
      <c r="I362" s="2397"/>
      <c r="J362" s="2397"/>
      <c r="K362" s="2397"/>
      <c r="L362" s="2374"/>
      <c r="M362" s="2374"/>
      <c r="N362" s="2374"/>
      <c r="O362" s="2374"/>
      <c r="P362" s="2374"/>
      <c r="Q362" s="855"/>
    </row>
    <row r="363" spans="1:32" ht="13.5" customHeight="1">
      <c r="A363" s="2707" t="s">
        <v>7055</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6"/>
      <c r="E364" s="2376"/>
      <c r="F364" s="2376"/>
      <c r="G364" s="2376"/>
      <c r="H364" s="2376"/>
      <c r="I364" s="2376"/>
      <c r="J364" s="2376"/>
      <c r="K364" s="2376"/>
      <c r="L364" s="2376"/>
      <c r="M364" s="2376"/>
      <c r="N364" s="2376"/>
      <c r="O364" s="2376"/>
      <c r="P364" s="2376"/>
      <c r="Q364" s="2376"/>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4"/>
      <c r="B366" s="2397"/>
      <c r="C366" s="2376"/>
      <c r="D366" s="2376"/>
      <c r="E366" s="2376"/>
      <c r="F366" s="2376"/>
      <c r="G366" s="2376"/>
      <c r="H366" s="2376"/>
      <c r="I366" s="2376"/>
      <c r="J366" s="2376"/>
      <c r="K366" s="2376"/>
      <c r="L366" s="2376"/>
      <c r="M366" s="2376"/>
      <c r="Q366" s="855"/>
    </row>
    <row r="367" spans="1:32" ht="14.1" customHeight="1">
      <c r="A367" s="2369" t="s">
        <v>3791</v>
      </c>
      <c r="B367" s="4" t="s">
        <v>4695</v>
      </c>
      <c r="C367" s="4"/>
      <c r="D367" s="4"/>
      <c r="E367" s="4"/>
      <c r="F367" s="4"/>
      <c r="G367" s="4"/>
      <c r="H367" s="2376"/>
      <c r="I367" s="2376"/>
      <c r="J367" s="2376"/>
      <c r="O367" s="131" t="s">
        <v>1820</v>
      </c>
      <c r="P367" s="2718"/>
      <c r="Q367" s="2719"/>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4362</v>
      </c>
      <c r="D369" s="2744"/>
      <c r="E369" s="2744"/>
      <c r="F369" s="2744"/>
      <c r="G369" s="50"/>
      <c r="H369" s="36" t="s">
        <v>599</v>
      </c>
      <c r="J369" s="2915"/>
      <c r="K369" s="2916"/>
      <c r="L369" s="2916"/>
      <c r="M369" s="2917"/>
      <c r="N369" s="2841" t="s">
        <v>3679</v>
      </c>
      <c r="O369" s="2779"/>
      <c r="P369" s="2905"/>
      <c r="Q369" s="2906"/>
      <c r="AE369" s="50"/>
      <c r="AF369" s="50"/>
    </row>
    <row r="370" spans="1:32" s="42" customFormat="1" ht="11.25" customHeight="1">
      <c r="B370" s="40"/>
      <c r="C370" s="2389"/>
      <c r="D370" s="2389"/>
      <c r="E370" s="2389"/>
      <c r="F370" s="2389"/>
      <c r="G370" s="2389"/>
      <c r="H370" s="40" t="s">
        <v>4487</v>
      </c>
      <c r="I370" s="2389"/>
      <c r="J370" s="2698"/>
      <c r="K370" s="2699"/>
      <c r="L370" s="2699"/>
      <c r="M370" s="2699"/>
      <c r="N370" s="2699"/>
      <c r="O370" s="2699"/>
      <c r="P370" s="2699"/>
      <c r="Q370" s="2700"/>
      <c r="AE370" s="50"/>
      <c r="AF370" s="50"/>
    </row>
    <row r="371" spans="1:32" s="42" customFormat="1" ht="11.25" customHeight="1">
      <c r="B371" s="40" t="s">
        <v>1695</v>
      </c>
      <c r="C371" s="52" t="s">
        <v>3681</v>
      </c>
      <c r="J371" s="2909"/>
      <c r="K371" s="2910"/>
      <c r="O371" s="455"/>
      <c r="AE371" s="50"/>
      <c r="AF371" s="50"/>
    </row>
    <row r="372" spans="1:32" s="42" customFormat="1" ht="11.25" customHeight="1">
      <c r="A372" s="47"/>
      <c r="B372" s="40" t="s">
        <v>1696</v>
      </c>
      <c r="C372" s="52" t="s">
        <v>3682</v>
      </c>
      <c r="D372" s="46"/>
      <c r="E372" s="133"/>
      <c r="I372" s="133"/>
      <c r="J372" s="2918" t="str">
        <f>'Part I-Project Information'!K40</f>
        <v>Rural</v>
      </c>
      <c r="K372" s="2919"/>
      <c r="L372" s="2380" t="s">
        <v>3683</v>
      </c>
      <c r="M372" s="133"/>
      <c r="N372" s="133"/>
      <c r="O372" s="455" t="s">
        <v>1696</v>
      </c>
      <c r="P372" s="2257"/>
      <c r="Q372" s="517"/>
      <c r="AE372" s="50"/>
      <c r="AF372" s="50"/>
    </row>
    <row r="373" spans="1:32" s="42" customFormat="1" ht="11.25" customHeight="1">
      <c r="A373" s="47"/>
      <c r="B373" s="40" t="s">
        <v>2304</v>
      </c>
      <c r="C373" s="52" t="s">
        <v>4356</v>
      </c>
      <c r="E373" s="133"/>
      <c r="F373" s="133"/>
      <c r="G373" s="133"/>
      <c r="H373" s="52" t="s">
        <v>4357</v>
      </c>
      <c r="I373" s="133"/>
      <c r="J373" s="2907"/>
      <c r="K373" s="2908"/>
      <c r="L373" s="4136"/>
      <c r="M373" s="4137"/>
      <c r="O373" s="455"/>
      <c r="AE373" s="50"/>
      <c r="AF373" s="50"/>
    </row>
    <row r="374" spans="1:32" s="42" customFormat="1" ht="11.25" customHeight="1">
      <c r="A374" s="47"/>
      <c r="B374" s="40"/>
      <c r="C374" s="52"/>
      <c r="E374" s="133"/>
      <c r="F374" s="133"/>
      <c r="G374" s="133"/>
      <c r="H374" s="52" t="s">
        <v>4358</v>
      </c>
      <c r="I374" s="133"/>
      <c r="J374" s="2711"/>
      <c r="K374" s="2713"/>
      <c r="L374" s="4138"/>
      <c r="M374" s="4139"/>
      <c r="N374" s="52"/>
      <c r="O374" s="455"/>
      <c r="AE374" s="50"/>
      <c r="AF374" s="50"/>
    </row>
    <row r="375" spans="1:32" s="42" customFormat="1" ht="11.25" customHeight="1">
      <c r="A375" s="47"/>
      <c r="B375" s="40" t="s">
        <v>1516</v>
      </c>
      <c r="C375" s="52" t="s">
        <v>3684</v>
      </c>
      <c r="E375" s="52"/>
      <c r="F375" s="2911">
        <f>'Part IV-A-Uses of Funds'!J182</f>
        <v>625000</v>
      </c>
      <c r="G375" s="2912"/>
      <c r="H375" s="52" t="s">
        <v>3685</v>
      </c>
      <c r="I375" s="52"/>
      <c r="J375" s="1466" t="str">
        <f>IF(F375&gt;'DCA Underwriting Assumptions'!$Q$146, "Request exceeds DCA per project maximum for set aside!!!","")</f>
        <v>Request exceeds DCA per project maximum for set aside!!!</v>
      </c>
      <c r="K375" s="856"/>
      <c r="L375" s="52"/>
      <c r="O375" s="455" t="s">
        <v>1516</v>
      </c>
      <c r="P375" s="2257"/>
      <c r="Q375" s="517"/>
      <c r="AE375" s="50"/>
      <c r="AF375" s="50"/>
    </row>
    <row r="376" spans="1:32" s="42" customFormat="1" ht="11.25" customHeight="1">
      <c r="A376" s="47"/>
      <c r="B376" s="40" t="s">
        <v>1517</v>
      </c>
      <c r="C376" s="52" t="s">
        <v>4564</v>
      </c>
      <c r="E376" s="52"/>
      <c r="F376" s="52"/>
      <c r="G376" s="52"/>
      <c r="H376" s="52" t="s">
        <v>4359</v>
      </c>
      <c r="I376" s="52"/>
      <c r="J376" s="2920"/>
      <c r="K376" s="2921"/>
      <c r="L376" s="4140"/>
      <c r="M376" s="4141"/>
      <c r="AE376" s="50"/>
      <c r="AF376" s="50"/>
    </row>
    <row r="377" spans="1:32" s="42" customFormat="1" ht="11.25" customHeight="1">
      <c r="B377" s="40" t="s">
        <v>96</v>
      </c>
      <c r="C377" s="52" t="s">
        <v>3686</v>
      </c>
      <c r="E377" s="133"/>
      <c r="F377" s="133"/>
      <c r="G377" s="133"/>
      <c r="H377" s="133"/>
      <c r="I377" s="133"/>
      <c r="J377" s="133"/>
      <c r="K377" s="133"/>
      <c r="L377" s="133"/>
      <c r="O377" s="455" t="s">
        <v>96</v>
      </c>
      <c r="P377" s="2257"/>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4394</v>
      </c>
      <c r="E379" s="2380"/>
      <c r="F379" s="2380"/>
      <c r="G379" s="2380"/>
      <c r="H379" s="2380"/>
      <c r="P379" s="2257"/>
      <c r="Q379" s="517"/>
      <c r="AE379" s="50"/>
      <c r="AF379" s="50"/>
    </row>
    <row r="380" spans="1:32" s="42" customFormat="1" ht="11.25" customHeight="1">
      <c r="B380" s="40"/>
      <c r="C380" s="856"/>
      <c r="E380" s="2380"/>
      <c r="F380" s="2380"/>
      <c r="G380" s="2380"/>
      <c r="H380" s="2380"/>
      <c r="J380" s="2743" t="s">
        <v>3691</v>
      </c>
      <c r="K380" s="2743"/>
      <c r="L380" s="2743"/>
      <c r="M380" s="2743"/>
      <c r="N380" s="2697" t="s">
        <v>3689</v>
      </c>
      <c r="O380" s="2697"/>
      <c r="AE380" s="50"/>
      <c r="AF380" s="50"/>
    </row>
    <row r="381" spans="1:32" s="42" customFormat="1" ht="11.25" customHeight="1">
      <c r="A381" s="1476"/>
      <c r="B381" s="40" t="s">
        <v>1695</v>
      </c>
      <c r="C381" s="856" t="s">
        <v>3688</v>
      </c>
      <c r="E381" s="133"/>
      <c r="F381" s="133"/>
      <c r="G381" s="133"/>
      <c r="H381" s="133"/>
      <c r="I381" s="455" t="s">
        <v>1695</v>
      </c>
      <c r="J381" s="2913"/>
      <c r="K381" s="2914"/>
      <c r="L381" s="4142"/>
      <c r="M381" s="4143"/>
      <c r="N381" s="1056" t="str">
        <f>IF(J381="","",(J381-J373)/J381)</f>
        <v/>
      </c>
      <c r="O381" s="1057" t="str">
        <f>IF(L381="","",(L381-L373)/L381)</f>
        <v/>
      </c>
      <c r="P381" s="2262"/>
      <c r="Q381" s="1553"/>
      <c r="AE381" s="50"/>
      <c r="AF381" s="50"/>
    </row>
    <row r="382" spans="1:32" s="42" customFormat="1" ht="11.25" customHeight="1">
      <c r="A382" s="1476"/>
      <c r="B382" s="40" t="s">
        <v>1696</v>
      </c>
      <c r="C382" s="52" t="s">
        <v>3690</v>
      </c>
      <c r="E382" s="133"/>
      <c r="F382" s="133"/>
      <c r="G382" s="133"/>
      <c r="H382" s="133"/>
      <c r="N382" s="133"/>
      <c r="O382" s="455" t="s">
        <v>1696</v>
      </c>
      <c r="P382" s="2274"/>
      <c r="Q382" s="4144"/>
      <c r="AE382" s="50"/>
      <c r="AF382" s="50"/>
    </row>
    <row r="383" spans="1:32" s="42" customFormat="1" ht="11.25" customHeight="1">
      <c r="B383" s="40" t="s">
        <v>2304</v>
      </c>
      <c r="C383" s="52" t="s">
        <v>3692</v>
      </c>
      <c r="E383" s="133"/>
      <c r="F383" s="133"/>
      <c r="G383" s="133"/>
      <c r="H383" s="133"/>
      <c r="M383" s="133"/>
      <c r="N383" s="133"/>
      <c r="O383" s="455" t="s">
        <v>2304</v>
      </c>
      <c r="P383" s="2256"/>
      <c r="Q383" s="520"/>
      <c r="AE383" s="50"/>
      <c r="AF383" s="50"/>
    </row>
    <row r="384" spans="1:32" ht="10.5" customHeight="1">
      <c r="B384" s="140" t="s">
        <v>3565</v>
      </c>
      <c r="D384" s="140"/>
      <c r="E384" s="140"/>
      <c r="F384" s="140"/>
      <c r="G384" s="140"/>
      <c r="H384" s="40"/>
      <c r="I384" s="2397"/>
      <c r="J384" s="2397"/>
      <c r="K384" s="2397"/>
      <c r="L384" s="2374"/>
      <c r="M384" s="2374"/>
      <c r="N384" s="2374"/>
      <c r="O384" s="2374"/>
      <c r="P384" s="2374"/>
      <c r="Q384" s="855"/>
    </row>
    <row r="385" spans="1:31" ht="15" customHeight="1">
      <c r="A385" s="2707" t="s">
        <v>7055</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76"/>
      <c r="E386" s="2376"/>
      <c r="F386" s="2376"/>
      <c r="G386" s="2376"/>
      <c r="H386" s="2376"/>
      <c r="I386" s="2376"/>
      <c r="J386" s="2376"/>
      <c r="K386" s="2376"/>
      <c r="L386" s="2376"/>
      <c r="M386" s="2376"/>
      <c r="N386" s="2376"/>
      <c r="O386" s="2376"/>
      <c r="P386" s="2376"/>
      <c r="Q386" s="2376"/>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4"/>
      <c r="B388" s="2397"/>
      <c r="C388" s="2376"/>
      <c r="D388" s="2376"/>
      <c r="E388" s="2376"/>
      <c r="F388" s="2376"/>
      <c r="G388" s="2376"/>
      <c r="H388" s="2376"/>
      <c r="I388" s="2376"/>
      <c r="J388" s="2376"/>
      <c r="K388" s="2376"/>
      <c r="L388" s="2376"/>
      <c r="M388" s="2376"/>
      <c r="Q388" s="855"/>
    </row>
    <row r="389" spans="1:31" ht="3" customHeight="1">
      <c r="A389" s="2374"/>
      <c r="B389" s="2397"/>
      <c r="C389" s="2376"/>
      <c r="D389" s="2376"/>
      <c r="E389" s="2376"/>
      <c r="F389" s="2376"/>
      <c r="G389" s="2376"/>
      <c r="H389" s="2376"/>
      <c r="I389" s="2376"/>
      <c r="J389" s="2376"/>
      <c r="K389" s="2376"/>
      <c r="L389" s="2376"/>
      <c r="M389" s="2376"/>
      <c r="Q389" s="855"/>
    </row>
    <row r="390" spans="1:31" ht="14.1" customHeight="1">
      <c r="A390" s="2369" t="s">
        <v>3792</v>
      </c>
      <c r="B390" s="4" t="s">
        <v>2607</v>
      </c>
      <c r="C390" s="4"/>
      <c r="D390" s="4"/>
      <c r="E390" s="4"/>
      <c r="F390" s="4"/>
      <c r="G390" s="4"/>
      <c r="H390" s="2376"/>
      <c r="I390" s="2376"/>
      <c r="J390" s="2376"/>
      <c r="O390" s="131" t="s">
        <v>1820</v>
      </c>
      <c r="P390" s="2718"/>
      <c r="Q390" s="2719"/>
    </row>
    <row r="391" spans="1:31" ht="11.4" customHeight="1">
      <c r="A391" s="47" t="s">
        <v>1935</v>
      </c>
      <c r="B391" s="117" t="s">
        <v>1012</v>
      </c>
      <c r="E391" s="2774"/>
      <c r="F391" s="2775"/>
      <c r="G391" s="2775"/>
      <c r="H391" s="2775"/>
      <c r="I391" s="2776"/>
      <c r="J391" s="2777" t="s">
        <v>2594</v>
      </c>
      <c r="K391" s="2778"/>
      <c r="L391" s="2779"/>
      <c r="M391" s="2774"/>
      <c r="N391" s="2775"/>
      <c r="O391" s="2775"/>
      <c r="P391" s="2775"/>
      <c r="Q391" s="2776"/>
    </row>
    <row r="392" spans="1:31" ht="11.4" customHeight="1">
      <c r="A392" s="47" t="s">
        <v>1937</v>
      </c>
      <c r="B392" s="52" t="s">
        <v>3346</v>
      </c>
      <c r="D392" s="52"/>
      <c r="E392" s="52"/>
      <c r="F392" s="52"/>
      <c r="G392" s="52"/>
      <c r="H392" s="52"/>
      <c r="I392" s="52"/>
      <c r="J392" s="52"/>
      <c r="K392" s="52"/>
      <c r="L392" s="856"/>
      <c r="M392" s="856"/>
      <c r="O392" s="455" t="s">
        <v>1937</v>
      </c>
      <c r="P392" s="2254"/>
      <c r="Q392" s="518"/>
    </row>
    <row r="393" spans="1:31" ht="22.5" customHeight="1">
      <c r="A393" s="141" t="s">
        <v>731</v>
      </c>
      <c r="B393" s="2710" t="s">
        <v>3355</v>
      </c>
      <c r="C393" s="2710"/>
      <c r="D393" s="2710"/>
      <c r="E393" s="2710"/>
      <c r="F393" s="2710"/>
      <c r="G393" s="2710"/>
      <c r="H393" s="2710"/>
      <c r="I393" s="2710"/>
      <c r="J393" s="2710"/>
      <c r="K393" s="2710"/>
      <c r="L393" s="2710"/>
      <c r="M393" s="2710"/>
      <c r="N393" s="2710"/>
      <c r="O393" s="160" t="s">
        <v>731</v>
      </c>
      <c r="P393" s="2379"/>
      <c r="Q393" s="2378"/>
    </row>
    <row r="394" spans="1:31">
      <c r="A394" s="47" t="s">
        <v>2064</v>
      </c>
      <c r="B394" s="55" t="s">
        <v>3518</v>
      </c>
      <c r="G394" s="2380"/>
      <c r="H394" s="2380"/>
      <c r="I394" s="2380"/>
      <c r="J394" s="856" t="s">
        <v>3519</v>
      </c>
      <c r="L394" s="2380"/>
      <c r="M394" s="2751">
        <f>'Part III-Sources of Funds'!H5</f>
        <v>0</v>
      </c>
      <c r="N394" s="2752"/>
      <c r="O394" s="455" t="s">
        <v>2064</v>
      </c>
      <c r="P394" s="2256"/>
      <c r="Q394" s="520"/>
    </row>
    <row r="395" spans="1:31" ht="11.25" customHeight="1">
      <c r="B395" s="140" t="s">
        <v>3565</v>
      </c>
      <c r="D395" s="140"/>
      <c r="E395" s="140"/>
      <c r="F395" s="140"/>
      <c r="G395" s="140"/>
      <c r="H395" s="40"/>
      <c r="I395" s="2397"/>
      <c r="J395" s="2397"/>
      <c r="K395" s="2397"/>
      <c r="L395" s="2374"/>
      <c r="M395" s="2374"/>
      <c r="N395" s="2374"/>
      <c r="O395" s="2374"/>
      <c r="P395" s="2374"/>
      <c r="Q395" s="855"/>
    </row>
    <row r="396" spans="1:31" ht="11.4" customHeight="1">
      <c r="A396" s="2707" t="s">
        <v>7055</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6"/>
      <c r="E397" s="2376"/>
      <c r="F397" s="2376"/>
      <c r="G397" s="2376"/>
      <c r="H397" s="2376"/>
      <c r="I397" s="2376"/>
      <c r="J397" s="2376"/>
      <c r="K397" s="2376"/>
      <c r="L397" s="2376"/>
      <c r="M397" s="2376"/>
      <c r="N397" s="2376"/>
      <c r="O397" s="2376"/>
      <c r="P397" s="2376"/>
      <c r="Q397" s="2376"/>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4"/>
      <c r="B399" s="2397"/>
      <c r="C399" s="2376"/>
      <c r="D399" s="2376"/>
      <c r="E399" s="2376"/>
      <c r="F399" s="2376"/>
      <c r="G399" s="2376"/>
      <c r="H399" s="2376"/>
      <c r="I399" s="2376"/>
      <c r="J399" s="2376"/>
      <c r="K399" s="2376"/>
      <c r="L399" s="2376"/>
      <c r="M399" s="2376"/>
      <c r="Q399" s="855"/>
    </row>
    <row r="400" spans="1:31" ht="14.1" customHeight="1">
      <c r="A400" s="2369" t="s">
        <v>3793</v>
      </c>
      <c r="B400" s="4" t="s">
        <v>2592</v>
      </c>
      <c r="C400" s="4"/>
      <c r="D400" s="4"/>
      <c r="E400" s="2376"/>
      <c r="G400" s="139" t="s">
        <v>683</v>
      </c>
      <c r="H400" s="2376"/>
      <c r="I400" s="2376"/>
      <c r="J400" s="2376"/>
      <c r="K400" s="2376"/>
      <c r="L400" s="2376"/>
      <c r="M400" s="2376"/>
      <c r="O400" s="131" t="s">
        <v>1820</v>
      </c>
      <c r="P400" s="2718"/>
      <c r="Q400" s="4145"/>
    </row>
    <row r="401" spans="1:31" ht="12" customHeight="1">
      <c r="A401" s="47" t="s">
        <v>1935</v>
      </c>
      <c r="B401" s="52" t="s">
        <v>2596</v>
      </c>
      <c r="D401" s="857"/>
      <c r="E401" s="857"/>
      <c r="O401" s="455" t="s">
        <v>1935</v>
      </c>
      <c r="P401" s="2254"/>
      <c r="Q401" s="518"/>
    </row>
    <row r="402" spans="1:31" ht="12" customHeight="1">
      <c r="A402" s="47" t="s">
        <v>1937</v>
      </c>
      <c r="B402" s="52" t="s">
        <v>3442</v>
      </c>
      <c r="D402" s="857"/>
      <c r="E402" s="857"/>
      <c r="O402" s="455" t="s">
        <v>1937</v>
      </c>
      <c r="P402" s="2255"/>
      <c r="Q402" s="519"/>
    </row>
    <row r="403" spans="1:31" ht="12" customHeight="1">
      <c r="A403" s="47" t="s">
        <v>731</v>
      </c>
      <c r="B403" s="52" t="s">
        <v>4712</v>
      </c>
      <c r="D403" s="857"/>
      <c r="E403" s="857"/>
      <c r="O403" s="455" t="s">
        <v>731</v>
      </c>
      <c r="P403" s="2255"/>
      <c r="Q403" s="519"/>
    </row>
    <row r="404" spans="1:31" ht="12" customHeight="1">
      <c r="A404" s="47" t="s">
        <v>2064</v>
      </c>
      <c r="B404" s="52" t="s">
        <v>3443</v>
      </c>
      <c r="E404" s="139"/>
      <c r="O404" s="455" t="s">
        <v>2064</v>
      </c>
      <c r="P404" s="2255"/>
      <c r="Q404" s="519"/>
    </row>
    <row r="405" spans="1:31" ht="12" customHeight="1">
      <c r="A405" s="47" t="s">
        <v>1692</v>
      </c>
      <c r="B405" s="52" t="s">
        <v>2030</v>
      </c>
      <c r="E405" s="139"/>
      <c r="G405" s="455" t="s">
        <v>1692</v>
      </c>
      <c r="H405" s="2745"/>
      <c r="I405" s="2746"/>
      <c r="J405" s="2746"/>
      <c r="K405" s="2746"/>
      <c r="L405" s="2746"/>
      <c r="M405" s="2746"/>
      <c r="N405" s="2746"/>
      <c r="O405" s="2747"/>
      <c r="P405" s="2256"/>
      <c r="Q405" s="520"/>
    </row>
    <row r="406" spans="1:31" ht="11.25" customHeight="1">
      <c r="B406" s="140" t="s">
        <v>3565</v>
      </c>
      <c r="D406" s="140"/>
      <c r="E406" s="140"/>
      <c r="F406" s="140"/>
      <c r="G406" s="140"/>
      <c r="H406" s="40"/>
      <c r="I406" s="2397"/>
      <c r="J406" s="2397"/>
      <c r="K406" s="2397"/>
      <c r="L406" s="2374"/>
      <c r="M406" s="2374"/>
      <c r="N406" s="2374"/>
      <c r="O406" s="2374"/>
      <c r="P406" s="2374"/>
      <c r="Q406" s="855"/>
    </row>
    <row r="407" spans="1:31" ht="11.4" customHeight="1">
      <c r="A407" s="2707" t="s">
        <v>7055</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6"/>
      <c r="E408" s="2376"/>
      <c r="F408" s="2376"/>
      <c r="G408" s="2376"/>
      <c r="H408" s="2376"/>
      <c r="I408" s="2376"/>
      <c r="J408" s="2376"/>
      <c r="K408" s="2376"/>
      <c r="L408" s="2376"/>
      <c r="M408" s="2376"/>
      <c r="N408" s="2376"/>
      <c r="O408" s="2376"/>
      <c r="P408" s="2376"/>
      <c r="Q408" s="2376"/>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4"/>
      <c r="B410" s="2397"/>
      <c r="C410" s="2376"/>
      <c r="D410" s="2376"/>
      <c r="E410" s="2376"/>
      <c r="F410" s="2376"/>
      <c r="G410" s="2376"/>
      <c r="H410" s="2376"/>
      <c r="I410" s="2376"/>
      <c r="J410" s="2376"/>
      <c r="K410" s="2376"/>
      <c r="L410" s="2376"/>
      <c r="M410" s="2376"/>
      <c r="N410" s="2376"/>
      <c r="O410" s="2376"/>
      <c r="P410" s="2376"/>
      <c r="Q410" s="2374"/>
    </row>
    <row r="411" spans="1:31" ht="14.1" customHeight="1">
      <c r="A411" s="2369" t="s">
        <v>3794</v>
      </c>
      <c r="B411" s="4" t="s">
        <v>4534</v>
      </c>
      <c r="C411" s="4"/>
      <c r="D411" s="4"/>
      <c r="E411" s="4"/>
      <c r="F411" s="4"/>
      <c r="G411" s="4"/>
      <c r="H411" s="2376"/>
      <c r="I411" s="2376"/>
      <c r="J411" s="2376"/>
      <c r="K411" s="2376"/>
      <c r="L411" s="2376"/>
      <c r="M411" s="2376"/>
      <c r="O411" s="131" t="s">
        <v>1820</v>
      </c>
      <c r="P411" s="4146"/>
      <c r="Q411" s="4147"/>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4" t="s">
        <v>2888</v>
      </c>
      <c r="Q413" s="518"/>
    </row>
    <row r="414" spans="1:31" ht="12" customHeight="1">
      <c r="C414" s="36" t="s">
        <v>4713</v>
      </c>
      <c r="D414" s="55" t="s">
        <v>4714</v>
      </c>
      <c r="E414" s="42"/>
      <c r="F414" s="42"/>
      <c r="G414" s="42"/>
      <c r="H414" s="42"/>
      <c r="I414" s="42"/>
      <c r="J414" s="42"/>
      <c r="K414" s="42"/>
      <c r="L414" s="42"/>
      <c r="M414" s="42"/>
      <c r="N414" s="42"/>
      <c r="O414" s="455" t="s">
        <v>2371</v>
      </c>
      <c r="P414" s="2255" t="s">
        <v>2885</v>
      </c>
      <c r="Q414" s="519"/>
    </row>
    <row r="415" spans="1:31" ht="12" customHeight="1">
      <c r="B415" s="52"/>
      <c r="C415" s="52" t="s">
        <v>2372</v>
      </c>
      <c r="D415" s="55" t="s">
        <v>4715</v>
      </c>
      <c r="E415" s="42"/>
      <c r="F415" s="42"/>
      <c r="G415" s="42"/>
      <c r="H415" s="42"/>
      <c r="I415" s="42"/>
      <c r="J415" s="42"/>
      <c r="K415" s="42"/>
      <c r="L415" s="42"/>
      <c r="M415" s="42"/>
      <c r="N415" s="42"/>
      <c r="O415" s="64" t="s">
        <v>2372</v>
      </c>
      <c r="P415" s="2256"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3356</v>
      </c>
      <c r="E417" s="52"/>
      <c r="F417" s="52"/>
      <c r="G417" s="52"/>
      <c r="H417" s="52"/>
      <c r="I417" s="52"/>
      <c r="J417" s="52"/>
      <c r="K417" s="52"/>
      <c r="L417" s="52"/>
      <c r="M417" s="52"/>
      <c r="N417" s="42"/>
      <c r="O417" s="64" t="s">
        <v>2373</v>
      </c>
      <c r="P417" s="2254"/>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5" t="s">
        <v>2888</v>
      </c>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5"/>
      <c r="Q419" s="519"/>
    </row>
    <row r="420" spans="1:32" ht="12" customHeight="1">
      <c r="A420" s="47"/>
      <c r="B420" s="1593" t="s">
        <v>2467</v>
      </c>
      <c r="C420" s="2710" t="s">
        <v>2718</v>
      </c>
      <c r="D420" s="2710"/>
      <c r="E420" s="2710"/>
      <c r="F420" s="2710"/>
      <c r="G420" s="134" t="s">
        <v>4542</v>
      </c>
      <c r="J420" s="2275"/>
      <c r="K420" s="4148"/>
      <c r="M420" s="134" t="s">
        <v>4543</v>
      </c>
      <c r="P420" s="2276"/>
      <c r="Q420" s="4149"/>
    </row>
    <row r="421" spans="1:32" ht="12" customHeight="1">
      <c r="A421" s="47"/>
      <c r="C421" s="2710"/>
      <c r="D421" s="2710"/>
      <c r="E421" s="2710"/>
      <c r="F421" s="2710"/>
      <c r="G421" s="134" t="s">
        <v>4544</v>
      </c>
      <c r="J421" s="2276"/>
      <c r="K421" s="4149"/>
      <c r="M421" s="134" t="s">
        <v>4545</v>
      </c>
      <c r="P421" s="2277"/>
      <c r="Q421" s="4150"/>
    </row>
    <row r="422" spans="1:32" ht="12" customHeight="1">
      <c r="A422" s="47"/>
      <c r="C422" s="2710"/>
      <c r="D422" s="2710"/>
      <c r="E422" s="2710"/>
      <c r="F422" s="2710"/>
      <c r="G422" s="134" t="s">
        <v>4546</v>
      </c>
      <c r="J422" s="2277"/>
      <c r="K422" s="4150"/>
      <c r="L422" s="856"/>
      <c r="M422" s="42"/>
      <c r="N422" s="455"/>
    </row>
    <row r="423" spans="1:32" ht="12" customHeight="1">
      <c r="A423" s="47"/>
      <c r="B423" s="1593" t="s">
        <v>1198</v>
      </c>
      <c r="C423" s="856" t="s">
        <v>4368</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4"/>
      <c r="K424" s="518"/>
      <c r="L424" s="856"/>
      <c r="M424" s="427" t="s">
        <v>4540</v>
      </c>
    </row>
    <row r="425" spans="1:32" ht="12" customHeight="1">
      <c r="A425" s="42"/>
      <c r="G425" s="427" t="s">
        <v>4536</v>
      </c>
      <c r="H425" s="856"/>
      <c r="I425" s="856"/>
      <c r="J425" s="2255"/>
      <c r="K425" s="519"/>
      <c r="M425" s="2756"/>
      <c r="N425" s="2757"/>
      <c r="O425" s="2757"/>
      <c r="P425" s="2757"/>
      <c r="Q425" s="2758"/>
    </row>
    <row r="426" spans="1:32" ht="12" customHeight="1">
      <c r="A426" s="42"/>
      <c r="G426" s="427" t="s">
        <v>4537</v>
      </c>
      <c r="H426" s="856"/>
      <c r="J426" s="2256"/>
      <c r="K426" s="520"/>
      <c r="M426" s="2759"/>
      <c r="N426" s="2760"/>
      <c r="O426" s="2760"/>
      <c r="P426" s="2760"/>
      <c r="Q426" s="2761"/>
    </row>
    <row r="427" spans="1:32" ht="12" customHeight="1">
      <c r="A427" s="47"/>
      <c r="B427" s="427"/>
      <c r="C427" s="856" t="s">
        <v>4548</v>
      </c>
      <c r="D427" s="147"/>
      <c r="E427" s="856"/>
      <c r="F427" s="856"/>
      <c r="L427" s="856"/>
      <c r="M427" s="856"/>
      <c r="O427" s="455" t="s">
        <v>1695</v>
      </c>
      <c r="P427" s="2257" t="s">
        <v>1727</v>
      </c>
      <c r="Q427" s="517" t="s">
        <v>1727</v>
      </c>
    </row>
    <row r="428" spans="1:32" ht="12" customHeight="1">
      <c r="A428" s="42"/>
      <c r="B428" s="147"/>
      <c r="D428" s="1438" t="s">
        <v>2394</v>
      </c>
      <c r="E428" s="427" t="s">
        <v>3644</v>
      </c>
      <c r="F428" s="856"/>
      <c r="G428" s="2768"/>
      <c r="H428" s="2769"/>
      <c r="I428" s="2769"/>
      <c r="J428" s="2769"/>
      <c r="K428" s="2770"/>
      <c r="L428" s="1438"/>
    </row>
    <row r="429" spans="1:32" ht="12" customHeight="1">
      <c r="B429" s="147"/>
      <c r="D429" s="1438" t="s">
        <v>4538</v>
      </c>
      <c r="E429" s="427" t="s">
        <v>4539</v>
      </c>
      <c r="F429" s="1438"/>
      <c r="G429" s="2771" t="s">
        <v>3521</v>
      </c>
      <c r="H429" s="2772"/>
      <c r="I429" s="2773"/>
      <c r="J429" s="427" t="s">
        <v>4275</v>
      </c>
      <c r="K429" s="147"/>
      <c r="M429" s="2768"/>
      <c r="N429" s="2769"/>
      <c r="O429" s="2769"/>
      <c r="P429" s="2769"/>
      <c r="Q429" s="2770"/>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12" customHeight="1">
      <c r="B431" s="2748" t="s">
        <v>7055</v>
      </c>
      <c r="C431" s="2749"/>
      <c r="D431" s="2749"/>
      <c r="E431" s="2749"/>
      <c r="F431" s="2749"/>
      <c r="G431" s="2749"/>
      <c r="H431" s="2749"/>
      <c r="I431" s="2749"/>
      <c r="J431" s="2749"/>
      <c r="K431" s="2749"/>
      <c r="L431" s="2749"/>
      <c r="M431" s="2749"/>
      <c r="N431" s="2749"/>
      <c r="O431" s="2749"/>
      <c r="P431" s="2749"/>
      <c r="Q431" s="2750"/>
      <c r="R431" s="440" t="s">
        <v>4270</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2" t="s">
        <v>4716</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4549</v>
      </c>
      <c r="C434" s="2376"/>
      <c r="D434" s="2376"/>
      <c r="E434" s="2376"/>
      <c r="F434" s="2376"/>
      <c r="G434" s="2376"/>
      <c r="H434" s="2376"/>
      <c r="I434" s="2376"/>
      <c r="J434" s="2376"/>
      <c r="K434" s="2376"/>
      <c r="L434" s="2376"/>
      <c r="M434" s="2376"/>
      <c r="N434" s="2376"/>
      <c r="T434" s="459"/>
      <c r="AE434" s="459"/>
      <c r="AF434" s="459"/>
    </row>
    <row r="435" spans="1:32" s="147" customFormat="1" ht="48" customHeight="1">
      <c r="B435" s="2710" t="s">
        <v>4550</v>
      </c>
      <c r="C435" s="2710"/>
      <c r="D435" s="2710"/>
      <c r="E435" s="2710"/>
      <c r="F435" s="2710"/>
      <c r="G435" s="2710"/>
      <c r="H435" s="2710"/>
      <c r="I435" s="2710"/>
      <c r="J435" s="2710"/>
      <c r="K435" s="2710"/>
      <c r="L435" s="2710"/>
      <c r="M435" s="2710"/>
      <c r="N435" s="2710"/>
      <c r="O435" s="160" t="s">
        <v>1937</v>
      </c>
      <c r="P435" s="2278"/>
      <c r="Q435" s="4151"/>
      <c r="T435" s="459"/>
      <c r="AE435" s="459"/>
      <c r="AF435" s="459"/>
    </row>
    <row r="436" spans="1:32" ht="12" customHeight="1">
      <c r="B436" s="140" t="s">
        <v>3565</v>
      </c>
      <c r="D436" s="140"/>
      <c r="E436" s="140"/>
      <c r="F436" s="140"/>
      <c r="G436" s="140"/>
      <c r="H436" s="40"/>
      <c r="I436" s="2397"/>
      <c r="J436" s="2397"/>
      <c r="K436" s="2397"/>
    </row>
    <row r="437" spans="1:32" ht="11.25" customHeight="1">
      <c r="A437" s="2707" t="s">
        <v>7055</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76"/>
      <c r="E438" s="2376"/>
      <c r="F438" s="2376"/>
      <c r="G438" s="2376"/>
      <c r="H438" s="2376"/>
      <c r="I438" s="2376"/>
      <c r="J438" s="2376"/>
      <c r="K438" s="2376"/>
      <c r="L438" s="2376"/>
      <c r="M438" s="2376"/>
      <c r="N438" s="2376"/>
      <c r="O438" s="2376"/>
      <c r="P438" s="2376"/>
      <c r="Q438" s="2376"/>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4"/>
      <c r="B440" s="2397"/>
      <c r="C440" s="2376"/>
      <c r="D440" s="2376"/>
      <c r="E440" s="2376"/>
      <c r="F440" s="2376"/>
      <c r="G440" s="2376"/>
      <c r="H440" s="2376"/>
      <c r="I440" s="2376"/>
      <c r="J440" s="2376"/>
      <c r="K440" s="2376"/>
      <c r="L440" s="2376"/>
      <c r="M440" s="2376"/>
      <c r="Q440" s="855"/>
    </row>
    <row r="441" spans="1:32" ht="14.1" customHeight="1">
      <c r="A441" s="2369" t="s">
        <v>3795</v>
      </c>
      <c r="B441" s="4" t="s">
        <v>2719</v>
      </c>
      <c r="C441" s="4"/>
      <c r="D441" s="86"/>
      <c r="E441" s="2376"/>
      <c r="F441" s="2376"/>
      <c r="G441" s="2376"/>
      <c r="H441" s="2376"/>
      <c r="O441" s="131" t="s">
        <v>1820</v>
      </c>
      <c r="P441" s="2718"/>
      <c r="Q441" s="2719"/>
    </row>
    <row r="442" spans="1:32" ht="14.1" customHeight="1">
      <c r="B442" s="86" t="s">
        <v>4459</v>
      </c>
      <c r="C442" s="4"/>
      <c r="D442" s="86"/>
      <c r="E442" s="2376"/>
      <c r="F442" s="2376"/>
      <c r="G442" s="2376"/>
      <c r="H442" s="2376"/>
    </row>
    <row r="443" spans="1:32" s="132" customFormat="1" ht="21.75" customHeight="1">
      <c r="A443" s="141" t="s">
        <v>1935</v>
      </c>
      <c r="B443" s="2720" t="s">
        <v>3694</v>
      </c>
      <c r="C443" s="2720"/>
      <c r="D443" s="2720"/>
      <c r="E443" s="2720"/>
      <c r="F443" s="2720"/>
      <c r="G443" s="2720"/>
      <c r="H443" s="2720"/>
      <c r="I443" s="2720"/>
      <c r="J443" s="2720"/>
      <c r="K443" s="2720"/>
      <c r="L443" s="2720"/>
      <c r="M443" s="2720"/>
      <c r="N443" s="2720"/>
      <c r="O443" s="160" t="s">
        <v>1935</v>
      </c>
      <c r="P443" s="2266" t="s">
        <v>7043</v>
      </c>
      <c r="Q443" s="1088"/>
      <c r="AE443" s="458"/>
      <c r="AF443" s="458"/>
    </row>
    <row r="444" spans="1:32" s="132" customFormat="1" ht="22.5" customHeight="1">
      <c r="A444" s="141" t="s">
        <v>1937</v>
      </c>
      <c r="B444" s="2720" t="s">
        <v>3693</v>
      </c>
      <c r="C444" s="2720"/>
      <c r="D444" s="2720"/>
      <c r="E444" s="2720"/>
      <c r="F444" s="2720"/>
      <c r="G444" s="2720"/>
      <c r="H444" s="2720"/>
      <c r="I444" s="2720"/>
      <c r="J444" s="2720"/>
      <c r="K444" s="2720"/>
      <c r="L444" s="2720"/>
      <c r="M444" s="2720"/>
      <c r="N444" s="2720"/>
      <c r="O444" s="160" t="s">
        <v>1937</v>
      </c>
      <c r="P444" s="2379" t="s">
        <v>7043</v>
      </c>
      <c r="Q444" s="2378"/>
      <c r="AE444" s="458"/>
      <c r="AF444" s="458"/>
    </row>
    <row r="445" spans="1:32" s="132" customFormat="1" ht="22.5" customHeight="1">
      <c r="B445" s="1488" t="s">
        <v>1694</v>
      </c>
      <c r="C445" s="2720" t="s">
        <v>4416</v>
      </c>
      <c r="D445" s="2720"/>
      <c r="E445" s="2720"/>
      <c r="F445" s="2720"/>
      <c r="G445" s="2720"/>
      <c r="H445" s="2720"/>
      <c r="I445" s="2720"/>
      <c r="J445" s="2720"/>
      <c r="K445" s="2720"/>
      <c r="L445" s="2720"/>
      <c r="M445" s="2720"/>
      <c r="N445" s="2720"/>
      <c r="O445" s="160" t="s">
        <v>1694</v>
      </c>
      <c r="P445" s="2379" t="s">
        <v>7043</v>
      </c>
      <c r="Q445" s="2378"/>
      <c r="AE445" s="458"/>
      <c r="AF445" s="458"/>
    </row>
    <row r="446" spans="1:32" s="42" customFormat="1" ht="12" customHeight="1">
      <c r="B446" s="1488" t="s">
        <v>1695</v>
      </c>
      <c r="C446" s="36" t="s">
        <v>4417</v>
      </c>
      <c r="D446" s="1065"/>
      <c r="E446" s="1065"/>
      <c r="F446" s="1065"/>
      <c r="G446" s="1065"/>
      <c r="H446" s="1065"/>
      <c r="I446" s="1065"/>
      <c r="J446" s="1065"/>
      <c r="K446" s="1065"/>
      <c r="L446" s="1065"/>
      <c r="M446" s="1065"/>
      <c r="N446" s="1065"/>
      <c r="O446" s="455" t="s">
        <v>1695</v>
      </c>
      <c r="P446" s="2255" t="s">
        <v>7043</v>
      </c>
      <c r="Q446" s="519"/>
      <c r="AE446" s="50"/>
      <c r="AF446" s="50"/>
    </row>
    <row r="447" spans="1:32" s="132" customFormat="1" ht="33" customHeight="1">
      <c r="B447" s="468" t="s">
        <v>1696</v>
      </c>
      <c r="C447" s="2720" t="s">
        <v>4418</v>
      </c>
      <c r="D447" s="2720"/>
      <c r="E447" s="2720"/>
      <c r="F447" s="2720"/>
      <c r="G447" s="2720"/>
      <c r="H447" s="2720"/>
      <c r="I447" s="2720"/>
      <c r="J447" s="2720"/>
      <c r="K447" s="2720"/>
      <c r="L447" s="2720"/>
      <c r="M447" s="2720"/>
      <c r="N447" s="2720"/>
      <c r="O447" s="160" t="s">
        <v>1696</v>
      </c>
      <c r="P447" s="2379" t="s">
        <v>7043</v>
      </c>
      <c r="Q447" s="2378"/>
      <c r="AE447" s="458"/>
      <c r="AF447" s="458"/>
    </row>
    <row r="448" spans="1:32" s="132" customFormat="1" ht="22.5" customHeight="1">
      <c r="B448" s="468" t="s">
        <v>2304</v>
      </c>
      <c r="C448" s="2720" t="s">
        <v>4419</v>
      </c>
      <c r="D448" s="2720"/>
      <c r="E448" s="2720"/>
      <c r="F448" s="2720"/>
      <c r="G448" s="2720"/>
      <c r="H448" s="2720"/>
      <c r="I448" s="2720"/>
      <c r="J448" s="2720"/>
      <c r="K448" s="2720"/>
      <c r="L448" s="2720"/>
      <c r="M448" s="2720"/>
      <c r="N448" s="2720"/>
      <c r="O448" s="160" t="s">
        <v>2304</v>
      </c>
      <c r="P448" s="2379" t="s">
        <v>7043</v>
      </c>
      <c r="Q448" s="2378"/>
      <c r="AE448" s="458"/>
      <c r="AF448" s="458"/>
    </row>
    <row r="449" spans="1:32" s="132" customFormat="1" ht="22.5" customHeight="1">
      <c r="A449" s="141" t="s">
        <v>731</v>
      </c>
      <c r="B449" s="2720" t="s">
        <v>3695</v>
      </c>
      <c r="C449" s="2720"/>
      <c r="D449" s="2720"/>
      <c r="E449" s="2720"/>
      <c r="F449" s="2720"/>
      <c r="G449" s="2720"/>
      <c r="H449" s="2720"/>
      <c r="I449" s="2720"/>
      <c r="J449" s="2720"/>
      <c r="K449" s="2720"/>
      <c r="L449" s="2720"/>
      <c r="M449" s="2720"/>
      <c r="N449" s="2720"/>
      <c r="O449" s="160" t="s">
        <v>731</v>
      </c>
      <c r="P449" s="2379" t="s">
        <v>7043</v>
      </c>
      <c r="Q449" s="2378"/>
      <c r="AE449" s="458"/>
      <c r="AF449" s="458"/>
    </row>
    <row r="450" spans="1:32" s="132" customFormat="1" ht="22.5" customHeight="1">
      <c r="A450" s="141" t="s">
        <v>2064</v>
      </c>
      <c r="B450" s="2720" t="s">
        <v>4501</v>
      </c>
      <c r="C450" s="2720"/>
      <c r="D450" s="2720"/>
      <c r="E450" s="2720"/>
      <c r="F450" s="2720"/>
      <c r="G450" s="2720"/>
      <c r="H450" s="2720"/>
      <c r="I450" s="2720"/>
      <c r="J450" s="2720"/>
      <c r="K450" s="2720"/>
      <c r="L450" s="2720"/>
      <c r="M450" s="2720"/>
      <c r="N450" s="2720"/>
      <c r="O450" s="160" t="s">
        <v>2064</v>
      </c>
      <c r="P450" s="2379" t="s">
        <v>7043</v>
      </c>
      <c r="Q450" s="2378"/>
      <c r="AE450" s="458"/>
      <c r="AF450" s="458"/>
    </row>
    <row r="451" spans="1:32" s="132" customFormat="1" ht="21.75" customHeight="1">
      <c r="A451" s="141" t="s">
        <v>1692</v>
      </c>
      <c r="B451" s="2720" t="s">
        <v>4502</v>
      </c>
      <c r="C451" s="2720"/>
      <c r="D451" s="2720"/>
      <c r="E451" s="2720"/>
      <c r="F451" s="2720"/>
      <c r="G451" s="2720"/>
      <c r="H451" s="2720"/>
      <c r="I451" s="2720"/>
      <c r="J451" s="2720"/>
      <c r="K451" s="2720"/>
      <c r="L451" s="2720"/>
      <c r="M451" s="2720"/>
      <c r="N451" s="2720"/>
      <c r="O451" s="160" t="s">
        <v>1692</v>
      </c>
      <c r="P451" s="2379" t="s">
        <v>7043</v>
      </c>
      <c r="Q451" s="2378"/>
      <c r="AE451" s="458"/>
      <c r="AF451" s="458"/>
    </row>
    <row r="452" spans="1:32" s="411" customFormat="1" ht="21.75" customHeight="1">
      <c r="A452" s="141" t="s">
        <v>1693</v>
      </c>
      <c r="B452" s="2720" t="s">
        <v>4565</v>
      </c>
      <c r="C452" s="2720"/>
      <c r="D452" s="2720"/>
      <c r="E452" s="2720"/>
      <c r="F452" s="2720"/>
      <c r="G452" s="2720"/>
      <c r="H452" s="2720"/>
      <c r="I452" s="2720"/>
      <c r="J452" s="2720"/>
      <c r="K452" s="2720"/>
      <c r="L452" s="2720"/>
      <c r="M452" s="2720"/>
      <c r="N452" s="2720"/>
      <c r="O452" s="160" t="s">
        <v>1693</v>
      </c>
      <c r="P452" s="2387" t="s">
        <v>7043</v>
      </c>
      <c r="Q452" s="2251"/>
      <c r="AE452" s="460"/>
      <c r="AF452" s="460"/>
    </row>
    <row r="453" spans="1:32" ht="11.25" customHeight="1">
      <c r="B453" s="140" t="s">
        <v>3565</v>
      </c>
      <c r="D453" s="140"/>
      <c r="E453" s="140"/>
      <c r="F453" s="140"/>
      <c r="G453" s="140"/>
      <c r="H453" s="40"/>
      <c r="I453" s="2397"/>
      <c r="J453" s="2397"/>
      <c r="K453" s="2397"/>
      <c r="L453" s="2374"/>
      <c r="M453" s="2374"/>
      <c r="N453" s="2374"/>
      <c r="O453" s="2374"/>
      <c r="P453" s="2374"/>
      <c r="Q453" s="855"/>
    </row>
    <row r="454" spans="1:32" ht="40.5" customHeight="1">
      <c r="A454" s="2707" t="s">
        <v>7166</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6"/>
      <c r="E455" s="2376"/>
      <c r="F455" s="2376"/>
      <c r="G455" s="2376"/>
      <c r="H455" s="2376"/>
      <c r="I455" s="2376"/>
      <c r="J455" s="2376"/>
      <c r="K455" s="2376"/>
      <c r="L455" s="2376"/>
      <c r="M455" s="2376"/>
      <c r="N455" s="2376"/>
      <c r="O455" s="2376"/>
      <c r="P455" s="2376"/>
      <c r="Q455" s="2376"/>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4"/>
      <c r="B457" s="2397"/>
      <c r="C457" s="2376"/>
      <c r="D457" s="2376"/>
      <c r="E457" s="2376"/>
      <c r="F457" s="2376"/>
      <c r="G457" s="2376"/>
      <c r="H457" s="2376"/>
      <c r="I457" s="2376"/>
      <c r="J457" s="2376"/>
      <c r="K457" s="2376"/>
      <c r="L457" s="2376"/>
      <c r="M457" s="2376"/>
      <c r="Q457" s="855"/>
    </row>
    <row r="458" spans="1:32" s="43" customFormat="1" ht="12.75" customHeight="1" thickBot="1">
      <c r="A458" s="2369" t="s">
        <v>3796</v>
      </c>
      <c r="C458" s="10" t="s">
        <v>2638</v>
      </c>
      <c r="D458" s="58"/>
      <c r="E458" s="52"/>
      <c r="J458" s="61"/>
      <c r="M458" s="2373"/>
      <c r="N458" s="6"/>
      <c r="O458" s="131" t="s">
        <v>1820</v>
      </c>
      <c r="P458" s="2718"/>
      <c r="Q458" s="2719"/>
    </row>
    <row r="459" spans="1:32" s="409" customFormat="1" ht="15" customHeight="1" thickBot="1">
      <c r="A459" s="141" t="s">
        <v>1935</v>
      </c>
      <c r="B459" s="2720" t="s">
        <v>4585</v>
      </c>
      <c r="C459" s="2720"/>
      <c r="D459" s="2720"/>
      <c r="E459" s="2720"/>
      <c r="F459" s="2720"/>
      <c r="G459" s="2720"/>
      <c r="H459" s="2720"/>
      <c r="I459" s="2720"/>
      <c r="J459" s="2740" t="s">
        <v>4455</v>
      </c>
      <c r="K459" s="2741"/>
      <c r="L459" s="1599" t="s">
        <v>4587</v>
      </c>
      <c r="M459" s="1517"/>
      <c r="N459" s="1513">
        <f>ROUNDUP('Part VI-Revenues &amp; Expenses'!$P$63*0.1,0)</f>
        <v>5</v>
      </c>
      <c r="O459" s="388" t="s">
        <v>1935</v>
      </c>
      <c r="P459" s="2755" t="s">
        <v>7043</v>
      </c>
      <c r="Q459" s="4152"/>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4456</v>
      </c>
      <c r="M460" s="92"/>
      <c r="N460" s="1600">
        <f>'Part VI-Revenues &amp; Expenses'!$P$63</f>
        <v>50</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50</v>
      </c>
      <c r="P461" s="2753"/>
      <c r="Q461" s="2903"/>
    </row>
    <row r="462" spans="1:32" s="431" customFormat="1" ht="22.5" customHeight="1">
      <c r="A462" s="141" t="s">
        <v>1937</v>
      </c>
      <c r="B462" s="2720" t="s">
        <v>4591</v>
      </c>
      <c r="C462" s="2720"/>
      <c r="D462" s="2720"/>
      <c r="E462" s="2720"/>
      <c r="F462" s="2720"/>
      <c r="G462" s="2720"/>
      <c r="H462" s="2720"/>
      <c r="I462" s="2720"/>
      <c r="J462" s="2766" t="s">
        <v>4586</v>
      </c>
      <c r="K462" s="2697"/>
      <c r="L462" s="2763"/>
      <c r="M462" s="2764"/>
      <c r="N462" s="2765"/>
      <c r="O462" s="388" t="s">
        <v>1937</v>
      </c>
      <c r="P462" s="2379" t="s">
        <v>7056</v>
      </c>
      <c r="Q462" s="2378"/>
    </row>
    <row r="463" spans="1:32" s="431" customFormat="1" ht="12" customHeight="1" thickBot="1">
      <c r="A463" s="141" t="s">
        <v>731</v>
      </c>
      <c r="B463" s="2720" t="s">
        <v>4360</v>
      </c>
      <c r="C463" s="2720"/>
      <c r="D463" s="2720"/>
      <c r="E463" s="2720"/>
      <c r="F463" s="2720"/>
      <c r="G463" s="2720"/>
      <c r="H463" s="2720"/>
      <c r="I463" s="2720"/>
      <c r="J463" s="1065" t="s">
        <v>4279</v>
      </c>
      <c r="K463" s="1467">
        <f>'Part VI-Revenues &amp; Expenses'!$P$115</f>
        <v>6</v>
      </c>
      <c r="L463" s="1598" t="s">
        <v>4278</v>
      </c>
      <c r="M463" s="92"/>
      <c r="N463" s="1601">
        <f>ROUNDUP(N461*0.1,0)</f>
        <v>5</v>
      </c>
      <c r="O463" s="388" t="s">
        <v>731</v>
      </c>
      <c r="P463" s="2753" t="s">
        <v>2885</v>
      </c>
      <c r="Q463" s="2903"/>
      <c r="R463" s="1512"/>
      <c r="S463" s="1512"/>
    </row>
    <row r="464" spans="1:32" s="431" customFormat="1" ht="12" customHeight="1" thickBot="1">
      <c r="B464" s="2720"/>
      <c r="C464" s="2720"/>
      <c r="D464" s="2720"/>
      <c r="E464" s="2720"/>
      <c r="F464" s="2720"/>
      <c r="G464" s="2720"/>
      <c r="H464" s="2720"/>
      <c r="I464" s="2720"/>
      <c r="J464" s="1065" t="s">
        <v>4280</v>
      </c>
      <c r="K464" s="1468">
        <f>IF(N461=0,"",K463/N461)</f>
        <v>0.12</v>
      </c>
      <c r="L464" s="1515" t="s">
        <v>4454</v>
      </c>
      <c r="M464" s="1516"/>
      <c r="N464" s="1514">
        <f>'Part VI-Revenues &amp; Expenses'!$L$67/'Part VI-Revenues &amp; Expenses'!$P$67</f>
        <v>0.44</v>
      </c>
      <c r="O464" s="388" t="str">
        <f>IF(AND(N464&lt;0.1,P463="Yes"), "Check!","")</f>
        <v/>
      </c>
      <c r="P464" s="2754"/>
      <c r="Q464" s="4153"/>
      <c r="R464" s="1512"/>
      <c r="S464" s="1512"/>
    </row>
    <row r="465" spans="1:32" s="94" customFormat="1" ht="12" customHeight="1">
      <c r="A465" s="47" t="s">
        <v>2064</v>
      </c>
      <c r="B465" s="554" t="s">
        <v>1938</v>
      </c>
      <c r="C465" s="1596" t="s">
        <v>4281</v>
      </c>
      <c r="D465" s="1596"/>
      <c r="E465" s="1596"/>
      <c r="F465" s="1596"/>
      <c r="G465" s="1596"/>
      <c r="H465" s="1596"/>
      <c r="I465" s="1596"/>
      <c r="J465" s="1596"/>
      <c r="K465" s="1596"/>
      <c r="L465" s="1596"/>
      <c r="M465" s="1596"/>
      <c r="N465" s="1596"/>
      <c r="O465" s="1603" t="s">
        <v>4588</v>
      </c>
      <c r="P465" s="2254" t="s">
        <v>2888</v>
      </c>
      <c r="Q465" s="518"/>
      <c r="AE465" s="461"/>
      <c r="AF465" s="461"/>
    </row>
    <row r="466" spans="1:32" s="94" customFormat="1">
      <c r="B466" s="554" t="s">
        <v>1940</v>
      </c>
      <c r="C466" s="1596" t="s">
        <v>4589</v>
      </c>
      <c r="D466" s="1596"/>
      <c r="E466" s="1596"/>
      <c r="F466" s="1596"/>
      <c r="G466" s="1596"/>
      <c r="H466" s="1596"/>
      <c r="I466" s="1596"/>
      <c r="J466" s="1596"/>
      <c r="K466" s="1596"/>
      <c r="L466" s="1596"/>
      <c r="M466" s="1596"/>
      <c r="N466" s="1596"/>
      <c r="O466" s="1603" t="s">
        <v>4590</v>
      </c>
      <c r="P466" s="2256"/>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5"/>
    </row>
    <row r="468" spans="1:32" s="43" customFormat="1" ht="28.5" customHeight="1">
      <c r="A468" s="2707" t="s">
        <v>7124</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76"/>
      <c r="G469" s="2376"/>
      <c r="H469" s="2376"/>
      <c r="I469" s="2376"/>
      <c r="J469" s="2376"/>
      <c r="K469" s="2376"/>
      <c r="L469" s="2376"/>
      <c r="M469" s="2376"/>
      <c r="N469" s="74"/>
      <c r="O469" s="70"/>
      <c r="P469" s="2373"/>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4"/>
      <c r="B471" s="2397"/>
      <c r="C471" s="2376"/>
      <c r="D471" s="2376"/>
      <c r="E471" s="2376"/>
      <c r="F471" s="2376"/>
      <c r="G471" s="2376"/>
      <c r="H471" s="2376"/>
      <c r="I471" s="2376"/>
      <c r="J471" s="2376"/>
      <c r="K471" s="2376"/>
      <c r="L471" s="2376"/>
      <c r="M471" s="2376"/>
      <c r="N471" s="2376"/>
      <c r="O471" s="2376"/>
      <c r="P471" s="2376"/>
      <c r="Q471" s="2374"/>
    </row>
    <row r="472" spans="1:32" ht="14.1" customHeight="1">
      <c r="A472" s="2369" t="s">
        <v>4276</v>
      </c>
      <c r="B472" s="4"/>
      <c r="C472" s="4" t="s">
        <v>2593</v>
      </c>
      <c r="D472" s="86"/>
      <c r="E472" s="2376"/>
      <c r="F472" s="2376"/>
      <c r="G472" s="2376"/>
      <c r="H472" s="2376"/>
      <c r="J472" s="2376"/>
      <c r="K472" s="2376"/>
      <c r="L472" s="2376"/>
      <c r="M472" s="2376"/>
      <c r="O472" s="131" t="s">
        <v>1820</v>
      </c>
      <c r="P472" s="2718"/>
      <c r="Q472" s="2719"/>
    </row>
    <row r="473" spans="1:32" ht="11.25" customHeight="1">
      <c r="A473" s="2369"/>
      <c r="B473" s="140" t="s">
        <v>3565</v>
      </c>
      <c r="D473" s="140"/>
      <c r="E473" s="140"/>
      <c r="F473" s="140"/>
      <c r="G473" s="140"/>
      <c r="H473" s="40"/>
      <c r="I473" s="2397"/>
      <c r="J473" s="2397"/>
      <c r="K473" s="2397"/>
      <c r="L473" s="2374"/>
      <c r="M473" s="2374"/>
      <c r="N473" s="2374"/>
      <c r="O473" s="2374"/>
      <c r="P473" s="2374"/>
      <c r="Q473" s="855"/>
    </row>
    <row r="474" spans="1:32" ht="43.5" customHeight="1">
      <c r="A474" s="2707" t="s">
        <v>7125</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6"/>
      <c r="E475" s="2376"/>
      <c r="F475" s="2376"/>
      <c r="G475" s="2376"/>
      <c r="H475" s="2376"/>
      <c r="I475" s="2376"/>
      <c r="J475" s="2376"/>
      <c r="K475" s="2376"/>
      <c r="L475" s="2376"/>
      <c r="M475" s="2376"/>
      <c r="N475" s="2376"/>
      <c r="O475" s="2376"/>
      <c r="P475" s="2376"/>
      <c r="Q475" s="2376"/>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4"/>
      <c r="B477" s="2397"/>
      <c r="C477" s="2376"/>
      <c r="D477" s="2376"/>
      <c r="E477" s="2376"/>
      <c r="F477" s="2376"/>
      <c r="G477" s="2376"/>
      <c r="H477" s="2376"/>
      <c r="I477" s="2376"/>
      <c r="J477" s="2376"/>
      <c r="K477" s="2376"/>
      <c r="L477" s="2376"/>
      <c r="M477" s="2376"/>
      <c r="N477" s="2376"/>
      <c r="O477" s="2376"/>
      <c r="P477" s="2376"/>
      <c r="Q477" s="2374"/>
    </row>
    <row r="478" spans="1:32" ht="3" customHeight="1">
      <c r="A478" s="2374"/>
      <c r="B478" s="2397"/>
      <c r="C478" s="2376"/>
      <c r="D478" s="2376"/>
      <c r="E478" s="2376"/>
      <c r="F478" s="2376"/>
      <c r="G478" s="2376"/>
      <c r="H478" s="2376"/>
      <c r="I478" s="2376"/>
      <c r="J478" s="2376"/>
      <c r="K478" s="2376"/>
      <c r="L478" s="2376"/>
      <c r="M478" s="2376"/>
      <c r="N478" s="2376"/>
      <c r="O478" s="2376"/>
      <c r="P478" s="2376"/>
      <c r="Q478" s="2374"/>
    </row>
    <row r="479" spans="1:32" ht="14.1" customHeight="1">
      <c r="A479" s="2369" t="s">
        <v>4277</v>
      </c>
      <c r="B479" s="4"/>
      <c r="C479" s="4" t="s">
        <v>4696</v>
      </c>
      <c r="D479" s="86"/>
      <c r="E479" s="2376"/>
      <c r="F479" s="2376"/>
      <c r="G479" s="2376"/>
      <c r="H479" s="2376"/>
      <c r="I479" s="2376"/>
      <c r="J479" s="2376"/>
      <c r="K479" s="2376"/>
      <c r="L479" s="2376"/>
      <c r="M479" s="2376"/>
      <c r="O479" s="131" t="s">
        <v>1820</v>
      </c>
      <c r="P479" s="2718"/>
      <c r="Q479" s="2719"/>
    </row>
    <row r="480" spans="1:32" s="102" customFormat="1" ht="11.25" customHeight="1">
      <c r="B480" s="179" t="s">
        <v>4282</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7"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2078</v>
      </c>
      <c r="D490" s="997"/>
      <c r="E490" s="997"/>
      <c r="F490" s="997"/>
      <c r="G490" s="997"/>
      <c r="H490" s="997"/>
      <c r="I490" s="997"/>
      <c r="J490" s="1469" t="s">
        <v>1162</v>
      </c>
      <c r="N490" s="999"/>
      <c r="O490" s="998" t="s">
        <v>3625</v>
      </c>
      <c r="P490" s="1000"/>
      <c r="AE490" s="1721"/>
      <c r="AF490" s="1721"/>
    </row>
    <row r="491" spans="1:32" s="998" customFormat="1" ht="10.199999999999999">
      <c r="C491" s="1001" t="s">
        <v>2079</v>
      </c>
      <c r="J491" s="1469" t="s">
        <v>1682</v>
      </c>
      <c r="N491" s="999"/>
      <c r="O491" s="998" t="s">
        <v>3626</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4269</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4267</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4268</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4363</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4364</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2040</v>
      </c>
      <c r="M556" s="997" t="s">
        <v>4397</v>
      </c>
      <c r="AE556" s="1006"/>
      <c r="AF556" s="1006"/>
    </row>
    <row r="557" spans="3:32" s="997" customFormat="1" ht="10.199999999999999">
      <c r="C557" s="997" t="s">
        <v>2477</v>
      </c>
      <c r="M557" s="997" t="s">
        <v>4432</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4398</v>
      </c>
      <c r="AE559" s="1006"/>
      <c r="AF559" s="1006"/>
    </row>
    <row r="560" spans="3:32" s="997" customFormat="1" ht="10.199999999999999">
      <c r="C560" s="997" t="s">
        <v>573</v>
      </c>
      <c r="M560" s="1471" t="s">
        <v>4476</v>
      </c>
      <c r="AE560" s="1006"/>
      <c r="AF560" s="1006"/>
    </row>
    <row r="561" spans="3:32" s="997" customFormat="1" ht="10.199999999999999">
      <c r="C561" s="997" t="s">
        <v>2144</v>
      </c>
      <c r="M561" s="1471" t="s">
        <v>4477</v>
      </c>
      <c r="AE561" s="1006"/>
      <c r="AF561" s="1006"/>
    </row>
    <row r="562" spans="3:32" s="997" customFormat="1" ht="10.199999999999999">
      <c r="C562" s="1005" t="s">
        <v>31</v>
      </c>
      <c r="M562" s="997" t="s">
        <v>4399</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BmNJKW17yCMDasaR2DYmva/5gy7DXiftBysEz+UX+pXI5Ya/V+9tXjqlE1FtBYN3c234Shgm8ZbfwtTs2bV/mg==" saltValue="kfeluN8QkXeABcZkRPHwNw=="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110" zoomScaleNormal="11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8"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2020-042 Freedom's Path at Dublin, Dublin, Laurens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60" t="s">
        <v>4380</v>
      </c>
      <c r="B3" s="3060"/>
      <c r="C3" s="3060"/>
      <c r="D3" s="3060"/>
      <c r="E3" s="3060"/>
      <c r="F3" s="3060"/>
      <c r="G3" s="3060"/>
      <c r="H3" s="3060"/>
      <c r="I3" s="3060"/>
      <c r="J3" s="3060"/>
      <c r="K3" s="3060"/>
      <c r="L3" s="3060"/>
      <c r="M3" s="1096" t="s">
        <v>2162</v>
      </c>
      <c r="N3" s="73"/>
      <c r="O3" s="83" t="s">
        <v>2161</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57</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4291</v>
      </c>
      <c r="D8" s="52"/>
      <c r="E8" s="52"/>
      <c r="F8" s="52"/>
      <c r="G8" s="66"/>
      <c r="H8" s="172" t="s">
        <v>4351</v>
      </c>
      <c r="I8" s="66"/>
      <c r="J8" s="66"/>
      <c r="K8" s="66"/>
      <c r="L8" s="66"/>
      <c r="M8" s="1426" t="s">
        <v>4350</v>
      </c>
      <c r="N8" s="66"/>
      <c r="O8" s="2279"/>
      <c r="P8" s="142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079" t="s">
        <v>3826</v>
      </c>
      <c r="G10" s="3079"/>
      <c r="H10" s="3079"/>
      <c r="I10" s="3079"/>
      <c r="J10" s="3079"/>
      <c r="K10" s="3079"/>
      <c r="L10" s="3079"/>
      <c r="M10" s="3079"/>
      <c r="N10" s="3079"/>
      <c r="O10" s="1461" t="s">
        <v>4289</v>
      </c>
      <c r="P10" s="1462">
        <f>SUM(P11:P23)</f>
        <v>0</v>
      </c>
      <c r="Q10" s="3008" t="s">
        <v>4441</v>
      </c>
      <c r="R10" s="3008"/>
      <c r="S10" s="3008"/>
      <c r="T10" s="3008"/>
      <c r="U10" s="3008"/>
      <c r="V10" s="3008"/>
    </row>
    <row r="11" spans="1:22" s="42" customFormat="1" ht="11.25" customHeight="1">
      <c r="A11" s="1113" t="s">
        <v>724</v>
      </c>
      <c r="B11" s="1114" t="s">
        <v>3813</v>
      </c>
      <c r="C11" s="1115"/>
      <c r="D11" s="1116"/>
      <c r="E11" s="1452">
        <f>$O$64</f>
        <v>10</v>
      </c>
      <c r="F11" s="3080" t="str">
        <f>$A$70</f>
        <v xml:space="preserve">The project is located on a VA Medical Center campus, where desirable features such as the Hospital, Emergency Care facility, pharmacy, post office, and police services are all available.  However, in the event that any non-Veterans may live at the property, we have included amenities that are accessible by any potential resident in sufficient number to qualify for the full 10 points.  Given the location, there are no undesirable activities located near the property.  We have utilized walking distances throughout to demonstrate the significant walkability of the site.  There is the possibility that the VA will be providing a sidewalk from the property to the intersecton of Hillcrest and Veterans Boulevard, which will even further reduce walking distances to many amenities.  While it is not possible to note the presence of the Home Depot in the amenities section, given that corporation's support of Veterans and having this store immediately adjacent to the site affords the opportunity for employment for residents who otherwise might have difficulty finding jobs.  While just outside of the limits for points, 2.1 miles from the property is a Super WalMart, another attractive feature to the location.  Middle Georgia College has a campus adjacent to the VA as well.  Again, this is not a point desirable (though it should be), but it is a highly desirable amenity for the population.  For the type of residency we project, the number of restaurants, job centers, education institutions and medical care facilities make this a spectacular location for housing. </v>
      </c>
      <c r="G11" s="3081"/>
      <c r="H11" s="3081"/>
      <c r="I11" s="3081"/>
      <c r="J11" s="3081"/>
      <c r="K11" s="3081"/>
      <c r="L11" s="3081"/>
      <c r="M11" s="3081"/>
      <c r="N11" s="3081"/>
      <c r="O11" s="3081"/>
      <c r="P11" s="4154"/>
      <c r="Q11" s="3008"/>
      <c r="R11" s="3008"/>
      <c r="S11" s="3008"/>
      <c r="T11" s="3008"/>
      <c r="U11" s="3008"/>
      <c r="V11" s="3008"/>
    </row>
    <row r="12" spans="1:22" s="42" customFormat="1" ht="11.25" customHeight="1">
      <c r="A12" s="1117" t="s">
        <v>1748</v>
      </c>
      <c r="B12" s="923" t="s">
        <v>4720</v>
      </c>
      <c r="C12" s="1036"/>
      <c r="D12" s="1118"/>
      <c r="E12" s="1453">
        <f>$O$74</f>
        <v>1</v>
      </c>
      <c r="F12" s="3036" t="str">
        <f>$A$107</f>
        <v>While Laurens County does not have a public transportion system the Carl Vinson VAMC is a federal reservation within the county which operates independent of the county government.  To serve its residents, it provides an on-campus transportation service to transport residents to and from VAMC medical appointments.  It also works in conjunction with local transportation companies to provide off-campus transportation vouchers to access services in the larger community to on-campus residents as a means of offering a public transportation option to its residents.   Within the parameters of the VA Medical Center, this constitutes a public transportation system.</v>
      </c>
      <c r="G12" s="3037"/>
      <c r="H12" s="3037"/>
      <c r="I12" s="3037"/>
      <c r="J12" s="3037"/>
      <c r="K12" s="3037"/>
      <c r="L12" s="3037"/>
      <c r="M12" s="3037"/>
      <c r="N12" s="3037"/>
      <c r="O12" s="3038"/>
      <c r="P12" s="4155"/>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4721</v>
      </c>
      <c r="C13" s="1036"/>
      <c r="D13" s="1118"/>
      <c r="E13" s="1453">
        <f>$O$112</f>
        <v>4</v>
      </c>
      <c r="F13" s="3036" t="str">
        <f>$A$146</f>
        <v>The Developer has established a core relationship with the Carl Vinson VA Medical Center to provide a comprehensive array of Healthcare Services for the population.  The VA will provide a Health Services Coordinator and the Developer will complement that with a Part-Time Activities Director/Coordinator.  A well-equipped examination room will be provided on site, and VA personnel will be available to the residents on a daily basis to provide medical screenings and services that can be done on site.  If required, the residents will be transported to the VA Medical Center for further diagnosis and treatment.  Classes across a broad range of physical health, fitness, mental health and lifestyle choices and implications will be conducted on a regular and ongoing basis for all residents.  A full scale Community Gardening program will be operating in conjunction with the Laurens County Extension Service and the Georgia Master Gardeners program which will hold classes and training in all aspects of small plot gardening, and reinforce that with classes and instruction regarding the above mentioned health programs, coordinated in conjunction with the VA, through its Health Services Coordinator.</v>
      </c>
      <c r="G13" s="3037"/>
      <c r="H13" s="3037"/>
      <c r="I13" s="3037"/>
      <c r="J13" s="3037"/>
      <c r="K13" s="3037"/>
      <c r="L13" s="3037"/>
      <c r="M13" s="3037"/>
      <c r="N13" s="3037"/>
      <c r="O13" s="3038"/>
      <c r="P13" s="4155"/>
      <c r="Q13" s="2989"/>
      <c r="R13" s="2990"/>
      <c r="S13" s="2990"/>
    </row>
    <row r="14" spans="1:22" s="42" customFormat="1" ht="11.25" customHeight="1">
      <c r="A14" s="1117" t="s">
        <v>516</v>
      </c>
      <c r="B14" s="923" t="s">
        <v>3814</v>
      </c>
      <c r="C14" s="1036"/>
      <c r="D14" s="1118"/>
      <c r="E14" s="1453">
        <f>$O$150</f>
        <v>5</v>
      </c>
      <c r="F14" s="3036" t="str">
        <f>$A$189</f>
        <v>The three schools serving Dublin all beat the odds in either 2018 and/or 2019.  No CCRPI data is included.  Documentation has been provided in Tab 30 Section A along with letters from the respective school systems regarding the eligibility of Freedom's Path students to attend the schools.  The Jobs printout of the Latitude/Longitude coordinates used to identify the local jobs was also used and included as well as the printout of the jobs number.  When the jobs location is pulled up on the website, while close, it does not correspond exactly to the Lat/Long input.  However, the difference is minimal, by just what looks like a 100 feet or so, providing assurance that the jobs numbers are accurate</v>
      </c>
      <c r="G14" s="3037"/>
      <c r="H14" s="3037"/>
      <c r="I14" s="3037"/>
      <c r="J14" s="3037"/>
      <c r="K14" s="3037"/>
      <c r="L14" s="3037"/>
      <c r="M14" s="3037"/>
      <c r="N14" s="3037"/>
      <c r="O14" s="3038"/>
      <c r="P14" s="4155"/>
      <c r="Q14" s="2989"/>
      <c r="R14" s="2990"/>
      <c r="S14" s="2990"/>
    </row>
    <row r="15" spans="1:22" s="42" customFormat="1" ht="11.25" customHeight="1">
      <c r="A15" s="1117" t="s">
        <v>754</v>
      </c>
      <c r="B15" s="923" t="s">
        <v>3815</v>
      </c>
      <c r="C15" s="1036"/>
      <c r="D15" s="1118"/>
      <c r="E15" s="1454">
        <f>$O$193</f>
        <v>0</v>
      </c>
      <c r="F15" s="3036" t="str">
        <f>$A$228</f>
        <v>Not Applicable</v>
      </c>
      <c r="G15" s="3037"/>
      <c r="H15" s="3037"/>
      <c r="I15" s="3037"/>
      <c r="J15" s="3037"/>
      <c r="K15" s="3037"/>
      <c r="L15" s="3037"/>
      <c r="M15" s="3037"/>
      <c r="N15" s="3037"/>
      <c r="O15" s="3038"/>
      <c r="P15" s="4155"/>
      <c r="Q15" s="2989"/>
      <c r="R15" s="2990"/>
      <c r="S15" s="2990"/>
    </row>
    <row r="16" spans="1:22" s="42" customFormat="1" ht="11.25" customHeight="1">
      <c r="A16" s="1123" t="s">
        <v>287</v>
      </c>
      <c r="B16" s="1124" t="s">
        <v>3816</v>
      </c>
      <c r="C16" s="1125"/>
      <c r="D16" s="1126"/>
      <c r="E16" s="1455" t="s">
        <v>1690</v>
      </c>
      <c r="F16" s="3044" t="str">
        <f>$A$261</f>
        <v>Not Applicable</v>
      </c>
      <c r="G16" s="3045"/>
      <c r="H16" s="3045"/>
      <c r="I16" s="3045"/>
      <c r="J16" s="3045"/>
      <c r="K16" s="3045"/>
      <c r="L16" s="3045"/>
      <c r="M16" s="3045"/>
      <c r="N16" s="3045"/>
      <c r="O16" s="3046"/>
      <c r="P16" s="4155"/>
      <c r="Q16" s="2989"/>
      <c r="R16" s="2990"/>
      <c r="S16" s="2990"/>
    </row>
    <row r="17" spans="1:19" s="42" customFormat="1" ht="11.25" customHeight="1">
      <c r="A17" s="1117" t="s">
        <v>418</v>
      </c>
      <c r="B17" s="923" t="s">
        <v>4722</v>
      </c>
      <c r="C17" s="1036"/>
      <c r="D17" s="1118"/>
      <c r="E17" s="1453">
        <f>$O$265</f>
        <v>0</v>
      </c>
      <c r="F17" s="3036" t="str">
        <f>$A$281</f>
        <v>Not Applicable.  Census tract does not score any points in either Category A or B.</v>
      </c>
      <c r="G17" s="3037"/>
      <c r="H17" s="3037"/>
      <c r="I17" s="3037"/>
      <c r="J17" s="3037"/>
      <c r="K17" s="3037"/>
      <c r="L17" s="3037"/>
      <c r="M17" s="3037"/>
      <c r="N17" s="3037"/>
      <c r="O17" s="3038"/>
      <c r="P17" s="4155"/>
      <c r="Q17" s="2989"/>
      <c r="R17" s="2990"/>
      <c r="S17" s="2990"/>
    </row>
    <row r="18" spans="1:19" s="42" customFormat="1" ht="11.25" customHeight="1">
      <c r="A18" s="1117" t="s">
        <v>4346</v>
      </c>
      <c r="B18" s="923" t="s">
        <v>3597</v>
      </c>
      <c r="C18" s="1036"/>
      <c r="D18" s="1118"/>
      <c r="E18" s="1453">
        <f>$O$293</f>
        <v>0</v>
      </c>
      <c r="F18" s="3036" t="str">
        <f>$A$297</f>
        <v>Not Applicable</v>
      </c>
      <c r="G18" s="3037"/>
      <c r="H18" s="3037"/>
      <c r="I18" s="3037"/>
      <c r="J18" s="3037"/>
      <c r="K18" s="3037"/>
      <c r="L18" s="3037"/>
      <c r="M18" s="3037"/>
      <c r="N18" s="3037"/>
      <c r="O18" s="3038"/>
      <c r="P18" s="4155"/>
      <c r="Q18" s="2989"/>
      <c r="R18" s="2990"/>
      <c r="S18" s="2990"/>
    </row>
    <row r="19" spans="1:19" s="42" customFormat="1" ht="11.25" customHeight="1">
      <c r="A19" s="1117" t="s">
        <v>4724</v>
      </c>
      <c r="B19" s="923" t="s">
        <v>4725</v>
      </c>
      <c r="C19" s="1036"/>
      <c r="D19" s="1118"/>
      <c r="E19" s="1455">
        <f>$O$301</f>
        <v>0</v>
      </c>
      <c r="F19" s="3036" t="str">
        <f>$A$312</f>
        <v>Not Applicable</v>
      </c>
      <c r="G19" s="3037"/>
      <c r="H19" s="3037"/>
      <c r="I19" s="3037"/>
      <c r="J19" s="3037"/>
      <c r="K19" s="3037"/>
      <c r="L19" s="3037"/>
      <c r="M19" s="3037"/>
      <c r="N19" s="3037"/>
      <c r="O19" s="3038"/>
      <c r="P19" s="4155"/>
      <c r="Q19" s="2989"/>
      <c r="R19" s="2990"/>
      <c r="S19" s="2990"/>
    </row>
    <row r="20" spans="1:19" s="42" customFormat="1" ht="11.25" customHeight="1">
      <c r="A20" s="1117" t="s">
        <v>4739</v>
      </c>
      <c r="B20" s="923" t="s">
        <v>4726</v>
      </c>
      <c r="C20" s="1036"/>
      <c r="D20" s="1118"/>
      <c r="E20" s="1453">
        <f>$O$316</f>
        <v>3</v>
      </c>
      <c r="F20" s="3039" t="str">
        <f>$A$329</f>
        <v>No competitive projects have been developed in Dublin since 2008, meeting the requirement for the 3 points in this section.  The LIHTC projects developed in Dublin are listed in the Market Study section of the Threshold Tab of this application.</v>
      </c>
      <c r="G20" s="3040"/>
      <c r="H20" s="3040"/>
      <c r="I20" s="3040"/>
      <c r="J20" s="3040"/>
      <c r="K20" s="3040"/>
      <c r="L20" s="3040"/>
      <c r="M20" s="3040"/>
      <c r="N20" s="3040"/>
      <c r="O20" s="3041"/>
      <c r="P20" s="4155"/>
      <c r="Q20" s="2989"/>
      <c r="R20" s="2990"/>
      <c r="S20" s="2990"/>
    </row>
    <row r="21" spans="1:19" s="42" customFormat="1" ht="11.25" customHeight="1">
      <c r="A21" s="1123" t="s">
        <v>3785</v>
      </c>
      <c r="B21" s="1124" t="s">
        <v>3817</v>
      </c>
      <c r="C21" s="1125"/>
      <c r="D21" s="1126"/>
      <c r="E21" s="1456">
        <f>$O$364</f>
        <v>1</v>
      </c>
      <c r="F21" s="3036" t="str">
        <f>$A$375</f>
        <v>Dublin is an alumni of the GIHC program.  Letters from the GIHC and from the City have been included in the Tabs section.  We have worked very closely with the GIHC Board regarding the structuring and implementation of this project.</v>
      </c>
      <c r="G21" s="3037"/>
      <c r="H21" s="3037"/>
      <c r="I21" s="3037"/>
      <c r="J21" s="3037"/>
      <c r="K21" s="3037"/>
      <c r="L21" s="3037"/>
      <c r="M21" s="3037"/>
      <c r="N21" s="3037"/>
      <c r="O21" s="3038"/>
      <c r="P21" s="4155"/>
      <c r="Q21" s="2989"/>
      <c r="R21" s="2990"/>
      <c r="S21" s="2990"/>
    </row>
    <row r="22" spans="1:19" s="42" customFormat="1" ht="11.25" customHeight="1">
      <c r="A22" s="1117" t="s">
        <v>3786</v>
      </c>
      <c r="B22" s="923" t="s">
        <v>3818</v>
      </c>
      <c r="C22" s="1036"/>
      <c r="D22" s="1118"/>
      <c r="E22" s="1453">
        <f>$O$379</f>
        <v>4</v>
      </c>
      <c r="F22" s="3036" t="str">
        <f>$A$411</f>
        <v>The project will receive both federal and state historic tax credits which provide the Favorable Financing in excess of the 10% requirement.  An equity letter from RBC Tax Credit Equity Group has been included inTab 1, Tab 41 and Tab 42 to evidence the financing for the financing.  Site control documentation has been provided from the VA regarding the willingness of the VA to enter into a 75 year ground lease on the project.  Regarding c) above, the VA, after conversations with DCA staff, has provided an Opinion from its office of General Counsel, regarding the compliance with Section 42 by pledging the Leasehold interest and not the underlying fee simple title to the land in terms of executing the LURA.</v>
      </c>
      <c r="G22" s="3037"/>
      <c r="H22" s="3037"/>
      <c r="I22" s="3037"/>
      <c r="J22" s="3037"/>
      <c r="K22" s="3037"/>
      <c r="L22" s="3037"/>
      <c r="M22" s="3037"/>
      <c r="N22" s="3037"/>
      <c r="O22" s="3038"/>
      <c r="P22" s="4155"/>
      <c r="Q22" s="2989"/>
      <c r="R22" s="2990"/>
      <c r="S22" s="2990"/>
    </row>
    <row r="23" spans="1:19" s="42" customFormat="1" ht="11.25" customHeight="1">
      <c r="A23" s="1119" t="s">
        <v>3784</v>
      </c>
      <c r="B23" s="1120" t="s">
        <v>3819</v>
      </c>
      <c r="C23" s="1121"/>
      <c r="D23" s="1122"/>
      <c r="E23" s="1457">
        <f>$O$415</f>
        <v>2</v>
      </c>
      <c r="F23" s="3076" t="str">
        <f>$A$431</f>
        <v>While the project is certified, we chose to answer this area with the above description.</v>
      </c>
      <c r="G23" s="3077"/>
      <c r="H23" s="3077"/>
      <c r="I23" s="3077"/>
      <c r="J23" s="3077"/>
      <c r="K23" s="3077"/>
      <c r="L23" s="3077"/>
      <c r="M23" s="3077"/>
      <c r="N23" s="3077"/>
      <c r="O23" s="3078"/>
      <c r="P23" s="4156"/>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8"/>
      <c r="H25" s="172" t="s">
        <v>4349</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4284</v>
      </c>
      <c r="D27" s="48"/>
      <c r="E27" s="48"/>
      <c r="F27" s="2388"/>
      <c r="M27" s="6"/>
      <c r="N27" s="64" t="s">
        <v>1935</v>
      </c>
    </row>
    <row r="28" spans="1:19" s="43" customFormat="1" ht="11.25" customHeight="1">
      <c r="A28" s="178"/>
      <c r="B28" s="1429" t="s">
        <v>1938</v>
      </c>
      <c r="C28" s="110" t="s">
        <v>4287</v>
      </c>
      <c r="D28" s="48"/>
      <c r="E28" s="48"/>
      <c r="F28" s="2388"/>
      <c r="H28" s="172" t="s">
        <v>3480</v>
      </c>
      <c r="J28" s="49"/>
      <c r="M28" s="6"/>
      <c r="N28" s="388" t="s">
        <v>1938</v>
      </c>
      <c r="O28" s="2280"/>
      <c r="P28" s="1085">
        <f>F36</f>
        <v>0</v>
      </c>
    </row>
    <row r="29" spans="1:19" s="43" customFormat="1" ht="11.25" customHeight="1">
      <c r="A29" s="178"/>
      <c r="B29" s="1429" t="s">
        <v>1940</v>
      </c>
      <c r="C29" s="110" t="s">
        <v>4484</v>
      </c>
      <c r="D29" s="48"/>
      <c r="E29" s="48"/>
      <c r="F29" s="2388"/>
      <c r="H29" s="172" t="s">
        <v>4285</v>
      </c>
      <c r="J29" s="49"/>
      <c r="M29" s="6"/>
      <c r="N29" s="388" t="s">
        <v>1940</v>
      </c>
      <c r="O29" s="2281"/>
      <c r="P29" s="1422">
        <f>J36</f>
        <v>0</v>
      </c>
    </row>
    <row r="30" spans="1:19" s="43" customFormat="1" ht="11.25" customHeight="1">
      <c r="A30" s="178"/>
      <c r="B30" s="1429" t="s">
        <v>2467</v>
      </c>
      <c r="C30" s="110" t="s">
        <v>4286</v>
      </c>
      <c r="D30" s="48"/>
      <c r="E30" s="48"/>
      <c r="F30" s="2388"/>
      <c r="H30" s="172" t="s">
        <v>4290</v>
      </c>
      <c r="J30" s="49"/>
      <c r="M30" s="6"/>
      <c r="N30" s="388" t="s">
        <v>2467</v>
      </c>
      <c r="O30" s="2282"/>
      <c r="P30" s="4157"/>
    </row>
    <row r="31" spans="1:19" s="43" customFormat="1" ht="11.25" customHeight="1">
      <c r="C31" s="4158" t="s">
        <v>4457</v>
      </c>
      <c r="D31" s="4159"/>
      <c r="E31" s="4159"/>
      <c r="F31" s="4159"/>
      <c r="G31" s="4159"/>
      <c r="H31" s="4159"/>
      <c r="I31" s="4159"/>
      <c r="J31" s="4159"/>
      <c r="K31" s="4159"/>
      <c r="L31" s="4159"/>
      <c r="M31" s="4159"/>
      <c r="N31" s="4159"/>
      <c r="O31" s="4159"/>
      <c r="P31" s="416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8"/>
      <c r="H33" s="172" t="s">
        <v>2645</v>
      </c>
      <c r="J33" s="49"/>
      <c r="M33" s="6"/>
      <c r="N33" s="64" t="s">
        <v>1937</v>
      </c>
      <c r="O33" s="2283"/>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6981</v>
      </c>
      <c r="B35" s="2782"/>
      <c r="C35" s="2782"/>
      <c r="D35" s="2782"/>
      <c r="E35" s="2782"/>
      <c r="F35" s="1420" t="s">
        <v>3810</v>
      </c>
      <c r="G35" s="3068" t="s">
        <v>6983</v>
      </c>
      <c r="H35" s="3068"/>
      <c r="I35" s="3068"/>
      <c r="J35" s="1420" t="s">
        <v>3810</v>
      </c>
      <c r="K35" s="3072" t="s">
        <v>6982</v>
      </c>
      <c r="L35" s="3072"/>
      <c r="M35" s="3072"/>
      <c r="N35" s="3072"/>
      <c r="O35" s="3066" t="s">
        <v>3810</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1">
        <v>1</v>
      </c>
      <c r="B37" s="4162"/>
      <c r="C37" s="4162"/>
      <c r="D37" s="4162"/>
      <c r="E37" s="4163"/>
      <c r="F37" s="4164"/>
      <c r="G37" s="4161">
        <v>1</v>
      </c>
      <c r="H37" s="4162"/>
      <c r="I37" s="4163"/>
      <c r="J37" s="844" t="s">
        <v>1690</v>
      </c>
      <c r="K37" s="4165">
        <v>1</v>
      </c>
      <c r="L37" s="4166"/>
      <c r="M37" s="4166"/>
      <c r="N37" s="4166"/>
      <c r="O37" s="3063" t="s">
        <v>1690</v>
      </c>
      <c r="P37" s="3064"/>
      <c r="Q37" s="440" t="s">
        <v>1228</v>
      </c>
      <c r="R37" s="157"/>
    </row>
    <row r="38" spans="1:20" s="42" customFormat="1" ht="24.75" customHeight="1">
      <c r="A38" s="4167">
        <v>2</v>
      </c>
      <c r="B38" s="4168"/>
      <c r="C38" s="4168"/>
      <c r="D38" s="4168"/>
      <c r="E38" s="4169"/>
      <c r="F38" s="4170"/>
      <c r="G38" s="4167">
        <v>2</v>
      </c>
      <c r="H38" s="4168"/>
      <c r="I38" s="4169"/>
      <c r="J38" s="4170"/>
      <c r="K38" s="4171">
        <v>2</v>
      </c>
      <c r="L38" s="4172"/>
      <c r="M38" s="4172"/>
      <c r="N38" s="4172"/>
      <c r="O38" s="4173"/>
      <c r="P38" s="4174"/>
      <c r="Q38" s="441"/>
      <c r="R38" s="157"/>
    </row>
    <row r="39" spans="1:20" s="42" customFormat="1" ht="24.75" customHeight="1">
      <c r="A39" s="4167">
        <v>3</v>
      </c>
      <c r="B39" s="4168"/>
      <c r="C39" s="4168"/>
      <c r="D39" s="4168"/>
      <c r="E39" s="4169"/>
      <c r="F39" s="4170"/>
      <c r="G39" s="4167">
        <v>3</v>
      </c>
      <c r="H39" s="4168"/>
      <c r="I39" s="4169"/>
      <c r="J39" s="1127" t="s">
        <v>2801</v>
      </c>
      <c r="K39" s="4171">
        <v>3</v>
      </c>
      <c r="L39" s="4172"/>
      <c r="M39" s="4172"/>
      <c r="N39" s="4172"/>
      <c r="O39" s="3034" t="s">
        <v>2801</v>
      </c>
      <c r="P39" s="3035"/>
      <c r="Q39" s="3146" t="s">
        <v>4288</v>
      </c>
      <c r="R39" s="3147"/>
      <c r="S39" s="1423"/>
      <c r="T39" s="1423"/>
    </row>
    <row r="40" spans="1:20" s="42" customFormat="1" ht="24.75" customHeight="1">
      <c r="A40" s="4167">
        <v>4</v>
      </c>
      <c r="B40" s="4168"/>
      <c r="C40" s="4168"/>
      <c r="D40" s="4168"/>
      <c r="E40" s="4169"/>
      <c r="F40" s="4170"/>
      <c r="G40" s="4167">
        <v>4</v>
      </c>
      <c r="H40" s="4168"/>
      <c r="I40" s="4169"/>
      <c r="J40" s="4170"/>
      <c r="K40" s="4171">
        <v>4</v>
      </c>
      <c r="L40" s="4172"/>
      <c r="M40" s="4172"/>
      <c r="N40" s="4172"/>
      <c r="O40" s="3034" t="s">
        <v>2801</v>
      </c>
      <c r="P40" s="3035"/>
      <c r="Q40" s="3146"/>
      <c r="R40" s="3147"/>
      <c r="S40" s="1423"/>
      <c r="T40" s="1423"/>
    </row>
    <row r="41" spans="1:20" s="42" customFormat="1" ht="24.75" customHeight="1">
      <c r="A41" s="4167">
        <v>5</v>
      </c>
      <c r="B41" s="4168"/>
      <c r="C41" s="4168"/>
      <c r="D41" s="4168"/>
      <c r="E41" s="4169"/>
      <c r="F41" s="4170"/>
      <c r="G41" s="4167">
        <v>5</v>
      </c>
      <c r="H41" s="4168"/>
      <c r="I41" s="4169"/>
      <c r="J41" s="1127" t="s">
        <v>3444</v>
      </c>
      <c r="K41" s="4171">
        <v>5</v>
      </c>
      <c r="L41" s="4172"/>
      <c r="M41" s="4172"/>
      <c r="N41" s="4172"/>
      <c r="O41" s="4173"/>
      <c r="P41" s="4174"/>
      <c r="Q41" s="3146"/>
      <c r="R41" s="3147"/>
      <c r="S41" s="1423"/>
      <c r="T41" s="1423"/>
    </row>
    <row r="42" spans="1:20" s="42" customFormat="1" ht="24" customHeight="1">
      <c r="A42" s="4167">
        <v>6</v>
      </c>
      <c r="B42" s="4168"/>
      <c r="C42" s="4168"/>
      <c r="D42" s="4168"/>
      <c r="E42" s="4169"/>
      <c r="F42" s="4170"/>
      <c r="G42" s="4167">
        <v>6</v>
      </c>
      <c r="H42" s="4168"/>
      <c r="I42" s="4169"/>
      <c r="J42" s="4170"/>
      <c r="K42" s="4171">
        <v>6</v>
      </c>
      <c r="L42" s="4172"/>
      <c r="M42" s="4172"/>
      <c r="N42" s="4172"/>
      <c r="O42" s="4173"/>
      <c r="P42" s="4174"/>
      <c r="Q42" s="3146"/>
      <c r="R42" s="3147"/>
    </row>
    <row r="43" spans="1:20" s="42" customFormat="1" ht="10.5" customHeight="1">
      <c r="A43" s="4167">
        <v>7</v>
      </c>
      <c r="B43" s="4168"/>
      <c r="C43" s="4168"/>
      <c r="D43" s="4168"/>
      <c r="E43" s="4169"/>
      <c r="F43" s="4170"/>
      <c r="G43" s="4167">
        <v>7</v>
      </c>
      <c r="H43" s="4168"/>
      <c r="I43" s="4169"/>
      <c r="J43" s="1127" t="s">
        <v>3445</v>
      </c>
      <c r="K43" s="4171">
        <v>7</v>
      </c>
      <c r="L43" s="4172"/>
      <c r="M43" s="4172"/>
      <c r="N43" s="4172"/>
      <c r="O43" s="4173"/>
      <c r="P43" s="4174"/>
      <c r="Q43" s="157"/>
      <c r="R43" s="157"/>
    </row>
    <row r="44" spans="1:20" s="42" customFormat="1" ht="10.5" customHeight="1">
      <c r="A44" s="4167">
        <v>8</v>
      </c>
      <c r="B44" s="4168"/>
      <c r="C44" s="4168"/>
      <c r="D44" s="4168"/>
      <c r="E44" s="4169"/>
      <c r="F44" s="4170"/>
      <c r="G44" s="4167">
        <v>8</v>
      </c>
      <c r="H44" s="4168"/>
      <c r="I44" s="4169"/>
      <c r="J44" s="4170"/>
      <c r="K44" s="4171">
        <v>8</v>
      </c>
      <c r="L44" s="4172"/>
      <c r="M44" s="4172"/>
      <c r="N44" s="4172"/>
      <c r="O44" s="4173"/>
      <c r="P44" s="4174"/>
      <c r="Q44" s="157"/>
      <c r="R44" s="157"/>
    </row>
    <row r="45" spans="1:20" s="42" customFormat="1" ht="11.25" customHeight="1">
      <c r="A45" s="4167">
        <v>9</v>
      </c>
      <c r="B45" s="4168"/>
      <c r="C45" s="4168"/>
      <c r="D45" s="4168"/>
      <c r="E45" s="4169"/>
      <c r="F45" s="4170"/>
      <c r="G45" s="4167">
        <v>9</v>
      </c>
      <c r="H45" s="4168"/>
      <c r="I45" s="4169"/>
      <c r="J45" s="1127" t="s">
        <v>3446</v>
      </c>
      <c r="K45" s="4171">
        <v>9</v>
      </c>
      <c r="L45" s="4172"/>
      <c r="M45" s="4172"/>
      <c r="N45" s="4172"/>
      <c r="O45" s="4173"/>
      <c r="P45" s="4174"/>
      <c r="Q45" s="157"/>
      <c r="R45" s="157"/>
    </row>
    <row r="46" spans="1:20" s="42" customFormat="1" ht="11.25" customHeight="1">
      <c r="A46" s="4167">
        <v>10</v>
      </c>
      <c r="B46" s="4168"/>
      <c r="C46" s="4168"/>
      <c r="D46" s="4168"/>
      <c r="E46" s="4169"/>
      <c r="F46" s="4170"/>
      <c r="G46" s="4167">
        <v>10</v>
      </c>
      <c r="H46" s="4168"/>
      <c r="I46" s="4169"/>
      <c r="J46" s="4170"/>
      <c r="K46" s="4171">
        <v>10</v>
      </c>
      <c r="L46" s="4172"/>
      <c r="M46" s="4172"/>
      <c r="N46" s="4172"/>
      <c r="O46" s="4173"/>
      <c r="P46" s="4174"/>
      <c r="Q46" s="157"/>
    </row>
    <row r="47" spans="1:20" s="42" customFormat="1" ht="11.25" customHeight="1">
      <c r="A47" s="4167">
        <v>11</v>
      </c>
      <c r="B47" s="4168"/>
      <c r="C47" s="4168"/>
      <c r="D47" s="4168"/>
      <c r="E47" s="4169"/>
      <c r="F47" s="4170"/>
      <c r="G47" s="4167">
        <v>11</v>
      </c>
      <c r="H47" s="4168"/>
      <c r="I47" s="4169"/>
      <c r="J47" s="1127" t="s">
        <v>3447</v>
      </c>
      <c r="K47" s="4167">
        <v>11</v>
      </c>
      <c r="L47" s="4168"/>
      <c r="M47" s="4168"/>
      <c r="N47" s="4169"/>
      <c r="O47" s="4173"/>
      <c r="P47" s="4174"/>
      <c r="Q47" s="157"/>
      <c r="R47" s="157"/>
    </row>
    <row r="48" spans="1:20" s="42" customFormat="1" ht="11.25" customHeight="1">
      <c r="A48" s="4175">
        <v>12</v>
      </c>
      <c r="B48" s="4176"/>
      <c r="C48" s="4176"/>
      <c r="D48" s="4176"/>
      <c r="E48" s="4177"/>
      <c r="F48" s="4178"/>
      <c r="G48" s="4175">
        <v>12</v>
      </c>
      <c r="H48" s="4176"/>
      <c r="I48" s="4177"/>
      <c r="J48" s="4178"/>
      <c r="K48" s="4175">
        <v>12</v>
      </c>
      <c r="L48" s="4176"/>
      <c r="M48" s="4176"/>
      <c r="N48" s="4177"/>
      <c r="O48" s="4179"/>
      <c r="P48" s="4180"/>
    </row>
    <row r="49" spans="1:18" s="43" customFormat="1" ht="3" customHeight="1" thickBot="1">
      <c r="D49" s="39"/>
      <c r="E49" s="36"/>
      <c r="F49" s="846"/>
      <c r="G49" s="846"/>
      <c r="H49" s="846"/>
      <c r="I49" s="846"/>
      <c r="J49" s="856"/>
      <c r="K49" s="856"/>
      <c r="L49" s="856"/>
      <c r="M49" s="60"/>
      <c r="N49" s="846"/>
      <c r="O49" s="2375"/>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4298</v>
      </c>
      <c r="G51" s="87"/>
      <c r="H51" s="52"/>
      <c r="I51" s="45"/>
      <c r="K51" s="509"/>
      <c r="L51" s="845"/>
      <c r="M51" s="846"/>
      <c r="N51" s="7"/>
      <c r="O51" s="3"/>
      <c r="P51" s="3"/>
      <c r="Q51" s="109"/>
      <c r="R51" s="374"/>
    </row>
    <row r="52" spans="1:18" s="43" customFormat="1" ht="13.5" customHeight="1">
      <c r="A52" s="138" t="s">
        <v>1935</v>
      </c>
      <c r="B52" s="864" t="s">
        <v>2556</v>
      </c>
      <c r="E52" s="57"/>
      <c r="G52" s="87"/>
      <c r="H52" s="55" t="s">
        <v>4439</v>
      </c>
      <c r="J52" s="1500"/>
      <c r="K52" s="1500" t="str">
        <f>'Part I-Project Information'!$K$94</f>
        <v>Income Averaging</v>
      </c>
      <c r="M52" s="846"/>
      <c r="N52" s="7"/>
      <c r="Q52" s="7"/>
      <c r="R52" s="374"/>
    </row>
    <row r="53" spans="1:18" s="102" customFormat="1" ht="9" customHeight="1">
      <c r="A53" s="138"/>
      <c r="B53" s="3148" t="s">
        <v>4292</v>
      </c>
      <c r="C53" s="3148"/>
      <c r="D53" s="3148"/>
      <c r="E53" s="3148"/>
      <c r="F53" s="3148"/>
      <c r="G53" s="3148"/>
      <c r="H53" s="3148"/>
      <c r="I53" s="3148"/>
      <c r="J53" s="3148"/>
      <c r="K53" s="3148"/>
      <c r="L53" s="3148"/>
      <c r="M53" s="846"/>
      <c r="N53" s="7"/>
      <c r="Q53" s="7"/>
      <c r="R53" s="374"/>
    </row>
    <row r="54" spans="1:18" s="102" customFormat="1" ht="13.5" customHeight="1">
      <c r="B54" s="3148"/>
      <c r="C54" s="3148"/>
      <c r="D54" s="3148"/>
      <c r="E54" s="3148"/>
      <c r="F54" s="3148"/>
      <c r="G54" s="3148"/>
      <c r="H54" s="3148"/>
      <c r="I54" s="3148"/>
      <c r="J54" s="3148"/>
      <c r="K54" s="3148"/>
      <c r="L54" s="3148"/>
      <c r="M54" s="855">
        <v>2</v>
      </c>
      <c r="N54" s="388" t="s">
        <v>1935</v>
      </c>
      <c r="O54" s="869">
        <f>MIN($M54, O55+O56)</f>
        <v>2</v>
      </c>
      <c r="P54" s="869">
        <f>MIN($M54, P55+P56)</f>
        <v>0</v>
      </c>
    </row>
    <row r="55" spans="1:18" s="102" customFormat="1" ht="13.5" customHeight="1">
      <c r="A55" s="138"/>
      <c r="B55" s="1145" t="s">
        <v>1938</v>
      </c>
      <c r="C55" s="1430" t="s">
        <v>4293</v>
      </c>
      <c r="D55" s="52"/>
      <c r="H55" s="52" t="s">
        <v>4294</v>
      </c>
      <c r="I55" s="1427"/>
      <c r="K55" s="1502">
        <f>'Part VI-Revenues &amp; Expenses'!B49</f>
        <v>57</v>
      </c>
      <c r="L55" s="3059" t="str">
        <f>IF(AND(O55&gt;0,O56&gt;0), "CHOOSE EITHER A OR B, NOT BOTH!", "")</f>
        <v/>
      </c>
      <c r="M55" s="995">
        <v>2</v>
      </c>
      <c r="N55" s="174" t="s">
        <v>1938</v>
      </c>
      <c r="O55" s="2284">
        <v>2</v>
      </c>
      <c r="P55" s="4181"/>
      <c r="Q55" s="1477" t="str">
        <f>IF(OR($O55=$M55,$O55=0,$O55=""),"","*CHECK!*")</f>
        <v/>
      </c>
      <c r="R55" s="974" t="s">
        <v>4767</v>
      </c>
    </row>
    <row r="56" spans="1:18" s="102" customFormat="1" ht="13.5" customHeight="1">
      <c r="A56" s="1428" t="s">
        <v>3237</v>
      </c>
      <c r="B56" s="1145" t="s">
        <v>1940</v>
      </c>
      <c r="C56" s="1430" t="s">
        <v>4295</v>
      </c>
      <c r="D56" s="52"/>
      <c r="I56" s="1427"/>
      <c r="K56" s="52"/>
      <c r="L56" s="3059"/>
      <c r="M56" s="995">
        <v>2</v>
      </c>
      <c r="N56" s="174" t="s">
        <v>1940</v>
      </c>
      <c r="O56" s="2285"/>
      <c r="P56" s="4182"/>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57" t="s">
        <v>4296</v>
      </c>
      <c r="I58" s="3058"/>
      <c r="J58" s="1433" t="s">
        <v>4297</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86"/>
      <c r="I59" s="4183"/>
      <c r="J59" s="1432">
        <f>'Part VI-Revenues &amp; Expenses'!P65</f>
        <v>50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56"/>
      <c r="P60" s="520"/>
    </row>
    <row r="61" spans="1:18" s="43" customFormat="1" ht="10.5" customHeight="1">
      <c r="A61" s="42"/>
      <c r="B61" s="97" t="s">
        <v>1819</v>
      </c>
      <c r="C61" s="422"/>
      <c r="D61" s="85"/>
      <c r="E61" s="2376"/>
      <c r="F61" s="2376"/>
      <c r="G61" s="2376"/>
      <c r="H61" s="2376"/>
      <c r="I61" s="2376"/>
      <c r="J61" s="2376"/>
      <c r="K61" s="2376"/>
      <c r="L61" s="2376"/>
      <c r="M61" s="2376"/>
      <c r="N61" s="74"/>
      <c r="O61" s="70"/>
      <c r="P61" s="2373"/>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3781</v>
      </c>
      <c r="D64" s="41"/>
      <c r="I64" s="2550" t="s">
        <v>3579</v>
      </c>
      <c r="J64" s="2550"/>
      <c r="K64" s="2550"/>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5"/>
      <c r="P65" s="3"/>
    </row>
    <row r="66" spans="1:21" s="102" customFormat="1" ht="12" customHeight="1">
      <c r="A66" s="138"/>
      <c r="B66" s="36" t="s">
        <v>3636</v>
      </c>
      <c r="D66" s="33"/>
      <c r="N66" s="455"/>
      <c r="O66" s="2254" t="s">
        <v>2885</v>
      </c>
      <c r="P66" s="518"/>
    </row>
    <row r="67" spans="1:21" s="102" customFormat="1" ht="12" customHeight="1">
      <c r="A67" s="138" t="s">
        <v>1935</v>
      </c>
      <c r="B67" s="165" t="s">
        <v>1826</v>
      </c>
      <c r="C67" s="4"/>
      <c r="D67" s="4"/>
      <c r="F67" s="295"/>
      <c r="H67" s="821" t="s">
        <v>2637</v>
      </c>
      <c r="I67" s="3047" t="s">
        <v>4727</v>
      </c>
      <c r="J67" s="3048"/>
      <c r="K67" s="3048"/>
      <c r="L67" s="3049"/>
      <c r="M67" s="72">
        <v>10</v>
      </c>
      <c r="N67" s="174" t="s">
        <v>1935</v>
      </c>
      <c r="O67" s="2284">
        <v>10</v>
      </c>
      <c r="P67" s="4181"/>
      <c r="Q67" s="1477" t="str">
        <f>IF(OR($O67=$M67,$O67=0,$O67=""),"","*CHECK!*")</f>
        <v/>
      </c>
      <c r="R67" s="974" t="s">
        <v>4767</v>
      </c>
    </row>
    <row r="68" spans="1:21" s="102" customFormat="1" ht="12.6" customHeight="1">
      <c r="A68" s="138" t="s">
        <v>1937</v>
      </c>
      <c r="B68" s="165" t="s">
        <v>3628</v>
      </c>
      <c r="D68" s="1063"/>
      <c r="F68" s="1501"/>
      <c r="H68" s="821" t="s">
        <v>3729</v>
      </c>
      <c r="I68" s="3050"/>
      <c r="J68" s="3051"/>
      <c r="K68" s="3051"/>
      <c r="L68" s="3052"/>
      <c r="M68" s="2397" t="s">
        <v>1212</v>
      </c>
      <c r="N68" s="455" t="s">
        <v>1937</v>
      </c>
      <c r="O68" s="2285"/>
      <c r="P68" s="4182"/>
      <c r="R68" s="974" t="s">
        <v>4767</v>
      </c>
    </row>
    <row r="69" spans="1:21" s="43" customFormat="1" ht="11.25" customHeight="1" thickBot="1">
      <c r="A69" s="42"/>
      <c r="B69" s="1132" t="s">
        <v>3566</v>
      </c>
      <c r="C69" s="42"/>
      <c r="D69" s="48"/>
      <c r="E69" s="48"/>
      <c r="F69" s="48"/>
      <c r="G69" s="48"/>
      <c r="H69" s="36"/>
      <c r="I69" s="3053"/>
      <c r="J69" s="3054"/>
      <c r="K69" s="3054"/>
      <c r="L69" s="3055"/>
      <c r="M69" s="46"/>
      <c r="N69" s="62"/>
      <c r="O69" s="3"/>
      <c r="P69" s="2375"/>
    </row>
    <row r="70" spans="1:21" s="43" customFormat="1" ht="106.5" customHeight="1" thickTop="1" thickBot="1">
      <c r="A70" s="2940" t="s">
        <v>7167</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1819</v>
      </c>
      <c r="C71" s="42"/>
      <c r="D71" s="136"/>
      <c r="E71" s="2376"/>
      <c r="F71" s="2376"/>
      <c r="G71" s="2376"/>
      <c r="H71" s="2376"/>
      <c r="I71" s="2376"/>
      <c r="J71" s="2376"/>
      <c r="K71" s="2376"/>
      <c r="L71" s="2376"/>
      <c r="M71" s="2376"/>
      <c r="N71" s="74"/>
      <c r="O71" s="70"/>
      <c r="P71" s="2373"/>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1</v>
      </c>
      <c r="P74" s="1041">
        <f>IF($J$75="Flexible",MIN($M74,MAX(P89,P95)),IF(AND($J$75="Rural",P103&gt;0),MIN($M103,P103),0))</f>
        <v>0</v>
      </c>
      <c r="Q74" s="109" t="s">
        <v>433</v>
      </c>
      <c r="R74" s="3009" t="s">
        <v>4520</v>
      </c>
      <c r="S74" s="3009"/>
      <c r="T74" s="3009"/>
      <c r="U74" s="3009"/>
    </row>
    <row r="75" spans="1:21" s="43" customFormat="1" ht="17.25" customHeight="1">
      <c r="A75" s="152"/>
      <c r="B75" s="110" t="s">
        <v>3708</v>
      </c>
      <c r="D75" s="41"/>
      <c r="H75" s="165" t="s">
        <v>2702</v>
      </c>
      <c r="I75" s="505"/>
      <c r="J75" s="503" t="str">
        <f>'Part I-Project Information'!$H$105</f>
        <v>Rural</v>
      </c>
      <c r="K75" s="48"/>
      <c r="M75" s="2373"/>
      <c r="N75" s="455"/>
      <c r="O75" s="973" t="s">
        <v>3449</v>
      </c>
      <c r="P75" s="973" t="s">
        <v>3450</v>
      </c>
      <c r="Q75" s="109"/>
      <c r="R75" s="3009"/>
      <c r="S75" s="3009"/>
      <c r="T75" s="3009"/>
      <c r="U75" s="3009"/>
    </row>
    <row r="76" spans="1:21" s="43" customFormat="1" ht="11.25" customHeight="1">
      <c r="A76" s="152"/>
      <c r="B76" s="372" t="s">
        <v>1938</v>
      </c>
      <c r="C76" s="36" t="s">
        <v>4303</v>
      </c>
      <c r="D76" s="1063"/>
      <c r="E76" s="102"/>
      <c r="F76" s="102"/>
      <c r="G76" s="102"/>
      <c r="H76" s="45"/>
      <c r="I76" s="49"/>
      <c r="J76" s="48"/>
      <c r="K76" s="48"/>
      <c r="L76" s="102"/>
      <c r="M76" s="2373"/>
      <c r="N76" s="455"/>
      <c r="O76" s="2254" t="s">
        <v>2885</v>
      </c>
      <c r="P76" s="518"/>
      <c r="Q76" s="109"/>
      <c r="R76" s="3009"/>
      <c r="S76" s="3009"/>
      <c r="T76" s="3009"/>
      <c r="U76" s="3009"/>
    </row>
    <row r="77" spans="1:21" s="43" customFormat="1" ht="11.25" customHeight="1">
      <c r="A77" s="152"/>
      <c r="B77" s="372" t="s">
        <v>1940</v>
      </c>
      <c r="C77" s="36" t="s">
        <v>4304</v>
      </c>
      <c r="D77" s="1063"/>
      <c r="E77" s="102"/>
      <c r="F77" s="102"/>
      <c r="G77" s="102"/>
      <c r="H77" s="45"/>
      <c r="I77" s="49"/>
      <c r="J77" s="48"/>
      <c r="K77" s="48"/>
      <c r="L77" s="102"/>
      <c r="M77" s="102"/>
      <c r="N77" s="455"/>
      <c r="O77" s="2255" t="s">
        <v>2885</v>
      </c>
      <c r="P77" s="519"/>
      <c r="Q77" s="109"/>
      <c r="R77" s="3009"/>
      <c r="S77" s="3009"/>
      <c r="T77" s="3009"/>
      <c r="U77" s="3009"/>
    </row>
    <row r="78" spans="1:21" s="43" customFormat="1" ht="11.25" customHeight="1">
      <c r="A78" s="152"/>
      <c r="B78" s="372" t="s">
        <v>2467</v>
      </c>
      <c r="C78" s="36" t="s">
        <v>4305</v>
      </c>
      <c r="D78" s="1063"/>
      <c r="E78" s="102"/>
      <c r="F78" s="102"/>
      <c r="G78" s="102"/>
      <c r="H78" s="45"/>
      <c r="I78" s="49"/>
      <c r="J78" s="48"/>
      <c r="K78" s="48"/>
      <c r="L78" s="102"/>
      <c r="M78" s="102"/>
      <c r="N78" s="455"/>
      <c r="O78" s="2255" t="s">
        <v>2885</v>
      </c>
      <c r="P78" s="519"/>
      <c r="Q78" s="109"/>
      <c r="R78" s="3009"/>
      <c r="S78" s="3009"/>
      <c r="T78" s="3009"/>
      <c r="U78" s="3009"/>
    </row>
    <row r="79" spans="1:21" s="43" customFormat="1" ht="11.25" customHeight="1">
      <c r="A79" s="152"/>
      <c r="B79" s="372" t="s">
        <v>1198</v>
      </c>
      <c r="C79" s="36" t="s">
        <v>4299</v>
      </c>
      <c r="D79" s="1063"/>
      <c r="E79" s="102"/>
      <c r="F79" s="102"/>
      <c r="G79" s="102"/>
      <c r="H79" s="45"/>
      <c r="I79" s="49"/>
      <c r="J79" s="48"/>
      <c r="K79" s="48"/>
      <c r="L79" s="102"/>
      <c r="M79" s="102"/>
      <c r="N79" s="455"/>
      <c r="O79" s="2256" t="s">
        <v>7056</v>
      </c>
      <c r="P79" s="520"/>
      <c r="Q79" s="109"/>
      <c r="R79" s="3009"/>
      <c r="S79" s="3009"/>
      <c r="T79" s="3009"/>
      <c r="U79" s="3009"/>
    </row>
    <row r="80" spans="1:21" s="43" customFormat="1" ht="3" customHeight="1">
      <c r="A80" s="152"/>
      <c r="B80" s="105"/>
      <c r="D80" s="41"/>
      <c r="H80" s="45"/>
      <c r="I80" s="49"/>
      <c r="J80" s="48"/>
      <c r="K80" s="48"/>
      <c r="M80" s="2373"/>
      <c r="N80" s="455"/>
      <c r="O80" s="3"/>
      <c r="P80" s="3"/>
      <c r="Q80" s="109"/>
      <c r="R80" s="3009"/>
      <c r="S80" s="3009"/>
      <c r="T80" s="3009"/>
      <c r="U80" s="3009"/>
    </row>
    <row r="81" spans="1:21" s="43" customFormat="1" ht="13.5" customHeight="1">
      <c r="A81" s="152"/>
      <c r="B81" s="110" t="s">
        <v>3714</v>
      </c>
      <c r="D81" s="41"/>
      <c r="F81" s="3029" t="s">
        <v>3535</v>
      </c>
      <c r="G81" s="3029"/>
      <c r="H81" s="3029"/>
      <c r="I81" s="3029"/>
      <c r="J81" s="3029" t="s">
        <v>3536</v>
      </c>
      <c r="K81" s="3029"/>
      <c r="L81" s="3029"/>
      <c r="M81" s="3029"/>
      <c r="N81" s="455"/>
      <c r="O81" s="3032" t="s">
        <v>4440</v>
      </c>
      <c r="P81" s="3033"/>
      <c r="Q81" s="109"/>
      <c r="R81" s="3009"/>
      <c r="S81" s="3009"/>
      <c r="T81" s="3009"/>
      <c r="U81" s="3009"/>
    </row>
    <row r="82" spans="1:21" s="43" customFormat="1" ht="12.75" customHeight="1">
      <c r="A82" s="152"/>
      <c r="C82" s="480" t="s">
        <v>3713</v>
      </c>
      <c r="D82" s="582"/>
      <c r="E82" s="268"/>
      <c r="F82" s="3010">
        <v>32.538440000000001</v>
      </c>
      <c r="G82" s="3011"/>
      <c r="H82" s="4184"/>
      <c r="I82" s="4185"/>
      <c r="J82" s="3010">
        <v>-82.945049999999995</v>
      </c>
      <c r="K82" s="3011"/>
      <c r="L82" s="4184"/>
      <c r="M82" s="4185"/>
      <c r="N82" s="455"/>
      <c r="Q82" s="109"/>
      <c r="R82" s="3009"/>
      <c r="S82" s="3009"/>
      <c r="T82" s="3009"/>
      <c r="U82" s="3009"/>
    </row>
    <row r="83" spans="1:21" s="43" customFormat="1" ht="12.75" customHeight="1">
      <c r="A83" s="3119" t="s">
        <v>3809</v>
      </c>
      <c r="B83" s="3119"/>
      <c r="D83" s="1099" t="s">
        <v>3715</v>
      </c>
      <c r="E83" s="268"/>
      <c r="F83" s="3010">
        <v>32.538440000000001</v>
      </c>
      <c r="G83" s="3011"/>
      <c r="H83" s="4186"/>
      <c r="I83" s="4187"/>
      <c r="J83" s="3010">
        <v>-82.945049999999995</v>
      </c>
      <c r="K83" s="3011"/>
      <c r="L83" s="4186"/>
      <c r="M83" s="4187"/>
      <c r="N83" s="455"/>
      <c r="O83" s="2287">
        <v>0</v>
      </c>
      <c r="P83" s="4188"/>
      <c r="Q83" s="109"/>
      <c r="R83" s="3009"/>
      <c r="S83" s="3009"/>
      <c r="T83" s="3009"/>
      <c r="U83" s="3009"/>
    </row>
    <row r="84" spans="1:21" s="43" customFormat="1" ht="12.75" customHeight="1">
      <c r="A84" s="3119"/>
      <c r="B84" s="3119"/>
      <c r="C84" s="480" t="s">
        <v>3779</v>
      </c>
      <c r="D84" s="582"/>
      <c r="E84" s="268"/>
      <c r="F84" s="3024"/>
      <c r="G84" s="3025"/>
      <c r="H84" s="4189"/>
      <c r="I84" s="4190"/>
      <c r="J84" s="3024"/>
      <c r="K84" s="3025"/>
      <c r="L84" s="4189"/>
      <c r="M84" s="4190"/>
      <c r="N84" s="455"/>
      <c r="O84" s="455"/>
      <c r="P84" s="455"/>
      <c r="Q84" s="109"/>
      <c r="R84" s="3009"/>
      <c r="S84" s="3009"/>
      <c r="T84" s="3009"/>
      <c r="U84" s="3009"/>
    </row>
    <row r="85" spans="1:21" s="43" customFormat="1" ht="12.75" customHeight="1">
      <c r="A85" s="3119"/>
      <c r="B85" s="3119"/>
      <c r="E85" s="1410" t="s">
        <v>3778</v>
      </c>
      <c r="F85" s="3030"/>
      <c r="G85" s="3031"/>
      <c r="H85" s="4191"/>
      <c r="I85" s="4192"/>
      <c r="J85" s="3030"/>
      <c r="K85" s="3031"/>
      <c r="L85" s="4191"/>
      <c r="M85" s="4192"/>
      <c r="N85" s="455"/>
      <c r="O85" s="2287"/>
      <c r="P85" s="4188"/>
      <c r="Q85" s="109"/>
      <c r="R85" s="3009"/>
      <c r="S85" s="3009"/>
      <c r="T85" s="3009"/>
      <c r="U85" s="3009"/>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3567</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3559</v>
      </c>
      <c r="D89" s="41"/>
      <c r="F89" s="45" t="s">
        <v>3638</v>
      </c>
      <c r="M89" s="2373">
        <v>6</v>
      </c>
      <c r="N89" s="388" t="s">
        <v>1935</v>
      </c>
      <c r="O89" s="976">
        <f>IF($J$75="Flexible",MIN($M89,O90+O91+O92),0)</f>
        <v>0</v>
      </c>
      <c r="P89" s="976">
        <f>IF($J$75="Flexible",MIN($M89,P90+P91+P92),0)</f>
        <v>0</v>
      </c>
      <c r="Q89" s="109"/>
    </row>
    <row r="90" spans="1:21" s="409" customFormat="1" ht="23.25" customHeight="1">
      <c r="B90" s="435" t="s">
        <v>1938</v>
      </c>
      <c r="C90" s="2720" t="s">
        <v>4300</v>
      </c>
      <c r="D90" s="2720"/>
      <c r="E90" s="2720"/>
      <c r="F90" s="2720"/>
      <c r="G90" s="2720"/>
      <c r="H90" s="2720"/>
      <c r="I90" s="3122" t="s">
        <v>3776</v>
      </c>
      <c r="J90" s="3123"/>
      <c r="K90" s="3123"/>
      <c r="L90" s="3124"/>
      <c r="M90" s="500">
        <v>5</v>
      </c>
      <c r="N90" s="469" t="s">
        <v>1938</v>
      </c>
      <c r="O90" s="2288"/>
      <c r="P90" s="4193"/>
      <c r="Q90" s="1477" t="str">
        <f>IF(OR($O90=$M90,$O90=0,$O90=""),"","*CHECK!*")</f>
        <v/>
      </c>
      <c r="R90" s="974" t="s">
        <v>4767</v>
      </c>
    </row>
    <row r="91" spans="1:21" s="409" customFormat="1" ht="12" customHeight="1">
      <c r="A91" s="560" t="s">
        <v>1326</v>
      </c>
      <c r="B91" s="435" t="s">
        <v>1940</v>
      </c>
      <c r="C91" s="389" t="s">
        <v>3709</v>
      </c>
      <c r="D91" s="389"/>
      <c r="E91" s="389"/>
      <c r="F91" s="389"/>
      <c r="G91" s="389"/>
      <c r="H91" s="2397" t="str">
        <f>IF(AND(O91&gt;0,O90&gt;0),"Pick A1 or A2!","")</f>
        <v/>
      </c>
      <c r="I91" s="3125"/>
      <c r="J91" s="3126"/>
      <c r="K91" s="3126"/>
      <c r="L91" s="3127"/>
      <c r="M91" s="72">
        <v>4</v>
      </c>
      <c r="N91" s="430" t="s">
        <v>1940</v>
      </c>
      <c r="O91" s="2284"/>
      <c r="P91" s="4181"/>
      <c r="Q91" s="1477" t="str">
        <f>IF(OR($O91=$M91,$O91=0,$O91=""),"","*CHECK!*")</f>
        <v/>
      </c>
      <c r="R91" s="974" t="s">
        <v>4767</v>
      </c>
    </row>
    <row r="92" spans="1:21" s="409" customFormat="1" ht="12" customHeight="1">
      <c r="B92" s="435" t="s">
        <v>2467</v>
      </c>
      <c r="C92" s="389" t="s">
        <v>3560</v>
      </c>
      <c r="D92" s="389"/>
      <c r="E92" s="389"/>
      <c r="F92" s="389"/>
      <c r="I92" s="3125"/>
      <c r="J92" s="3126"/>
      <c r="K92" s="3126"/>
      <c r="L92" s="3127"/>
      <c r="M92" s="72">
        <v>1</v>
      </c>
      <c r="N92" s="430" t="s">
        <v>2467</v>
      </c>
      <c r="O92" s="2285"/>
      <c r="P92" s="4182"/>
      <c r="Q92" s="1477" t="str">
        <f>IF(OR($O92=$M92,$O92=0,$O92=""),"","*CHECK!*")</f>
        <v/>
      </c>
      <c r="R92" s="974" t="s">
        <v>4767</v>
      </c>
    </row>
    <row r="93" spans="1:21" s="409" customFormat="1" ht="12" customHeight="1">
      <c r="B93" s="435"/>
      <c r="C93" s="821" t="s">
        <v>3777</v>
      </c>
      <c r="D93" s="389"/>
      <c r="E93" s="389"/>
      <c r="F93" s="1434" t="str">
        <f>'Part I-Project Information'!$H$82</f>
        <v>Family</v>
      </c>
      <c r="G93" s="821"/>
      <c r="H93" s="1434"/>
      <c r="I93" s="3125"/>
      <c r="J93" s="3126"/>
      <c r="K93" s="3126"/>
      <c r="L93" s="3127"/>
      <c r="M93" s="102"/>
      <c r="N93" s="102"/>
      <c r="O93" s="102"/>
      <c r="P93" s="102"/>
      <c r="Q93" s="978"/>
      <c r="R93" s="1079"/>
    </row>
    <row r="94" spans="1:21" s="409" customFormat="1" ht="12" customHeight="1">
      <c r="B94" s="435"/>
      <c r="C94" s="821"/>
      <c r="D94" s="389"/>
      <c r="E94" s="389"/>
      <c r="F94" s="1434"/>
      <c r="G94" s="821"/>
      <c r="H94" s="1434"/>
      <c r="I94" s="3128"/>
      <c r="J94" s="3129"/>
      <c r="K94" s="3129"/>
      <c r="L94" s="3130"/>
      <c r="M94" s="102"/>
      <c r="N94" s="102"/>
      <c r="O94" s="102"/>
      <c r="P94" s="102"/>
      <c r="Q94" s="978"/>
      <c r="R94" s="1079"/>
    </row>
    <row r="95" spans="1:21" s="409" customFormat="1" ht="12" customHeight="1">
      <c r="A95" s="143" t="s">
        <v>1937</v>
      </c>
      <c r="B95" s="1078" t="s">
        <v>3561</v>
      </c>
      <c r="C95" s="603"/>
      <c r="D95" s="603"/>
      <c r="E95" s="603"/>
      <c r="F95" s="1060" t="s">
        <v>3637</v>
      </c>
      <c r="I95" s="3131" t="s">
        <v>7057</v>
      </c>
      <c r="J95" s="3132"/>
      <c r="K95" s="3132"/>
      <c r="L95" s="3042" t="s">
        <v>7154</v>
      </c>
      <c r="M95" s="2373">
        <v>3</v>
      </c>
      <c r="N95" s="455" t="s">
        <v>1937</v>
      </c>
      <c r="O95" s="976">
        <f>IF($J$75="Flexible",MIN($M95,O98+O99+O100),0)</f>
        <v>0</v>
      </c>
      <c r="P95" s="976">
        <f>IF($J$75="Flexible",MIN($M95,P98+P99+P100),0)</f>
        <v>0</v>
      </c>
      <c r="Q95" s="501"/>
      <c r="R95" s="387"/>
    </row>
    <row r="96" spans="1:21" s="43" customFormat="1" ht="11.25" customHeight="1">
      <c r="A96" s="152"/>
      <c r="B96" s="385" t="s">
        <v>3589</v>
      </c>
      <c r="C96" s="172" t="s">
        <v>4302</v>
      </c>
      <c r="D96" s="1063"/>
      <c r="E96" s="102"/>
      <c r="F96" s="102"/>
      <c r="G96" s="102"/>
      <c r="H96" s="45"/>
      <c r="I96" s="3133"/>
      <c r="J96" s="3134"/>
      <c r="K96" s="3134"/>
      <c r="L96" s="3043"/>
      <c r="M96" s="102"/>
      <c r="N96" s="385" t="s">
        <v>3589</v>
      </c>
      <c r="O96" s="2264" t="s">
        <v>7056</v>
      </c>
      <c r="P96" s="898"/>
      <c r="Q96" s="109"/>
      <c r="R96" s="387"/>
      <c r="S96" s="409"/>
      <c r="T96" s="409"/>
      <c r="U96" s="409"/>
    </row>
    <row r="97" spans="1:21" s="43" customFormat="1" ht="11.25" customHeight="1">
      <c r="A97" s="152"/>
      <c r="B97" s="385" t="s">
        <v>3590</v>
      </c>
      <c r="C97" s="172" t="s">
        <v>4301</v>
      </c>
      <c r="D97" s="1063"/>
      <c r="E97" s="102"/>
      <c r="F97" s="102"/>
      <c r="G97" s="102"/>
      <c r="H97" s="45"/>
      <c r="I97" s="3026" t="s">
        <v>7152</v>
      </c>
      <c r="J97" s="3027"/>
      <c r="K97" s="3027"/>
      <c r="L97" s="3028"/>
      <c r="M97" s="102"/>
      <c r="N97" s="385" t="s">
        <v>3590</v>
      </c>
      <c r="O97" s="2256" t="s">
        <v>7056</v>
      </c>
      <c r="P97" s="520"/>
      <c r="Q97" s="109"/>
      <c r="R97" s="387"/>
      <c r="S97" s="409"/>
      <c r="T97" s="409"/>
      <c r="U97" s="409"/>
    </row>
    <row r="98" spans="1:21" s="409" customFormat="1" ht="12" customHeight="1">
      <c r="A98" s="138"/>
      <c r="B98" s="1503" t="s">
        <v>1938</v>
      </c>
      <c r="C98" s="2723" t="s">
        <v>3710</v>
      </c>
      <c r="D98" s="2723"/>
      <c r="E98" s="2723"/>
      <c r="F98" s="2723"/>
      <c r="G98" s="2723"/>
      <c r="H98" s="3023"/>
      <c r="I98" s="3020"/>
      <c r="J98" s="3021"/>
      <c r="K98" s="3021"/>
      <c r="L98" s="3022"/>
      <c r="M98" s="72">
        <v>3</v>
      </c>
      <c r="N98" s="430" t="s">
        <v>1938</v>
      </c>
      <c r="O98" s="2284"/>
      <c r="P98" s="4194"/>
      <c r="Q98" s="978" t="str">
        <f>IF(OR($O98=$M98,$O98=0,$O98=""),"","*CHECK!*")</f>
        <v/>
      </c>
      <c r="R98" s="974" t="s">
        <v>4767</v>
      </c>
    </row>
    <row r="99" spans="1:21" s="43" customFormat="1" ht="12" customHeight="1">
      <c r="A99" s="560" t="s">
        <v>1326</v>
      </c>
      <c r="B99" s="1503" t="s">
        <v>1940</v>
      </c>
      <c r="C99" s="2723" t="s">
        <v>3711</v>
      </c>
      <c r="D99" s="2723"/>
      <c r="E99" s="2723"/>
      <c r="F99" s="2723"/>
      <c r="G99" s="2723"/>
      <c r="H99" s="3023"/>
      <c r="I99" s="3026" t="s">
        <v>7153</v>
      </c>
      <c r="J99" s="3027"/>
      <c r="K99" s="3027"/>
      <c r="L99" s="3028"/>
      <c r="M99" s="72">
        <v>2</v>
      </c>
      <c r="N99" s="430" t="s">
        <v>1940</v>
      </c>
      <c r="O99" s="2284"/>
      <c r="P99" s="4181"/>
      <c r="Q99" s="978" t="str">
        <f>IF(OR($O99=$M99,$O99=0,$O99=""),"","*CHECK!*")</f>
        <v/>
      </c>
      <c r="R99" s="974" t="s">
        <v>4767</v>
      </c>
    </row>
    <row r="100" spans="1:21" s="43" customFormat="1" ht="14.25" customHeight="1">
      <c r="A100" s="560" t="s">
        <v>1326</v>
      </c>
      <c r="B100" s="1503" t="s">
        <v>2467</v>
      </c>
      <c r="C100" s="2723" t="s">
        <v>3712</v>
      </c>
      <c r="D100" s="2723"/>
      <c r="E100" s="2723"/>
      <c r="F100" s="2723"/>
      <c r="G100" s="2723"/>
      <c r="H100" s="3023"/>
      <c r="I100" s="3020"/>
      <c r="J100" s="3021"/>
      <c r="K100" s="3021"/>
      <c r="L100" s="3022"/>
      <c r="M100" s="72">
        <v>1</v>
      </c>
      <c r="N100" s="430" t="s">
        <v>2467</v>
      </c>
      <c r="O100" s="2285"/>
      <c r="P100" s="4182"/>
      <c r="Q100" s="978" t="str">
        <f>IF(OR($O100=$M100,$O100=0,$O100=""),"","*CHECK!*")</f>
        <v/>
      </c>
      <c r="R100" s="974" t="s">
        <v>4767</v>
      </c>
    </row>
    <row r="101" spans="1:21" s="43" customFormat="1" ht="14.25" customHeight="1">
      <c r="A101" s="1061"/>
      <c r="B101" s="1421"/>
      <c r="C101" s="2382"/>
      <c r="D101" s="2382"/>
      <c r="E101" s="2382"/>
      <c r="F101" s="3120" t="str">
        <f>IF(OR(AND(O98&gt;0,O99&gt;0,O100&gt;0),AND(O98&gt;0,O99&gt;0),AND(O98&gt;0,O100&gt;0),AND(O99&gt;0,O100&gt;0)),"Choose only one option: B1 or B2 or B3!","")</f>
        <v/>
      </c>
      <c r="G101" s="3120"/>
      <c r="H101" s="3121"/>
      <c r="I101" s="3026" t="s">
        <v>7155</v>
      </c>
      <c r="J101" s="3027"/>
      <c r="K101" s="3027"/>
      <c r="L101" s="3028"/>
      <c r="M101" s="102"/>
      <c r="N101" s="102"/>
      <c r="O101" s="102"/>
      <c r="P101" s="102"/>
      <c r="Q101" s="978"/>
      <c r="R101" s="1079"/>
    </row>
    <row r="102" spans="1:21" s="43" customFormat="1" ht="12.6" customHeight="1">
      <c r="A102" s="504" t="s">
        <v>2695</v>
      </c>
      <c r="B102" s="165"/>
      <c r="E102" s="41"/>
      <c r="I102" s="3139"/>
      <c r="J102" s="3140"/>
      <c r="K102" s="3140"/>
      <c r="L102" s="3141"/>
      <c r="M102" s="72"/>
      <c r="N102" s="72"/>
      <c r="O102" s="72"/>
      <c r="P102" s="72"/>
      <c r="Q102" s="374"/>
      <c r="R102" s="374"/>
    </row>
    <row r="103" spans="1:21" s="102" customFormat="1" ht="12" customHeight="1">
      <c r="A103" s="138"/>
      <c r="B103" s="435" t="s">
        <v>1198</v>
      </c>
      <c r="C103" s="3056" t="s">
        <v>4367</v>
      </c>
      <c r="D103" s="3056"/>
      <c r="E103" s="3056"/>
      <c r="F103" s="3056"/>
      <c r="G103" s="3056"/>
      <c r="H103" s="3056"/>
      <c r="I103" s="165"/>
      <c r="J103" s="165"/>
      <c r="K103" s="165"/>
      <c r="L103" s="165"/>
      <c r="M103" s="72">
        <v>1</v>
      </c>
      <c r="N103" s="430" t="s">
        <v>1198</v>
      </c>
      <c r="O103" s="2289">
        <v>1</v>
      </c>
      <c r="P103" s="4195"/>
      <c r="Q103" s="978" t="str">
        <f>IF(OR($O103=$M103,$O103=0,$O103=""),"","*CHECK!*")</f>
        <v/>
      </c>
      <c r="R103" s="974" t="s">
        <v>4767</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5"/>
    </row>
    <row r="107" spans="1:21" s="43" customFormat="1" ht="46.5" customHeight="1" thickTop="1" thickBot="1">
      <c r="A107" s="2940" t="s">
        <v>7168</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1819</v>
      </c>
      <c r="C108" s="42"/>
      <c r="D108" s="97"/>
      <c r="E108" s="2380"/>
      <c r="F108" s="2380"/>
      <c r="G108" s="2380"/>
      <c r="H108" s="2380"/>
      <c r="I108" s="2380"/>
      <c r="J108" s="2380"/>
      <c r="K108" s="2380"/>
      <c r="L108" s="2380"/>
      <c r="M108" s="2380"/>
      <c r="N108" s="93"/>
      <c r="O108" s="836"/>
      <c r="P108" s="2373"/>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5"/>
      <c r="P111" s="3"/>
    </row>
    <row r="112" spans="1:21" s="43" customFormat="1" ht="12.75" customHeight="1" thickBot="1">
      <c r="A112" s="152" t="s">
        <v>1750</v>
      </c>
      <c r="B112" s="106" t="s">
        <v>3727</v>
      </c>
      <c r="D112" s="39"/>
      <c r="E112" s="36"/>
      <c r="F112" s="846"/>
      <c r="G112" s="846"/>
      <c r="H112" s="846"/>
      <c r="I112" s="61" t="s">
        <v>3567</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5"/>
      <c r="P113" s="3"/>
    </row>
    <row r="114" spans="1:20" s="102" customFormat="1" ht="12.75" customHeight="1" thickBot="1">
      <c r="A114" s="178" t="s">
        <v>1935</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1935</v>
      </c>
      <c r="O114" s="2290"/>
      <c r="P114" s="4196"/>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1"/>
      <c r="P115" s="4197"/>
    </row>
    <row r="116" spans="1:20" s="36" customFormat="1" ht="21.6" customHeight="1">
      <c r="A116" s="63"/>
      <c r="B116" s="2720" t="s">
        <v>4728</v>
      </c>
      <c r="C116" s="2720"/>
      <c r="D116" s="3143"/>
      <c r="E116" s="3143"/>
      <c r="F116" s="3143"/>
      <c r="G116" s="3143"/>
      <c r="H116" s="3143"/>
      <c r="I116" s="3143"/>
      <c r="J116" s="3143"/>
      <c r="K116" s="3143"/>
      <c r="L116" s="3143"/>
      <c r="M116" s="3143"/>
      <c r="N116" s="3143"/>
      <c r="O116" s="3143"/>
      <c r="P116" s="3143"/>
      <c r="Q116" s="1023"/>
      <c r="R116" s="1023"/>
      <c r="S116" s="1023"/>
      <c r="T116" s="1023"/>
    </row>
    <row r="117" spans="1:20" s="102" customFormat="1" ht="21.6" customHeight="1">
      <c r="A117" s="178"/>
      <c r="B117" s="2710" t="s">
        <v>4306</v>
      </c>
      <c r="C117" s="2710"/>
      <c r="D117" s="2710"/>
      <c r="E117" s="3144"/>
      <c r="F117" s="3144"/>
      <c r="G117" s="3144"/>
      <c r="H117" s="3144"/>
      <c r="I117" s="3144"/>
      <c r="J117" s="3144"/>
      <c r="K117" s="3144"/>
      <c r="L117" s="3144"/>
      <c r="M117" s="3144"/>
      <c r="N117" s="3144"/>
      <c r="O117" s="3144"/>
      <c r="P117" s="3144"/>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5"/>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90">
        <v>3</v>
      </c>
      <c r="P119" s="4196"/>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85" t="s">
        <v>2885</v>
      </c>
      <c r="P120" s="2391"/>
      <c r="Q120" s="1023"/>
      <c r="R120" s="1023"/>
      <c r="S120" s="1023"/>
      <c r="T120" s="1023"/>
    </row>
    <row r="121" spans="1:20" s="409" customFormat="1" ht="27" customHeight="1">
      <c r="A121" s="1780"/>
      <c r="B121" s="1421" t="s">
        <v>1938</v>
      </c>
      <c r="C121" s="136" t="s">
        <v>4612</v>
      </c>
      <c r="D121" s="3145" t="s">
        <v>4306</v>
      </c>
      <c r="E121" s="3145"/>
      <c r="F121" s="3145"/>
      <c r="G121" s="3143" t="s">
        <v>7057</v>
      </c>
      <c r="H121" s="3143"/>
      <c r="I121" s="3143"/>
      <c r="J121" s="3143"/>
      <c r="K121" s="3143"/>
      <c r="L121" s="3143"/>
      <c r="M121" s="3143"/>
      <c r="N121" s="3143"/>
      <c r="O121" s="3143"/>
      <c r="P121" s="3143"/>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4" t="s">
        <v>2885</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8"/>
      <c r="N123" s="385" t="s">
        <v>2372</v>
      </c>
      <c r="O123" s="2255" t="s">
        <v>2885</v>
      </c>
      <c r="P123" s="519"/>
      <c r="Q123" s="1023"/>
      <c r="R123" s="1023"/>
      <c r="S123" s="1023"/>
      <c r="T123" s="1023"/>
    </row>
    <row r="124" spans="1:20" s="55" customFormat="1" ht="10.5" customHeight="1">
      <c r="A124" s="63"/>
      <c r="C124" s="55" t="s">
        <v>3805</v>
      </c>
      <c r="D124" s="412"/>
      <c r="E124" s="52"/>
      <c r="F124" s="52"/>
      <c r="G124" s="52"/>
      <c r="H124" s="412"/>
      <c r="J124" s="412"/>
      <c r="L124" s="2902" t="s">
        <v>3616</v>
      </c>
      <c r="M124" s="2902"/>
      <c r="N124" s="2902"/>
      <c r="O124" s="3138" t="s">
        <v>3615</v>
      </c>
      <c r="P124" s="3138"/>
      <c r="Q124" s="52"/>
    </row>
    <row r="125" spans="1:20" s="55" customFormat="1" ht="10.95" customHeight="1">
      <c r="A125" s="63"/>
      <c r="B125" s="373"/>
      <c r="C125" s="3014" t="s">
        <v>7136</v>
      </c>
      <c r="D125" s="3015"/>
      <c r="E125" s="3015"/>
      <c r="F125" s="3015"/>
      <c r="G125" s="3015"/>
      <c r="H125" s="3015"/>
      <c r="I125" s="3015"/>
      <c r="J125" s="3015"/>
      <c r="K125" s="3016"/>
      <c r="L125" s="3017" t="s">
        <v>7058</v>
      </c>
      <c r="M125" s="3017"/>
      <c r="N125" s="3017"/>
      <c r="O125" s="3018">
        <v>0</v>
      </c>
      <c r="P125" s="3018"/>
      <c r="Q125" s="1055" t="str">
        <f>IF(O125&gt;15, "Too much!","")</f>
        <v/>
      </c>
    </row>
    <row r="126" spans="1:20" s="55" customFormat="1" ht="10.95" customHeight="1">
      <c r="A126" s="63"/>
      <c r="B126" s="386"/>
      <c r="C126" s="3020" t="s">
        <v>7134</v>
      </c>
      <c r="D126" s="3021"/>
      <c r="E126" s="3021"/>
      <c r="F126" s="3021"/>
      <c r="G126" s="3021"/>
      <c r="H126" s="3021"/>
      <c r="I126" s="3021"/>
      <c r="J126" s="3021"/>
      <c r="K126" s="3022"/>
      <c r="L126" s="3012" t="s">
        <v>7058</v>
      </c>
      <c r="M126" s="3012"/>
      <c r="N126" s="3012"/>
      <c r="O126" s="3019">
        <v>0</v>
      </c>
      <c r="P126" s="3019"/>
      <c r="Q126" s="1055" t="str">
        <f>IF(O126&gt;15, "Too much!","")</f>
        <v/>
      </c>
    </row>
    <row r="127" spans="1:20" s="55" customFormat="1" ht="10.95" customHeight="1">
      <c r="A127" s="63"/>
      <c r="B127" s="373"/>
      <c r="C127" s="3020" t="s">
        <v>7169</v>
      </c>
      <c r="D127" s="3021"/>
      <c r="E127" s="3021"/>
      <c r="F127" s="3021"/>
      <c r="G127" s="3021"/>
      <c r="H127" s="3021"/>
      <c r="I127" s="3021"/>
      <c r="J127" s="3021"/>
      <c r="K127" s="3022"/>
      <c r="L127" s="3012" t="s">
        <v>7137</v>
      </c>
      <c r="M127" s="3012"/>
      <c r="N127" s="3012"/>
      <c r="O127" s="3019">
        <v>0</v>
      </c>
      <c r="P127" s="3019"/>
      <c r="Q127" s="1055" t="str">
        <f>IF(O127&gt;15, "Too much!","")</f>
        <v/>
      </c>
    </row>
    <row r="128" spans="1:20" s="55" customFormat="1" ht="10.95" customHeight="1">
      <c r="A128" s="63"/>
      <c r="B128" s="385"/>
      <c r="C128" s="3139" t="s">
        <v>7135</v>
      </c>
      <c r="D128" s="3140"/>
      <c r="E128" s="3140"/>
      <c r="F128" s="3140"/>
      <c r="G128" s="3140"/>
      <c r="H128" s="3140"/>
      <c r="I128" s="3140"/>
      <c r="J128" s="3140"/>
      <c r="K128" s="3141"/>
      <c r="L128" s="3142" t="s">
        <v>7138</v>
      </c>
      <c r="M128" s="3142"/>
      <c r="N128" s="3142"/>
      <c r="O128" s="3013">
        <v>0</v>
      </c>
      <c r="P128" s="3013"/>
      <c r="Q128" s="1055" t="str">
        <f>IF(O128&gt;15, "Too much!","")</f>
        <v/>
      </c>
    </row>
    <row r="129" spans="1:21" s="102" customFormat="1" ht="10.5" customHeight="1">
      <c r="B129" s="1503" t="s">
        <v>1940</v>
      </c>
      <c r="C129" s="66" t="s">
        <v>4613</v>
      </c>
      <c r="D129" s="36" t="s">
        <v>4618</v>
      </c>
      <c r="E129" s="52"/>
      <c r="F129" s="52"/>
      <c r="G129" s="52"/>
      <c r="H129" s="92"/>
      <c r="I129" s="92"/>
      <c r="J129" s="92"/>
      <c r="K129" s="92"/>
      <c r="L129" s="92"/>
      <c r="M129" s="92"/>
      <c r="N129" s="986" t="s">
        <v>4809</v>
      </c>
      <c r="O129" s="2254" t="s">
        <v>2885</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56" t="s">
        <v>2885</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90">
        <v>1</v>
      </c>
      <c r="P131" s="4196"/>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8"/>
      <c r="N132" s="52"/>
      <c r="O132" s="2385" t="s">
        <v>7043</v>
      </c>
      <c r="P132" s="2391"/>
      <c r="Q132" s="52"/>
      <c r="R132" s="1023"/>
      <c r="S132" s="1023"/>
      <c r="T132" s="1023"/>
      <c r="U132" s="1023"/>
    </row>
    <row r="133" spans="1:21" s="36" customFormat="1" ht="10.5" customHeight="1">
      <c r="A133" s="63"/>
      <c r="B133" s="1503" t="s">
        <v>1938</v>
      </c>
      <c r="C133" s="2710" t="s">
        <v>4614</v>
      </c>
      <c r="D133" s="2710"/>
      <c r="E133" s="2710"/>
      <c r="F133" s="1135"/>
      <c r="G133" s="856" t="s">
        <v>4813</v>
      </c>
      <c r="I133" s="1135"/>
      <c r="J133" s="1135"/>
      <c r="K133" s="1135"/>
      <c r="L133" s="1135"/>
      <c r="M133" s="64"/>
      <c r="N133" s="986" t="s">
        <v>4808</v>
      </c>
      <c r="O133" s="2264" t="s">
        <v>2885</v>
      </c>
      <c r="P133" s="898"/>
      <c r="Q133" s="52"/>
      <c r="R133" s="1023"/>
      <c r="S133" s="1023"/>
      <c r="T133" s="1023"/>
      <c r="U133" s="1023"/>
    </row>
    <row r="134" spans="1:21" s="36" customFormat="1" ht="10.5" customHeight="1">
      <c r="A134" s="63"/>
      <c r="B134" s="372"/>
      <c r="C134" s="2710"/>
      <c r="D134" s="2710"/>
      <c r="E134" s="2710"/>
      <c r="F134" s="1135"/>
      <c r="G134" s="856" t="s">
        <v>4810</v>
      </c>
      <c r="I134" s="1135"/>
      <c r="J134" s="1135"/>
      <c r="K134" s="1135"/>
      <c r="L134" s="1135"/>
      <c r="M134" s="2388"/>
      <c r="N134" s="385" t="s">
        <v>2372</v>
      </c>
      <c r="O134" s="2255" t="s">
        <v>2885</v>
      </c>
      <c r="P134" s="519"/>
      <c r="Q134" s="52"/>
      <c r="R134" s="1023"/>
      <c r="S134" s="1023"/>
      <c r="T134" s="1023"/>
      <c r="U134" s="1023"/>
    </row>
    <row r="135" spans="1:21" s="36" customFormat="1" ht="10.5" customHeight="1">
      <c r="A135" s="64"/>
      <c r="B135" s="372"/>
      <c r="C135" s="2710"/>
      <c r="D135" s="2710"/>
      <c r="E135" s="2710"/>
      <c r="F135" s="1135"/>
      <c r="G135" s="856" t="s">
        <v>4811</v>
      </c>
      <c r="I135" s="1135"/>
      <c r="J135" s="1135"/>
      <c r="K135" s="1135"/>
      <c r="L135" s="1135"/>
      <c r="M135" s="2388"/>
      <c r="N135" s="385" t="s">
        <v>2373</v>
      </c>
      <c r="O135" s="2255" t="s">
        <v>2885</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8"/>
      <c r="N136" s="385" t="s">
        <v>2374</v>
      </c>
      <c r="O136" s="2255" t="s">
        <v>2885</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8"/>
      <c r="N137" s="385" t="s">
        <v>2375</v>
      </c>
      <c r="O137" s="2256" t="s">
        <v>2885</v>
      </c>
      <c r="P137" s="520"/>
      <c r="Q137" s="52"/>
    </row>
    <row r="138" spans="1:21" s="36" customFormat="1" ht="10.5" customHeight="1">
      <c r="A138" s="63"/>
      <c r="C138" s="52" t="s">
        <v>4815</v>
      </c>
      <c r="D138" s="1135"/>
      <c r="E138" s="1135"/>
      <c r="F138" s="1135"/>
      <c r="G138" s="1135"/>
      <c r="H138" s="1135"/>
      <c r="I138" s="1135"/>
      <c r="J138" s="1135"/>
      <c r="K138" s="1135"/>
      <c r="L138" s="1135"/>
      <c r="M138" s="2388"/>
      <c r="N138" s="52"/>
      <c r="O138" s="2385" t="s">
        <v>7043</v>
      </c>
      <c r="P138" s="2391"/>
      <c r="Q138" s="52"/>
      <c r="R138" s="1023"/>
      <c r="S138" s="1023"/>
      <c r="T138" s="1023"/>
      <c r="U138" s="1023"/>
    </row>
    <row r="139" spans="1:21" s="36" customFormat="1" ht="10.5" customHeight="1">
      <c r="A139" s="63"/>
      <c r="B139" s="1503" t="s">
        <v>1940</v>
      </c>
      <c r="C139" s="856" t="s">
        <v>4615</v>
      </c>
      <c r="D139" s="1135"/>
      <c r="E139" s="1135"/>
      <c r="F139" s="1135"/>
      <c r="G139" s="1135"/>
      <c r="H139" s="1135"/>
      <c r="I139" s="1135"/>
      <c r="J139" s="1135"/>
      <c r="K139" s="1135"/>
      <c r="L139" s="1135"/>
      <c r="M139" s="64"/>
      <c r="N139" s="1037" t="s">
        <v>1940</v>
      </c>
      <c r="O139" s="2257" t="s">
        <v>2885</v>
      </c>
      <c r="P139" s="517"/>
      <c r="Q139" s="52"/>
    </row>
    <row r="140" spans="1:21" s="55" customFormat="1" ht="10.5" customHeight="1">
      <c r="A140" s="63"/>
      <c r="B140" s="435"/>
      <c r="C140" s="55" t="s">
        <v>3624</v>
      </c>
      <c r="D140" s="412"/>
      <c r="E140" s="52"/>
      <c r="F140" s="52"/>
      <c r="G140" s="55" t="s">
        <v>3807</v>
      </c>
      <c r="H140" s="412"/>
      <c r="M140" s="58"/>
      <c r="N140" s="58"/>
      <c r="O140" s="58"/>
      <c r="P140" s="58"/>
      <c r="Q140" s="52"/>
    </row>
    <row r="141" spans="1:21" s="55" customFormat="1" ht="21" customHeight="1">
      <c r="B141" s="373"/>
      <c r="C141" s="3014" t="s">
        <v>7139</v>
      </c>
      <c r="D141" s="3015"/>
      <c r="E141" s="3015"/>
      <c r="F141" s="3016"/>
      <c r="G141" s="3135" t="s">
        <v>7143</v>
      </c>
      <c r="H141" s="3136"/>
      <c r="I141" s="3136"/>
      <c r="J141" s="3136"/>
      <c r="K141" s="3136"/>
      <c r="L141" s="3136"/>
      <c r="M141" s="3136"/>
      <c r="N141" s="3136"/>
      <c r="O141" s="3136"/>
      <c r="P141" s="3137"/>
      <c r="Q141" s="52"/>
    </row>
    <row r="142" spans="1:21" s="55" customFormat="1" ht="21" customHeight="1">
      <c r="A142" s="63"/>
      <c r="B142" s="386"/>
      <c r="C142" s="3020" t="s">
        <v>7140</v>
      </c>
      <c r="D142" s="3021"/>
      <c r="E142" s="3021"/>
      <c r="F142" s="3022"/>
      <c r="G142" s="3020" t="s">
        <v>7144</v>
      </c>
      <c r="H142" s="3021"/>
      <c r="I142" s="3021"/>
      <c r="J142" s="3021"/>
      <c r="K142" s="3021"/>
      <c r="L142" s="3021"/>
      <c r="M142" s="3021"/>
      <c r="N142" s="3021"/>
      <c r="O142" s="3021"/>
      <c r="P142" s="3022"/>
      <c r="Q142" s="52"/>
    </row>
    <row r="143" spans="1:21" s="55" customFormat="1" ht="21" customHeight="1">
      <c r="B143" s="1604"/>
      <c r="C143" s="3020" t="s">
        <v>7141</v>
      </c>
      <c r="D143" s="3021"/>
      <c r="E143" s="3021"/>
      <c r="F143" s="3022"/>
      <c r="G143" s="3020" t="s">
        <v>7145</v>
      </c>
      <c r="H143" s="3021"/>
      <c r="I143" s="3021"/>
      <c r="J143" s="3021"/>
      <c r="K143" s="3021"/>
      <c r="L143" s="3021"/>
      <c r="M143" s="3021"/>
      <c r="N143" s="3021"/>
      <c r="O143" s="3021"/>
      <c r="P143" s="3022"/>
      <c r="Q143" s="52"/>
    </row>
    <row r="144" spans="1:21" s="55" customFormat="1" ht="24" customHeight="1">
      <c r="A144" s="1604"/>
      <c r="B144" s="1604"/>
      <c r="C144" s="3139" t="s">
        <v>7142</v>
      </c>
      <c r="D144" s="3140"/>
      <c r="E144" s="3140"/>
      <c r="F144" s="3141"/>
      <c r="G144" s="3139" t="s">
        <v>7146</v>
      </c>
      <c r="H144" s="3140"/>
      <c r="I144" s="3140"/>
      <c r="J144" s="3140"/>
      <c r="K144" s="3140"/>
      <c r="L144" s="3140"/>
      <c r="M144" s="3140"/>
      <c r="N144" s="3140"/>
      <c r="O144" s="3140"/>
      <c r="P144" s="3141"/>
      <c r="Q144" s="52"/>
    </row>
    <row r="145" spans="1:27" s="43" customFormat="1" ht="11.25" customHeight="1" thickBot="1">
      <c r="A145" s="42"/>
      <c r="B145" s="1132" t="s">
        <v>3566</v>
      </c>
      <c r="C145" s="42"/>
      <c r="D145" s="48"/>
      <c r="E145" s="48"/>
      <c r="F145" s="48"/>
      <c r="G145" s="48"/>
      <c r="H145" s="36"/>
      <c r="K145" s="48"/>
      <c r="M145" s="46"/>
      <c r="N145" s="62"/>
      <c r="O145" s="3"/>
      <c r="P145" s="2375"/>
    </row>
    <row r="146" spans="1:27" s="43" customFormat="1" ht="81.75" customHeight="1" thickTop="1" thickBot="1">
      <c r="A146" s="2940" t="s">
        <v>7170</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199999999999999" customHeight="1" thickTop="1">
      <c r="B147" s="1605" t="s">
        <v>3820</v>
      </c>
      <c r="C147" s="98"/>
      <c r="D147" s="85"/>
      <c r="E147" s="99"/>
      <c r="F147" s="2376"/>
      <c r="G147" s="2376"/>
      <c r="H147" s="2376"/>
      <c r="I147" s="2376"/>
      <c r="J147" s="2376"/>
      <c r="K147" s="2376"/>
      <c r="L147" s="2376"/>
      <c r="M147" s="2376"/>
      <c r="N147" s="74"/>
      <c r="O147" s="70"/>
      <c r="P147" s="2373"/>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6"/>
      <c r="D149" s="2376"/>
      <c r="E149" s="2376"/>
      <c r="F149" s="2376"/>
      <c r="G149" s="2376"/>
      <c r="H149" s="2376"/>
      <c r="I149" s="2376"/>
      <c r="J149" s="2376"/>
      <c r="K149" s="2376"/>
      <c r="L149" s="2376"/>
      <c r="M149" s="2376"/>
      <c r="N149" s="74"/>
      <c r="O149" s="70"/>
      <c r="P149" s="846"/>
    </row>
    <row r="150" spans="1:27" s="43" customFormat="1" ht="13.5" customHeight="1" thickBot="1">
      <c r="A150" s="152" t="s">
        <v>516</v>
      </c>
      <c r="B150" s="106" t="s">
        <v>3716</v>
      </c>
      <c r="C150" s="2376"/>
      <c r="D150" s="2376"/>
      <c r="E150" s="2376"/>
      <c r="F150" s="2376"/>
      <c r="G150" s="2376"/>
      <c r="H150" s="2376"/>
      <c r="I150" s="2376"/>
      <c r="J150" s="2376"/>
      <c r="K150" s="2376"/>
      <c r="L150" s="2376"/>
      <c r="M150" s="846">
        <v>5</v>
      </c>
      <c r="N150" s="74"/>
      <c r="O150" s="1041">
        <f>O152+O175</f>
        <v>5</v>
      </c>
      <c r="P150" s="1041">
        <f>P152+P175</f>
        <v>0</v>
      </c>
      <c r="Q150" s="109" t="s">
        <v>433</v>
      </c>
      <c r="S150" s="1734">
        <f>IF(NOT(R163=T163),0,IF(OR('Part VI-Revenues &amp; Expenses'!$P$67=0,$V$163=0),0,IF(AND($F$157="Family",$V$163=$T$163),3,IF($V$163=$T$163,2,IF(OR($V$163=2,$V$163=1),1,0)))))</f>
        <v>3</v>
      </c>
    </row>
    <row r="151" spans="1:27" s="43" customFormat="1" ht="3.75" customHeight="1">
      <c r="A151" s="42"/>
      <c r="C151" s="2376"/>
      <c r="D151" s="2376"/>
      <c r="E151" s="2376"/>
      <c r="F151" s="2376"/>
      <c r="G151" s="2376"/>
      <c r="H151" s="2376"/>
      <c r="I151" s="2376"/>
      <c r="J151" s="2376"/>
      <c r="K151" s="2376"/>
      <c r="L151" s="2376"/>
      <c r="M151" s="2376"/>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92">
        <v>3</v>
      </c>
      <c r="P152" s="4198"/>
      <c r="Q152" s="1477" t="str">
        <f>IF(OR($O152=$M152,$O152=0,$O152=""),"","*CHECK!*")</f>
        <v/>
      </c>
      <c r="R152" s="974" t="s">
        <v>4767</v>
      </c>
    </row>
    <row r="153" spans="1:27" s="43" customFormat="1" ht="12" customHeight="1">
      <c r="B153" s="40" t="s">
        <v>3620</v>
      </c>
      <c r="C153" s="424"/>
      <c r="D153" s="424"/>
      <c r="E153" s="424"/>
      <c r="F153" s="424"/>
      <c r="G153" s="424"/>
      <c r="H153" s="424"/>
      <c r="I153" s="424"/>
      <c r="J153" s="424"/>
      <c r="K153" s="424"/>
      <c r="L153" s="424"/>
      <c r="M153" s="424"/>
      <c r="N153" s="424"/>
      <c r="O153" s="2252" t="s">
        <v>2885</v>
      </c>
      <c r="P153" s="516"/>
      <c r="Q153" s="3178" t="s">
        <v>4593</v>
      </c>
      <c r="R153" s="3178"/>
      <c r="S153" s="3178"/>
      <c r="T153" s="3178"/>
      <c r="U153" s="3178"/>
      <c r="V153" s="3178"/>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78"/>
      <c r="R154" s="3178"/>
      <c r="S154" s="3178"/>
      <c r="T154" s="3178"/>
      <c r="U154" s="3178"/>
      <c r="V154" s="3178"/>
      <c r="W154" s="1731"/>
    </row>
    <row r="155" spans="1:27" s="43" customFormat="1" ht="11.25" customHeight="1">
      <c r="A155" s="138"/>
      <c r="B155" s="3096" t="s">
        <v>4504</v>
      </c>
      <c r="C155" s="3096"/>
      <c r="D155" s="3096"/>
      <c r="E155" s="52" t="s">
        <v>3619</v>
      </c>
      <c r="F155" s="102"/>
      <c r="G155" s="52"/>
      <c r="H155" s="102"/>
      <c r="I155" s="2763" t="s">
        <v>7059</v>
      </c>
      <c r="J155" s="2764"/>
      <c r="K155" s="2764"/>
      <c r="L155" s="2765"/>
      <c r="Q155" s="3178"/>
      <c r="R155" s="3178"/>
      <c r="S155" s="3178"/>
      <c r="T155" s="3178"/>
      <c r="U155" s="3178"/>
      <c r="V155" s="3178"/>
      <c r="W155" s="1731"/>
    </row>
    <row r="156" spans="1:27" s="43" customFormat="1" ht="11.25" customHeight="1">
      <c r="A156" s="138"/>
      <c r="B156" s="3096"/>
      <c r="C156" s="3096"/>
      <c r="D156" s="3096"/>
      <c r="E156" s="40" t="s">
        <v>4308</v>
      </c>
      <c r="F156" s="374"/>
      <c r="G156" s="102"/>
      <c r="H156" s="102"/>
      <c r="I156" s="40"/>
      <c r="J156" s="2390"/>
      <c r="K156" s="2390"/>
      <c r="L156" s="2390"/>
      <c r="M156" s="102"/>
      <c r="N156" s="1065"/>
      <c r="O156" s="2252" t="s">
        <v>7056</v>
      </c>
      <c r="P156" s="516"/>
      <c r="Q156" s="3178"/>
      <c r="R156" s="3178"/>
      <c r="S156" s="3178"/>
      <c r="T156" s="3178"/>
      <c r="U156" s="3178"/>
      <c r="V156" s="3178"/>
      <c r="W156" s="1731"/>
    </row>
    <row r="157" spans="1:27" s="43" customFormat="1" ht="12" customHeight="1">
      <c r="A157" s="42"/>
      <c r="C157" s="2376"/>
      <c r="D157" s="2376"/>
      <c r="E157" s="52" t="s">
        <v>4309</v>
      </c>
      <c r="F157" s="1506" t="str">
        <f>'Part I-Project Information'!$H$82</f>
        <v>Family</v>
      </c>
      <c r="H157" s="1505"/>
      <c r="I157" s="2376"/>
      <c r="J157" s="2376"/>
      <c r="M157" s="2376"/>
      <c r="N157" s="74"/>
      <c r="O157" s="3151" t="s">
        <v>4762</v>
      </c>
      <c r="P157" s="3151"/>
      <c r="Q157" s="3178"/>
      <c r="R157" s="3178"/>
      <c r="S157" s="3178"/>
      <c r="T157" s="3178"/>
      <c r="U157" s="3178"/>
      <c r="V157" s="3178"/>
      <c r="W157" s="1731"/>
    </row>
    <row r="158" spans="1:27" s="55" customFormat="1" ht="3" customHeight="1">
      <c r="A158" s="861"/>
      <c r="B158" s="424"/>
      <c r="O158" s="3152"/>
      <c r="P158" s="3152"/>
      <c r="Q158" s="3178"/>
      <c r="R158" s="3178"/>
      <c r="S158" s="3178"/>
      <c r="T158" s="3178"/>
      <c r="U158" s="3178"/>
      <c r="V158" s="3178"/>
      <c r="W158" s="1731"/>
    </row>
    <row r="159" spans="1:27" s="43" customFormat="1" ht="12" customHeight="1">
      <c r="A159" s="373" t="s">
        <v>2371</v>
      </c>
      <c r="B159" s="110" t="s">
        <v>4505</v>
      </c>
      <c r="C159" s="2376"/>
      <c r="D159" s="2376"/>
      <c r="E159" s="52"/>
      <c r="F159" s="1419"/>
      <c r="G159" s="1419"/>
      <c r="I159" s="2376"/>
      <c r="J159" s="2376"/>
      <c r="K159" s="2376"/>
      <c r="L159" s="2376"/>
      <c r="M159" s="3164" t="s">
        <v>4307</v>
      </c>
      <c r="N159" s="74"/>
      <c r="O159" s="3152"/>
      <c r="P159" s="3152"/>
      <c r="Q159" s="3178"/>
      <c r="R159" s="3178"/>
      <c r="S159" s="3178"/>
      <c r="T159" s="3178"/>
      <c r="U159" s="3178"/>
      <c r="V159" s="3178"/>
      <c r="Y159" s="3177" t="s">
        <v>4783</v>
      </c>
      <c r="Z159" s="3177"/>
      <c r="AA159" s="3177"/>
    </row>
    <row r="160" spans="1:27" s="55" customFormat="1" ht="3" customHeight="1">
      <c r="A160" s="861"/>
      <c r="B160" s="424"/>
      <c r="M160" s="3164"/>
      <c r="O160" s="3152"/>
      <c r="P160" s="3152"/>
      <c r="R160" s="1730"/>
      <c r="S160" s="412"/>
      <c r="T160" s="1730"/>
      <c r="U160" s="412"/>
      <c r="V160" s="43"/>
      <c r="W160" s="43"/>
    </row>
    <row r="161" spans="1:36" s="43" customFormat="1" ht="13.5" customHeight="1">
      <c r="A161" s="3188" t="s">
        <v>4763</v>
      </c>
      <c r="B161" s="3188"/>
      <c r="C161" s="3188"/>
      <c r="D161" s="3188"/>
      <c r="E161" s="3188"/>
      <c r="F161" s="3188"/>
      <c r="G161" s="3189"/>
      <c r="H161" s="3161" t="s">
        <v>3647</v>
      </c>
      <c r="I161" s="3162"/>
      <c r="J161" s="3163"/>
      <c r="K161" s="3164" t="s">
        <v>3618</v>
      </c>
      <c r="L161" s="2697" t="s">
        <v>4754</v>
      </c>
      <c r="M161" s="3164"/>
      <c r="N161" s="1436"/>
      <c r="O161" s="3152"/>
      <c r="P161" s="3152"/>
      <c r="Q161" s="3179" t="s">
        <v>4750</v>
      </c>
      <c r="R161" s="3179" t="s">
        <v>4753</v>
      </c>
      <c r="S161" s="3179" t="s">
        <v>4751</v>
      </c>
      <c r="T161" s="3179" t="s">
        <v>4752</v>
      </c>
      <c r="U161" s="3179" t="s">
        <v>4469</v>
      </c>
      <c r="V161" s="3179" t="s">
        <v>4468</v>
      </c>
      <c r="X161" s="102"/>
      <c r="Y161" s="1742" t="s">
        <v>4782</v>
      </c>
      <c r="Z161" s="1743" t="s">
        <v>4784</v>
      </c>
      <c r="AA161" s="1743" t="s">
        <v>4785</v>
      </c>
    </row>
    <row r="162" spans="1:36" s="43" customFormat="1" ht="15" customHeight="1">
      <c r="B162" s="481" t="s">
        <v>4786</v>
      </c>
      <c r="C162" s="2390"/>
      <c r="E162" s="1744" t="s">
        <v>4787</v>
      </c>
      <c r="F162" s="1726" t="s">
        <v>4761</v>
      </c>
      <c r="G162" s="1726" t="s">
        <v>3283</v>
      </c>
      <c r="H162" s="2383">
        <v>2017</v>
      </c>
      <c r="I162" s="2383">
        <v>2018</v>
      </c>
      <c r="J162" s="2383">
        <v>2019</v>
      </c>
      <c r="K162" s="2475"/>
      <c r="L162" s="3184"/>
      <c r="M162" s="2475"/>
      <c r="N162" s="1436"/>
      <c r="O162" s="3070"/>
      <c r="P162" s="3070"/>
      <c r="Q162" s="3179"/>
      <c r="R162" s="3179"/>
      <c r="S162" s="3179"/>
      <c r="T162" s="3179"/>
      <c r="U162" s="3179"/>
      <c r="V162" s="3179"/>
      <c r="X162" s="1742" t="s">
        <v>4780</v>
      </c>
      <c r="Y162" s="1128">
        <v>75.930000000000007</v>
      </c>
      <c r="Z162" s="1128">
        <v>73.77</v>
      </c>
      <c r="AA162" s="1128">
        <v>76.430000000000007</v>
      </c>
      <c r="AB162" s="2393"/>
      <c r="AD162" s="2393"/>
      <c r="AE162" s="2393"/>
      <c r="AF162" s="2393"/>
      <c r="AG162" s="2393"/>
      <c r="AH162" s="2393"/>
      <c r="AI162" s="2393"/>
      <c r="AJ162" s="2393"/>
    </row>
    <row r="163" spans="1:36" s="43" customFormat="1" ht="12" customHeight="1">
      <c r="A163" s="1733" t="str">
        <f>IF(OR(M163="Yes", O163="Yes", AND(B163="",F163="",G163="",H163="",I163="",J163="",L163="",O163="")),"", IF(AND(NOT(B163=""),OR(O163="",O163="No",O163="N/a"),OR(F163="",G163=""),AND(H163="",I163="",J163=""),L163=""),"Finish!","Check"))</f>
        <v/>
      </c>
      <c r="B163" s="3185" t="s">
        <v>7147</v>
      </c>
      <c r="C163" s="3186"/>
      <c r="D163" s="3187"/>
      <c r="E163" s="2293" t="s">
        <v>1568</v>
      </c>
      <c r="F163" s="2294" t="s">
        <v>2888</v>
      </c>
      <c r="G163" s="2295" t="s">
        <v>7156</v>
      </c>
      <c r="H163" s="2296"/>
      <c r="I163" s="2297"/>
      <c r="J163" s="2297"/>
      <c r="K163" s="1609" t="str">
        <f t="shared" ref="K163:K172" si="0">IF(H163+I163+J163=0,"",AVERAGE(H163,I163,J163))</f>
        <v/>
      </c>
      <c r="L163" s="2298"/>
      <c r="M163" s="1606" t="str">
        <f>IF(OR(K163="",L163=""),"",IF(K163&gt;L163,"Yes",IF(K163&lt;L163,"No","")))</f>
        <v/>
      </c>
      <c r="O163" s="2254" t="s">
        <v>2885</v>
      </c>
      <c r="P163" s="518"/>
      <c r="Q163" s="447">
        <f>IF(AND(B163="",F163="",G163="",H163="",I163="",J163="",L163="",O163=""),0,1)</f>
        <v>1</v>
      </c>
      <c r="R163" s="3180">
        <f>SUM(Q163:Q172)</f>
        <v>3</v>
      </c>
      <c r="S163" s="1732">
        <f t="shared" ref="S163:S172" si="1">IF(AND(M163="",NOT(O163="Yes")),0,1)</f>
        <v>1</v>
      </c>
      <c r="T163" s="3180">
        <f>SUM(S163:S172)</f>
        <v>3</v>
      </c>
      <c r="U163" s="1732">
        <f t="shared" ref="U163:U172" si="2">IF(OR(M163="Yes",O163="Yes"),1,0)</f>
        <v>1</v>
      </c>
      <c r="V163" s="3180">
        <f>SUM(U163:U172)</f>
        <v>3</v>
      </c>
      <c r="X163" s="1742" t="s">
        <v>4781</v>
      </c>
      <c r="Y163" s="1128">
        <v>77.45</v>
      </c>
      <c r="Z163" s="1128">
        <v>74.150000000000006</v>
      </c>
      <c r="AA163" s="1128">
        <v>76.150000000000006</v>
      </c>
      <c r="AB163" s="2393"/>
      <c r="AD163" s="2393"/>
      <c r="AE163" s="2393"/>
      <c r="AF163" s="2393"/>
      <c r="AG163" s="2393"/>
      <c r="AH163" s="2393"/>
      <c r="AI163" s="2393"/>
      <c r="AJ163" s="2393"/>
    </row>
    <row r="164" spans="1:36" s="43" customFormat="1" ht="12" customHeight="1">
      <c r="A164" s="1733" t="str">
        <f t="shared" ref="A164:A172" si="3">IF(OR(M164="Yes", O164="Yes", AND(B164="",F164="",G164="",H164="",I164="",J164="",L164="",O164="")),"", IF(AND(NOT(B164=""),OR(O164="",O164="No",O164="N/a"),OR(F164="",G164=""),AND(H164="",I164="",J164=""),L164=""),"Finish!","Check"))</f>
        <v/>
      </c>
      <c r="B164" s="3181" t="s">
        <v>7060</v>
      </c>
      <c r="C164" s="3182"/>
      <c r="D164" s="3183"/>
      <c r="E164" s="2299" t="s">
        <v>1568</v>
      </c>
      <c r="F164" s="2300" t="s">
        <v>2888</v>
      </c>
      <c r="G164" s="2301" t="s">
        <v>7157</v>
      </c>
      <c r="H164" s="2302"/>
      <c r="I164" s="2303"/>
      <c r="J164" s="2303"/>
      <c r="K164" s="1610" t="str">
        <f t="shared" si="0"/>
        <v/>
      </c>
      <c r="L164" s="2304"/>
      <c r="M164" s="1607" t="str">
        <f>IF(L164="","",IF(K164&gt;L164,"Yes",IF(K164&lt;L164,"No","")))</f>
        <v/>
      </c>
      <c r="O164" s="2255" t="s">
        <v>2885</v>
      </c>
      <c r="P164" s="519"/>
      <c r="Q164" s="447">
        <f t="shared" ref="Q164:Q172" si="4">IF(AND(B164="",F164="",G164="",H164="",I164="",J164="",L164="",O164=""),0,1)</f>
        <v>1</v>
      </c>
      <c r="R164" s="3180"/>
      <c r="S164" s="1732">
        <f t="shared" si="1"/>
        <v>1</v>
      </c>
      <c r="T164" s="3180"/>
      <c r="U164" s="1732">
        <f t="shared" si="2"/>
        <v>1</v>
      </c>
      <c r="V164" s="3180"/>
      <c r="X164" s="1742">
        <v>2019</v>
      </c>
      <c r="Y164" s="1128">
        <v>77.099999999999994</v>
      </c>
      <c r="Z164" s="1128">
        <v>72.099999999999994</v>
      </c>
      <c r="AA164" s="1128">
        <v>77</v>
      </c>
      <c r="AB164" s="2393"/>
      <c r="AC164" s="2393"/>
      <c r="AD164" s="2393"/>
      <c r="AE164" s="2393"/>
      <c r="AF164" s="2393"/>
      <c r="AG164" s="2393"/>
      <c r="AH164" s="2393"/>
      <c r="AI164" s="2393"/>
      <c r="AJ164" s="2393"/>
    </row>
    <row r="165" spans="1:36" s="43" customFormat="1" ht="12" customHeight="1">
      <c r="A165" s="1733" t="str">
        <f t="shared" si="3"/>
        <v/>
      </c>
      <c r="B165" s="3181" t="s">
        <v>7061</v>
      </c>
      <c r="C165" s="3182"/>
      <c r="D165" s="3183"/>
      <c r="E165" s="2299" t="s">
        <v>1568</v>
      </c>
      <c r="F165" s="2300" t="s">
        <v>2888</v>
      </c>
      <c r="G165" s="2301" t="s">
        <v>4785</v>
      </c>
      <c r="H165" s="2302"/>
      <c r="I165" s="2303"/>
      <c r="J165" s="2303"/>
      <c r="K165" s="1610" t="str">
        <f t="shared" si="0"/>
        <v/>
      </c>
      <c r="L165" s="2304"/>
      <c r="M165" s="1607" t="str">
        <f t="shared" ref="M165:M172" si="5">IF(L165="","",IF(K165&gt;L165,"Yes",IF(K165&lt;L165,"No","")))</f>
        <v/>
      </c>
      <c r="O165" s="2255" t="s">
        <v>2885</v>
      </c>
      <c r="P165" s="519"/>
      <c r="Q165" s="447">
        <f t="shared" si="4"/>
        <v>1</v>
      </c>
      <c r="R165" s="3180"/>
      <c r="S165" s="1732">
        <f t="shared" si="1"/>
        <v>1</v>
      </c>
      <c r="T165" s="3180"/>
      <c r="U165" s="1732">
        <f t="shared" si="2"/>
        <v>1</v>
      </c>
      <c r="V165" s="3180"/>
      <c r="Y165" s="2393"/>
      <c r="Z165" s="2393"/>
      <c r="AA165" s="2393"/>
      <c r="AB165" s="2393"/>
      <c r="AC165" s="2393"/>
      <c r="AD165" s="2393"/>
      <c r="AE165" s="2393"/>
      <c r="AF165" s="2393"/>
      <c r="AG165" s="2393"/>
      <c r="AH165" s="2393"/>
      <c r="AI165" s="2393"/>
      <c r="AJ165" s="2393"/>
    </row>
    <row r="166" spans="1:36" s="43" customFormat="1" ht="12" customHeight="1">
      <c r="A166" s="1733" t="str">
        <f t="shared" si="3"/>
        <v/>
      </c>
      <c r="B166" s="3181"/>
      <c r="C166" s="3182"/>
      <c r="D166" s="3183"/>
      <c r="E166" s="2299" t="s">
        <v>4378</v>
      </c>
      <c r="F166" s="2300"/>
      <c r="G166" s="2301"/>
      <c r="H166" s="2302"/>
      <c r="I166" s="2303"/>
      <c r="J166" s="2303"/>
      <c r="K166" s="1610" t="str">
        <f t="shared" si="0"/>
        <v/>
      </c>
      <c r="L166" s="2304"/>
      <c r="M166" s="1607" t="str">
        <f t="shared" si="5"/>
        <v/>
      </c>
      <c r="O166" s="2255"/>
      <c r="P166" s="519"/>
      <c r="Q166" s="447">
        <f t="shared" si="4"/>
        <v>0</v>
      </c>
      <c r="R166" s="3180"/>
      <c r="S166" s="1732">
        <f t="shared" si="1"/>
        <v>0</v>
      </c>
      <c r="T166" s="3180"/>
      <c r="U166" s="1732">
        <f t="shared" si="2"/>
        <v>0</v>
      </c>
      <c r="V166" s="3180"/>
      <c r="Y166" s="2393"/>
      <c r="Z166" s="2393"/>
      <c r="AA166" s="2393"/>
      <c r="AB166" s="2393"/>
      <c r="AC166" s="2393"/>
      <c r="AD166" s="2393"/>
      <c r="AE166" s="2393"/>
      <c r="AF166" s="2393"/>
      <c r="AG166" s="2393"/>
      <c r="AH166" s="2393"/>
      <c r="AI166" s="2393"/>
      <c r="AJ166" s="2393"/>
    </row>
    <row r="167" spans="1:36" s="43" customFormat="1" ht="12" customHeight="1">
      <c r="A167" s="1733" t="str">
        <f t="shared" si="3"/>
        <v/>
      </c>
      <c r="B167" s="3181"/>
      <c r="C167" s="3182"/>
      <c r="D167" s="3183"/>
      <c r="E167" s="2299" t="s">
        <v>4378</v>
      </c>
      <c r="F167" s="2300"/>
      <c r="G167" s="2301"/>
      <c r="H167" s="2302"/>
      <c r="I167" s="2303"/>
      <c r="J167" s="2303"/>
      <c r="K167" s="1610" t="str">
        <f t="shared" si="0"/>
        <v/>
      </c>
      <c r="L167" s="2304"/>
      <c r="M167" s="1607" t="str">
        <f t="shared" si="5"/>
        <v/>
      </c>
      <c r="O167" s="2255"/>
      <c r="P167" s="519"/>
      <c r="Q167" s="447">
        <f t="shared" si="4"/>
        <v>0</v>
      </c>
      <c r="R167" s="3180"/>
      <c r="S167" s="1732">
        <f t="shared" si="1"/>
        <v>0</v>
      </c>
      <c r="T167" s="3180"/>
      <c r="U167" s="1732">
        <f t="shared" si="2"/>
        <v>0</v>
      </c>
      <c r="V167" s="3180"/>
      <c r="Y167" s="2393"/>
      <c r="Z167" s="2393"/>
      <c r="AA167" s="2393"/>
      <c r="AB167" s="2393"/>
      <c r="AC167" s="2393"/>
      <c r="AD167" s="2393"/>
      <c r="AE167" s="2393"/>
      <c r="AF167" s="2393"/>
      <c r="AG167" s="2393"/>
      <c r="AH167" s="2393"/>
      <c r="AI167" s="2393"/>
      <c r="AJ167" s="2393"/>
    </row>
    <row r="168" spans="1:36" s="43" customFormat="1" ht="12" customHeight="1">
      <c r="A168" s="1733" t="str">
        <f t="shared" si="3"/>
        <v/>
      </c>
      <c r="B168" s="3181"/>
      <c r="C168" s="3182"/>
      <c r="D168" s="3183"/>
      <c r="E168" s="2299" t="s">
        <v>4378</v>
      </c>
      <c r="F168" s="2300"/>
      <c r="G168" s="2301"/>
      <c r="H168" s="2302"/>
      <c r="I168" s="2303"/>
      <c r="J168" s="2303"/>
      <c r="K168" s="1610" t="str">
        <f t="shared" si="0"/>
        <v/>
      </c>
      <c r="L168" s="2304"/>
      <c r="M168" s="1607" t="str">
        <f t="shared" si="5"/>
        <v/>
      </c>
      <c r="O168" s="2255"/>
      <c r="P168" s="519"/>
      <c r="Q168" s="447">
        <f t="shared" si="4"/>
        <v>0</v>
      </c>
      <c r="R168" s="3180"/>
      <c r="S168" s="1732">
        <f t="shared" si="1"/>
        <v>0</v>
      </c>
      <c r="T168" s="3180"/>
      <c r="U168" s="1732">
        <f t="shared" si="2"/>
        <v>0</v>
      </c>
      <c r="V168" s="3180"/>
      <c r="Y168" s="2393"/>
      <c r="Z168" s="2393"/>
      <c r="AA168" s="2393"/>
      <c r="AB168" s="2393"/>
      <c r="AC168" s="2393"/>
      <c r="AD168" s="2393"/>
      <c r="AE168" s="2393"/>
      <c r="AF168" s="2393"/>
      <c r="AG168" s="2393"/>
      <c r="AH168" s="2393"/>
      <c r="AI168" s="2393"/>
      <c r="AJ168" s="2393"/>
    </row>
    <row r="169" spans="1:36" s="43" customFormat="1" ht="12" customHeight="1">
      <c r="A169" s="1733" t="str">
        <f t="shared" ref="A169:A170" si="6">IF(OR(M169="Yes", O169="Yes", AND(B169="",F169="",G169="",H169="",I169="",J169="",L169="",O169="")),"", IF(AND(NOT(B169=""),OR(O169="",O169="No",O169="N/a"),OR(F169="",G169=""),AND(H169="",I169="",J169=""),L169=""),"Finish!","Check"))</f>
        <v/>
      </c>
      <c r="B169" s="3181"/>
      <c r="C169" s="3182"/>
      <c r="D169" s="3183"/>
      <c r="E169" s="2299" t="s">
        <v>4378</v>
      </c>
      <c r="F169" s="2300"/>
      <c r="G169" s="2301"/>
      <c r="H169" s="2302"/>
      <c r="I169" s="2303"/>
      <c r="J169" s="2303"/>
      <c r="K169" s="1610" t="str">
        <f t="shared" ref="K169:K170" si="7">IF(H169+I169+J169=0,"",AVERAGE(H169,I169,J169))</f>
        <v/>
      </c>
      <c r="L169" s="2304"/>
      <c r="M169" s="1607" t="str">
        <f t="shared" ref="M169:M170" si="8">IF(L169="","",IF(K169&gt;L169,"Yes",IF(K169&lt;L169,"No","")))</f>
        <v/>
      </c>
      <c r="O169" s="2255"/>
      <c r="P169" s="519"/>
      <c r="Q169" s="447">
        <f t="shared" ref="Q169:Q170" si="9">IF(AND(B169="",F169="",G169="",H169="",I169="",J169="",L169="",O169=""),0,1)</f>
        <v>0</v>
      </c>
      <c r="R169" s="3180"/>
      <c r="S169" s="1732">
        <f t="shared" ref="S169:S170" si="10">IF(AND(M169="",NOT(O169="Yes")),0,1)</f>
        <v>0</v>
      </c>
      <c r="T169" s="3180"/>
      <c r="U169" s="1732">
        <f t="shared" ref="U169:U170" si="11">IF(OR(M169="Yes",O169="Yes"),1,0)</f>
        <v>0</v>
      </c>
      <c r="V169" s="3180"/>
    </row>
    <row r="170" spans="1:36" s="43" customFormat="1" ht="12" customHeight="1">
      <c r="A170" s="1733" t="str">
        <f t="shared" si="6"/>
        <v/>
      </c>
      <c r="B170" s="3181"/>
      <c r="C170" s="3182"/>
      <c r="D170" s="3183"/>
      <c r="E170" s="2299" t="s">
        <v>4378</v>
      </c>
      <c r="F170" s="2300"/>
      <c r="G170" s="2301"/>
      <c r="H170" s="2302"/>
      <c r="I170" s="2303"/>
      <c r="J170" s="2303"/>
      <c r="K170" s="1610" t="str">
        <f t="shared" si="7"/>
        <v/>
      </c>
      <c r="L170" s="2304"/>
      <c r="M170" s="1607" t="str">
        <f t="shared" si="8"/>
        <v/>
      </c>
      <c r="O170" s="2255"/>
      <c r="P170" s="519"/>
      <c r="Q170" s="447">
        <f t="shared" si="9"/>
        <v>0</v>
      </c>
      <c r="R170" s="3180"/>
      <c r="S170" s="1732">
        <f t="shared" si="10"/>
        <v>0</v>
      </c>
      <c r="T170" s="3180"/>
      <c r="U170" s="1732">
        <f t="shared" si="11"/>
        <v>0</v>
      </c>
      <c r="V170" s="3180"/>
    </row>
    <row r="171" spans="1:36" s="43" customFormat="1" ht="12" customHeight="1">
      <c r="A171" s="1733" t="str">
        <f t="shared" ref="A171" si="12">IF(OR(M171="Yes", O171="Yes", AND(B171="",F171="",G171="",H171="",I171="",J171="",L171="",O171="")),"", IF(AND(NOT(B171=""),OR(O171="",O171="No",O171="N/a"),OR(F171="",G171=""),AND(H171="",I171="",J171=""),L171=""),"Finish!","Check"))</f>
        <v/>
      </c>
      <c r="B171" s="3181"/>
      <c r="C171" s="3182"/>
      <c r="D171" s="3183"/>
      <c r="E171" s="2299" t="s">
        <v>4378</v>
      </c>
      <c r="F171" s="2300"/>
      <c r="G171" s="2301"/>
      <c r="H171" s="2302"/>
      <c r="I171" s="2303"/>
      <c r="J171" s="2303"/>
      <c r="K171" s="1610" t="str">
        <f t="shared" ref="K171" si="13">IF(H171+I171+J171=0,"",AVERAGE(H171,I171,J171))</f>
        <v/>
      </c>
      <c r="L171" s="2304"/>
      <c r="M171" s="1607" t="str">
        <f t="shared" ref="M171" si="14">IF(L171="","",IF(K171&gt;L171,"Yes",IF(K171&lt;L171,"No","")))</f>
        <v/>
      </c>
      <c r="O171" s="2255"/>
      <c r="P171" s="519"/>
      <c r="Q171" s="447">
        <f t="shared" ref="Q171" si="15">IF(AND(B171="",F171="",G171="",H171="",I171="",J171="",L171="",O171=""),0,1)</f>
        <v>0</v>
      </c>
      <c r="R171" s="3180"/>
      <c r="S171" s="1732">
        <f t="shared" ref="S171" si="16">IF(AND(M171="",NOT(O171="Yes")),0,1)</f>
        <v>0</v>
      </c>
      <c r="T171" s="3180"/>
      <c r="U171" s="1732">
        <f t="shared" ref="U171" si="17">IF(OR(M171="Yes",O171="Yes"),1,0)</f>
        <v>0</v>
      </c>
      <c r="V171" s="3180"/>
    </row>
    <row r="172" spans="1:36" s="43" customFormat="1" ht="12" customHeight="1">
      <c r="A172" s="1733" t="str">
        <f t="shared" si="3"/>
        <v/>
      </c>
      <c r="B172" s="3190"/>
      <c r="C172" s="3191"/>
      <c r="D172" s="3192"/>
      <c r="E172" s="2305" t="s">
        <v>4378</v>
      </c>
      <c r="F172" s="2306"/>
      <c r="G172" s="2307"/>
      <c r="H172" s="2308"/>
      <c r="I172" s="2309"/>
      <c r="J172" s="2309"/>
      <c r="K172" s="1611" t="str">
        <f t="shared" si="0"/>
        <v/>
      </c>
      <c r="L172" s="2310"/>
      <c r="M172" s="1608" t="str">
        <f t="shared" si="5"/>
        <v/>
      </c>
      <c r="O172" s="2256"/>
      <c r="P172" s="520"/>
      <c r="Q172" s="447">
        <f t="shared" si="4"/>
        <v>0</v>
      </c>
      <c r="R172" s="3180"/>
      <c r="S172" s="1732">
        <f t="shared" si="1"/>
        <v>0</v>
      </c>
      <c r="T172" s="3180"/>
      <c r="U172" s="1732">
        <f t="shared" si="2"/>
        <v>0</v>
      </c>
      <c r="V172" s="3180"/>
    </row>
    <row r="173" spans="1:36" s="43" customFormat="1" ht="1.5" customHeight="1">
      <c r="A173" s="373"/>
      <c r="B173" s="564"/>
      <c r="L173" s="2393"/>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4566</v>
      </c>
      <c r="M175" s="426">
        <v>2</v>
      </c>
      <c r="N175" s="174"/>
      <c r="O175" s="1041">
        <f>IF(AND(I184="Yes",I185="Yes"),$H$185,IF(AND(I184="Yes",I185="No"),$H$184,0))</f>
        <v>2</v>
      </c>
      <c r="P175" s="1041">
        <f>IF(AND(J184="Yes",J185="Yes"),$H$185,IF(AND(J184="Yes",J185="No"),$H$184,0))</f>
        <v>0</v>
      </c>
      <c r="Q175" s="2373"/>
      <c r="R175" s="1723"/>
    </row>
    <row r="176" spans="1:36" s="55" customFormat="1" ht="12.75" customHeight="1">
      <c r="E176" s="2976" t="s">
        <v>3822</v>
      </c>
      <c r="F176" s="2976" t="s">
        <v>3486</v>
      </c>
      <c r="G176" s="3159" t="s">
        <v>3284</v>
      </c>
      <c r="H176" s="3159"/>
      <c r="I176" s="3159"/>
      <c r="J176" s="3159"/>
      <c r="K176" s="3159"/>
      <c r="L176" s="3159"/>
      <c r="M176" s="3159"/>
      <c r="N176" s="3159"/>
      <c r="P176" s="1066"/>
      <c r="R176" s="52" t="s">
        <v>2734</v>
      </c>
      <c r="S176" s="36"/>
      <c r="T176" s="2971" t="str">
        <f>'Part I-Project Information'!$F$38</f>
        <v>Dublin</v>
      </c>
      <c r="U176" s="2972"/>
      <c r="V176" s="2972"/>
      <c r="W176" s="2972"/>
      <c r="X176" s="2973"/>
    </row>
    <row r="177" spans="1:24" s="55" customFormat="1" ht="13.5" customHeight="1">
      <c r="A177" s="47"/>
      <c r="B177" s="2978" t="s">
        <v>3735</v>
      </c>
      <c r="C177" s="2978"/>
      <c r="D177" s="2978"/>
      <c r="E177" s="2977"/>
      <c r="F177" s="2977"/>
      <c r="G177" s="3176" t="s">
        <v>3734</v>
      </c>
      <c r="H177" s="3176"/>
      <c r="I177" s="3176"/>
      <c r="J177" s="3176"/>
      <c r="K177" s="3176"/>
      <c r="L177" s="3176"/>
      <c r="M177" s="3176"/>
      <c r="N177" s="3176"/>
      <c r="O177" s="2976" t="s">
        <v>3487</v>
      </c>
      <c r="P177" s="2976"/>
      <c r="R177" s="52" t="s">
        <v>2735</v>
      </c>
      <c r="S177" s="36"/>
      <c r="T177" s="2965" t="str">
        <f>'Part I-Project Information'!$J$39</f>
        <v>Laurens</v>
      </c>
      <c r="U177" s="2966"/>
      <c r="V177" s="2966"/>
      <c r="W177" s="2966"/>
      <c r="X177" s="2967"/>
    </row>
    <row r="178" spans="1:24" s="55" customFormat="1" ht="13.5" customHeight="1">
      <c r="A178" s="47"/>
      <c r="B178" s="3153" t="s">
        <v>3621</v>
      </c>
      <c r="C178" s="3154"/>
      <c r="D178" s="3155"/>
      <c r="E178" s="2395">
        <v>3000</v>
      </c>
      <c r="F178" s="2395">
        <v>6000</v>
      </c>
      <c r="G178" s="3175">
        <v>15000</v>
      </c>
      <c r="H178" s="3175"/>
      <c r="I178" s="3175"/>
      <c r="J178" s="3175"/>
      <c r="K178" s="3175"/>
      <c r="L178" s="3175"/>
      <c r="M178" s="3175"/>
      <c r="N178" s="3175"/>
      <c r="O178" s="3175">
        <v>20000</v>
      </c>
      <c r="P178" s="3175"/>
      <c r="R178" s="40" t="s">
        <v>2736</v>
      </c>
      <c r="S178" s="36"/>
      <c r="T178" s="2965" t="str">
        <f>'Part I-Project Information'!$O$40</f>
        <v>Laurens Co.</v>
      </c>
      <c r="U178" s="2966"/>
      <c r="V178" s="2966"/>
      <c r="W178" s="2966"/>
      <c r="X178" s="2967"/>
    </row>
    <row r="179" spans="1:24" s="36" customFormat="1" ht="13.5" customHeight="1">
      <c r="A179" s="47"/>
      <c r="B179" s="2997" t="s">
        <v>3733</v>
      </c>
      <c r="C179" s="2998"/>
      <c r="D179" s="2999"/>
      <c r="E179" s="2396">
        <v>4500</v>
      </c>
      <c r="F179" s="2396">
        <v>9000</v>
      </c>
      <c r="G179" s="2979">
        <v>22500</v>
      </c>
      <c r="H179" s="2979"/>
      <c r="I179" s="2979"/>
      <c r="J179" s="2979"/>
      <c r="K179" s="2979"/>
      <c r="L179" s="2979"/>
      <c r="M179" s="2979"/>
      <c r="N179" s="2979"/>
      <c r="O179" s="2979">
        <v>30000</v>
      </c>
      <c r="P179" s="2979"/>
      <c r="R179" s="40" t="s">
        <v>3643</v>
      </c>
      <c r="T179" s="2965" t="str">
        <f>VLOOKUP('Part I-Project Information'!$J$39,'DCA Underwriting Assumptions'!$G$173:$J$332,4)</f>
        <v>Non-MSA</v>
      </c>
      <c r="U179" s="2966"/>
      <c r="V179" s="2966"/>
      <c r="W179" s="2966"/>
      <c r="X179" s="2967"/>
    </row>
    <row r="180" spans="1:24" s="55" customFormat="1" ht="4.5" customHeight="1">
      <c r="A180" s="47"/>
      <c r="B180" s="47"/>
      <c r="C180" s="412"/>
      <c r="K180" s="2383"/>
      <c r="L180" s="2383"/>
    </row>
    <row r="181" spans="1:24" s="55" customFormat="1" ht="12" customHeight="1">
      <c r="B181" s="859" t="s">
        <v>4799</v>
      </c>
      <c r="E181" s="858"/>
      <c r="F181" s="858"/>
      <c r="G181" s="858"/>
      <c r="I181" s="2311">
        <v>3000</v>
      </c>
      <c r="J181" s="4199"/>
      <c r="K181" s="1779" t="str">
        <f>IF(I181="","",IF(I181&lt;E178,"Minimum Jobs Threshold entered is below lowest in chart!",""))</f>
        <v/>
      </c>
      <c r="R181" s="36" t="s">
        <v>3460</v>
      </c>
      <c r="S181" s="36"/>
      <c r="T181" s="2968" t="str">
        <f>'Part I-Project Information'!$K$40</f>
        <v>Rural</v>
      </c>
      <c r="U181" s="2969"/>
      <c r="V181" s="2969"/>
      <c r="W181" s="2969"/>
      <c r="X181" s="2970"/>
    </row>
    <row r="182" spans="1:24" s="55" customFormat="1" ht="12" customHeight="1">
      <c r="A182" s="861"/>
      <c r="B182" s="424" t="s">
        <v>3459</v>
      </c>
      <c r="H182" s="860" t="str">
        <f>IF(I182&lt;I181,"Threshold not met!","")</f>
        <v/>
      </c>
      <c r="I182" s="2312">
        <v>8216</v>
      </c>
      <c r="J182" s="4200"/>
      <c r="K182" s="1068" t="str">
        <f>IF(J182&lt;J181,"Threshold not met!","")</f>
        <v/>
      </c>
    </row>
    <row r="183" spans="1:24" s="55" customFormat="1" ht="3" customHeight="1">
      <c r="A183" s="861"/>
      <c r="B183" s="424"/>
    </row>
    <row r="184" spans="1:24" s="55" customFormat="1" ht="11.25" customHeight="1">
      <c r="B184" s="554" t="s">
        <v>1938</v>
      </c>
      <c r="C184" s="36" t="s">
        <v>3821</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3660</v>
      </c>
      <c r="D186" s="1137"/>
      <c r="E186" s="1137"/>
      <c r="F186" s="1137"/>
      <c r="G186" s="1067"/>
      <c r="I186" s="1102">
        <f>IF(I182="",0,(I182/I181) - 1)</f>
        <v>1.7386666666666666</v>
      </c>
      <c r="J186" s="1102">
        <f>IF(J182="",0,(J182/J181) - 1)</f>
        <v>0</v>
      </c>
      <c r="M186" s="2383"/>
    </row>
    <row r="187" spans="1:24" s="55" customFormat="1" ht="3" customHeight="1">
      <c r="A187" s="47"/>
      <c r="B187" s="47"/>
      <c r="C187" s="412"/>
      <c r="F187" s="2397"/>
      <c r="K187" s="2383"/>
      <c r="L187" s="2383"/>
    </row>
    <row r="188" spans="1:24" s="43" customFormat="1" ht="10.5" customHeight="1" thickBot="1">
      <c r="A188" s="42"/>
      <c r="B188" s="1132" t="s">
        <v>3566</v>
      </c>
      <c r="C188" s="42"/>
      <c r="D188" s="48"/>
      <c r="E188" s="48"/>
      <c r="F188" s="48"/>
      <c r="G188" s="48"/>
      <c r="H188" s="36"/>
      <c r="I188" s="36"/>
      <c r="J188" s="36"/>
      <c r="K188" s="36"/>
      <c r="M188" s="46"/>
      <c r="N188" s="62"/>
      <c r="O188" s="3"/>
      <c r="P188" s="2375"/>
    </row>
    <row r="189" spans="1:24" s="43" customFormat="1" ht="50.25" customHeight="1" thickTop="1" thickBot="1">
      <c r="A189" s="2940" t="s">
        <v>7148</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1819</v>
      </c>
      <c r="C190" s="98"/>
      <c r="D190" s="85"/>
      <c r="E190" s="99"/>
      <c r="F190" s="2376"/>
      <c r="G190" s="2376"/>
      <c r="H190" s="2376"/>
      <c r="I190" s="2376"/>
      <c r="J190" s="2376"/>
      <c r="K190" s="2376"/>
      <c r="L190" s="2376"/>
      <c r="M190" s="2376"/>
      <c r="N190" s="74"/>
      <c r="O190" s="70"/>
      <c r="P190" s="2373"/>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6"/>
      <c r="D192" s="2376"/>
      <c r="E192" s="2376"/>
      <c r="F192" s="2376"/>
      <c r="G192" s="2376"/>
      <c r="H192" s="2376"/>
      <c r="I192" s="2376"/>
      <c r="J192" s="2376"/>
      <c r="K192" s="2376"/>
      <c r="L192" s="2376"/>
      <c r="M192" s="2376"/>
      <c r="N192" s="74"/>
      <c r="O192" s="70"/>
      <c r="P192" s="846"/>
    </row>
    <row r="193" spans="1:26" s="102" customFormat="1" ht="12.6" customHeight="1" thickBot="1">
      <c r="A193" s="152" t="s">
        <v>754</v>
      </c>
      <c r="B193" s="106" t="s">
        <v>3737</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2986" t="s">
        <v>4568</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4729</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1935</v>
      </c>
      <c r="B196" s="177" t="s">
        <v>4600</v>
      </c>
      <c r="C196" s="165"/>
      <c r="D196" s="165"/>
      <c r="E196" s="165"/>
      <c r="F196" s="165"/>
      <c r="G196" s="165" t="s">
        <v>4595</v>
      </c>
      <c r="H196" s="165"/>
      <c r="I196" s="165"/>
      <c r="J196" s="165"/>
      <c r="K196" s="1111" t="s">
        <v>4755</v>
      </c>
      <c r="L196" s="1111" t="s">
        <v>4755</v>
      </c>
      <c r="M196" s="426">
        <v>5</v>
      </c>
      <c r="N196" s="47" t="s">
        <v>1935</v>
      </c>
      <c r="O196" s="521">
        <f>IF(O210=0,0,MIN($M$196,SUM(O210:O211)))</f>
        <v>0</v>
      </c>
      <c r="P196" s="521">
        <f>IF(SUM(P210:P211)=$M$211,0,MIN($M$196,SUM(P210:P211)))</f>
        <v>0</v>
      </c>
      <c r="R196" s="2989"/>
      <c r="S196" s="2990"/>
      <c r="T196" s="2990"/>
      <c r="U196" s="2991"/>
    </row>
    <row r="197" spans="1:26" s="33" customFormat="1" ht="11.25" customHeight="1">
      <c r="B197" s="1735" t="s">
        <v>4599</v>
      </c>
      <c r="D197" s="1735"/>
      <c r="E197" s="1735"/>
      <c r="F197" s="1735"/>
      <c r="G197" s="1735"/>
      <c r="H197" s="1735"/>
      <c r="I197" s="1735"/>
      <c r="J197" s="385"/>
      <c r="K197" s="2313"/>
      <c r="L197" s="4201"/>
      <c r="R197" s="2989"/>
      <c r="S197" s="2990"/>
      <c r="T197" s="2990"/>
      <c r="U197" s="2991"/>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2443</v>
      </c>
      <c r="L198" s="1112" t="s">
        <v>2443</v>
      </c>
      <c r="N198" s="1133"/>
      <c r="P198" s="1134"/>
      <c r="R198" s="2989"/>
      <c r="S198" s="2990"/>
      <c r="T198" s="2990"/>
      <c r="U198" s="2991"/>
    </row>
    <row r="199" spans="1:26" s="390" customFormat="1" ht="11.25" customHeight="1">
      <c r="B199" s="986" t="s">
        <v>2371</v>
      </c>
      <c r="C199" s="2943" t="s">
        <v>4382</v>
      </c>
      <c r="D199" s="2943"/>
      <c r="E199" s="2943"/>
      <c r="F199" s="2943"/>
      <c r="G199" s="2943"/>
      <c r="H199" s="2943"/>
      <c r="I199" s="2943"/>
      <c r="J199" s="986" t="s">
        <v>2371</v>
      </c>
      <c r="K199" s="2313"/>
      <c r="L199" s="4201"/>
      <c r="M199" s="3169" t="s">
        <v>3639</v>
      </c>
      <c r="N199" s="3170"/>
      <c r="O199" s="3170"/>
      <c r="P199" s="3171"/>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11.25" customHeight="1">
      <c r="B201" s="373" t="s">
        <v>2372</v>
      </c>
      <c r="C201" s="134" t="s">
        <v>4601</v>
      </c>
      <c r="D201" s="481"/>
      <c r="E201" s="481"/>
      <c r="F201" s="481"/>
      <c r="G201" s="481"/>
      <c r="H201" s="481"/>
      <c r="J201" s="373" t="s">
        <v>2372</v>
      </c>
      <c r="K201" s="2314"/>
      <c r="L201" s="4117"/>
      <c r="M201" s="3169" t="s">
        <v>3639</v>
      </c>
      <c r="N201" s="3170"/>
      <c r="O201" s="3170"/>
      <c r="P201" s="3171"/>
      <c r="R201" s="2989"/>
      <c r="S201" s="2990"/>
      <c r="T201" s="2990"/>
      <c r="U201" s="2991"/>
      <c r="V201" s="548"/>
      <c r="W201" s="548"/>
      <c r="X201" s="548"/>
      <c r="Y201" s="548"/>
      <c r="Z201" s="548"/>
    </row>
    <row r="202" spans="1:26" s="33" customFormat="1" ht="11.25" customHeight="1">
      <c r="B202" s="373" t="s">
        <v>2373</v>
      </c>
      <c r="C202" s="481" t="s">
        <v>4598</v>
      </c>
      <c r="D202" s="481"/>
      <c r="E202" s="481"/>
      <c r="F202" s="481"/>
      <c r="G202" s="481"/>
      <c r="H202" s="481"/>
      <c r="I202" s="481"/>
      <c r="J202" s="373" t="s">
        <v>2373</v>
      </c>
      <c r="K202" s="2315"/>
      <c r="L202" s="4202"/>
      <c r="R202" s="2989"/>
      <c r="S202" s="2990"/>
      <c r="T202" s="2990"/>
      <c r="U202" s="2991"/>
      <c r="V202" s="548"/>
      <c r="W202" s="548"/>
      <c r="X202" s="548"/>
      <c r="Y202" s="548"/>
      <c r="Z202" s="548"/>
    </row>
    <row r="203" spans="1:26" s="43" customFormat="1" ht="11.25" customHeight="1">
      <c r="A203" s="371"/>
      <c r="C203" s="373" t="s">
        <v>2374</v>
      </c>
      <c r="D203" s="428" t="s">
        <v>4381</v>
      </c>
      <c r="E203" s="1478"/>
      <c r="F203" s="1478"/>
      <c r="G203" s="1478"/>
      <c r="H203" s="1478"/>
      <c r="I203" s="1478"/>
      <c r="J203" s="373" t="s">
        <v>2374</v>
      </c>
      <c r="K203" s="2316"/>
      <c r="L203" s="4203"/>
      <c r="M203" s="481"/>
      <c r="N203" s="481"/>
      <c r="O203" s="481"/>
      <c r="P203" s="481"/>
      <c r="R203" s="2989"/>
      <c r="S203" s="2990"/>
      <c r="T203" s="2990"/>
      <c r="U203" s="2991"/>
    </row>
    <row r="204" spans="1:26" s="43" customFormat="1" ht="12" customHeight="1">
      <c r="A204" s="425"/>
      <c r="B204" s="49" t="s">
        <v>4597</v>
      </c>
      <c r="C204" s="165"/>
      <c r="D204" s="165"/>
      <c r="E204" s="165"/>
      <c r="F204" s="165"/>
      <c r="G204" s="165"/>
      <c r="H204" s="165"/>
      <c r="I204" s="165"/>
      <c r="J204" s="165"/>
      <c r="K204" s="1111" t="s">
        <v>2443</v>
      </c>
      <c r="L204" s="1112" t="s">
        <v>2443</v>
      </c>
      <c r="N204" s="1133"/>
      <c r="P204" s="1134"/>
      <c r="R204" s="2989"/>
      <c r="S204" s="2990"/>
      <c r="T204" s="2990"/>
      <c r="U204" s="2991"/>
    </row>
    <row r="205" spans="1:26" s="102" customFormat="1" ht="11.25" customHeight="1">
      <c r="A205" s="425"/>
      <c r="B205" s="373" t="s">
        <v>2375</v>
      </c>
      <c r="C205" s="3165" t="s">
        <v>4567</v>
      </c>
      <c r="D205" s="3165"/>
      <c r="E205" s="3165"/>
      <c r="F205" s="3165"/>
      <c r="G205" s="3165"/>
      <c r="J205" s="373" t="s">
        <v>2375</v>
      </c>
      <c r="K205" s="2317"/>
      <c r="L205" s="4117"/>
      <c r="M205" s="3156" t="s">
        <v>3639</v>
      </c>
      <c r="N205" s="3157"/>
      <c r="O205" s="3157"/>
      <c r="P205" s="3158"/>
      <c r="Q205" s="1612">
        <f>IF(K205="Yes",1,0)</f>
        <v>0</v>
      </c>
      <c r="R205" s="2989"/>
      <c r="S205" s="2990"/>
      <c r="T205" s="2990"/>
      <c r="U205" s="2991"/>
      <c r="V205" s="1612">
        <f>IF(L205="Yes",1,0)</f>
        <v>0</v>
      </c>
    </row>
    <row r="206" spans="1:26" s="33" customFormat="1" ht="11.25" customHeight="1">
      <c r="B206" s="385" t="s">
        <v>2391</v>
      </c>
      <c r="C206" s="481" t="s">
        <v>4310</v>
      </c>
      <c r="D206" s="481"/>
      <c r="E206" s="481"/>
      <c r="F206" s="481"/>
      <c r="G206" s="481"/>
      <c r="H206" s="481"/>
      <c r="J206" s="385" t="s">
        <v>2391</v>
      </c>
      <c r="K206" s="2318"/>
      <c r="L206" s="4118"/>
      <c r="M206" s="3172" t="s">
        <v>3639</v>
      </c>
      <c r="N206" s="3173"/>
      <c r="O206" s="3173"/>
      <c r="P206" s="3174"/>
      <c r="Q206" s="1612">
        <f t="shared" ref="Q206:Q207" si="18">IF(K206="Yes",1,0)</f>
        <v>0</v>
      </c>
      <c r="R206" s="2989"/>
      <c r="S206" s="2990"/>
      <c r="T206" s="2990"/>
      <c r="U206" s="2991"/>
      <c r="V206" s="1612">
        <f>IF(L206="Yes",1,0)</f>
        <v>0</v>
      </c>
      <c r="W206" s="548"/>
      <c r="X206" s="548"/>
      <c r="Y206" s="548"/>
      <c r="Z206" s="548"/>
    </row>
    <row r="207" spans="1:26" s="33" customFormat="1" ht="10.95" customHeight="1">
      <c r="B207" s="385" t="s">
        <v>2392</v>
      </c>
      <c r="C207" s="52" t="s">
        <v>4594</v>
      </c>
      <c r="D207" s="481"/>
      <c r="E207" s="481"/>
      <c r="F207" s="481"/>
      <c r="G207" s="481"/>
      <c r="J207" s="385" t="s">
        <v>2392</v>
      </c>
      <c r="K207" s="2319"/>
      <c r="L207" s="4119"/>
      <c r="M207" s="2980" t="s">
        <v>3639</v>
      </c>
      <c r="N207" s="2981"/>
      <c r="O207" s="2981"/>
      <c r="P207" s="2982"/>
      <c r="Q207" s="1612">
        <f t="shared" si="18"/>
        <v>0</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4311</v>
      </c>
      <c r="H209" s="158"/>
      <c r="N209" s="27"/>
      <c r="O209" s="27"/>
      <c r="P209" s="27"/>
      <c r="Q209" s="983"/>
      <c r="U209" s="158"/>
      <c r="V209" s="158"/>
      <c r="W209" s="158"/>
      <c r="X209" s="2368"/>
      <c r="Y209" s="385"/>
      <c r="Z209" s="158"/>
    </row>
    <row r="210" spans="1:26" ht="22.5" customHeight="1">
      <c r="A210" s="498"/>
      <c r="B210" s="562" t="s">
        <v>1938</v>
      </c>
      <c r="C210" s="3096" t="s">
        <v>4370</v>
      </c>
      <c r="D210" s="3096"/>
      <c r="E210" s="3096"/>
      <c r="F210" s="3096"/>
      <c r="G210" s="3096"/>
      <c r="H210" s="3096"/>
      <c r="I210" s="3096"/>
      <c r="J210" s="3096"/>
      <c r="K210" s="3096"/>
      <c r="L210" s="3096"/>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4369</v>
      </c>
      <c r="D211" s="985"/>
      <c r="E211" s="985"/>
      <c r="F211" s="985"/>
      <c r="G211" s="985"/>
      <c r="H211" s="985"/>
      <c r="I211" s="985"/>
      <c r="J211" s="428" t="s">
        <v>3588</v>
      </c>
      <c r="K211" s="33"/>
      <c r="L211" s="1473" t="str">
        <f>'Part I-Project Information'!$N$39</f>
        <v>No</v>
      </c>
      <c r="M211" s="2386">
        <v>2</v>
      </c>
      <c r="N211" s="430" t="s">
        <v>1940</v>
      </c>
      <c r="O211" s="2320"/>
      <c r="P211" s="4204"/>
      <c r="Q211" s="1477" t="str">
        <f>IF(OR($O211=$M211,$O211=0,$O211=""),"","*CHECK!*")</f>
        <v/>
      </c>
      <c r="R211" s="974" t="s">
        <v>4767</v>
      </c>
    </row>
    <row r="212" spans="1:26" ht="12" customHeight="1">
      <c r="A212" s="498"/>
      <c r="B212" s="562"/>
      <c r="C212" s="3165" t="s">
        <v>4569</v>
      </c>
      <c r="D212" s="3165"/>
      <c r="E212" s="3165"/>
      <c r="F212" s="3165"/>
      <c r="G212" s="3165"/>
      <c r="H212" s="3165"/>
      <c r="I212" s="1448"/>
      <c r="J212" s="428" t="s">
        <v>3438</v>
      </c>
      <c r="K212" s="1475"/>
      <c r="L212" s="1474" t="str">
        <f>'Part I-Project Information'!$O$38</f>
        <v>9505.00</v>
      </c>
      <c r="M212" s="1449"/>
      <c r="N212" s="1077"/>
      <c r="O212" s="1077"/>
      <c r="P212" s="1077"/>
      <c r="Q212" s="978"/>
      <c r="R212" s="974"/>
    </row>
    <row r="213" spans="1:26" ht="12" customHeight="1">
      <c r="A213" s="498"/>
      <c r="B213" s="465"/>
      <c r="C213" s="3165"/>
      <c r="D213" s="3165"/>
      <c r="E213" s="3165"/>
      <c r="F213" s="3165"/>
      <c r="G213" s="3165"/>
      <c r="H213" s="3165"/>
      <c r="J213" s="428" t="s">
        <v>3264</v>
      </c>
      <c r="K213" s="33"/>
      <c r="L213" s="1472" t="str">
        <f>'Part IV-A-Uses of Funds'!$H$152</f>
        <v>&lt;&lt;Select&gt;&gt;</v>
      </c>
      <c r="M213" s="1472"/>
      <c r="N213" s="27"/>
      <c r="O213" s="27"/>
      <c r="P213" s="27"/>
      <c r="R213" s="158"/>
    </row>
    <row r="214" spans="1:26" ht="12" customHeight="1">
      <c r="A214" s="138" t="s">
        <v>1937</v>
      </c>
      <c r="B214" s="177" t="s">
        <v>4312</v>
      </c>
      <c r="D214" s="33"/>
      <c r="F214" s="1443"/>
      <c r="K214" s="1104"/>
      <c r="L214" s="374" t="str">
        <f>IF(OR($O214=$M214,$O214=0,$O214=""),"","* * Check Score! * *")</f>
        <v/>
      </c>
      <c r="M214" s="426">
        <v>2</v>
      </c>
      <c r="N214" s="63" t="s">
        <v>1937</v>
      </c>
      <c r="O214" s="2289"/>
      <c r="P214" s="4205"/>
      <c r="Q214" s="978" t="str">
        <f>IF(OR($O214=$M214,$O214=0,$O214=""),"","*CHECK!*")</f>
        <v/>
      </c>
      <c r="R214" s="974" t="s">
        <v>4767</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3640</v>
      </c>
      <c r="D216" s="102"/>
      <c r="E216" s="102"/>
      <c r="F216" s="102"/>
      <c r="G216" s="102"/>
      <c r="H216" s="102"/>
      <c r="I216" s="102"/>
      <c r="J216" s="3166"/>
      <c r="K216" s="3167"/>
      <c r="L216" s="3167"/>
      <c r="M216" s="3167"/>
      <c r="N216" s="3167"/>
      <c r="O216" s="3167"/>
      <c r="P216" s="3168"/>
      <c r="V216" s="1023"/>
      <c r="W216" s="1023"/>
    </row>
    <row r="217" spans="1:26" s="43" customFormat="1" ht="11.25" customHeight="1">
      <c r="A217" s="175"/>
      <c r="B217" s="455" t="s">
        <v>3590</v>
      </c>
      <c r="C217" s="428" t="s">
        <v>3641</v>
      </c>
      <c r="D217" s="102"/>
      <c r="E217" s="102"/>
      <c r="F217" s="102"/>
      <c r="G217" s="102"/>
      <c r="H217" s="102"/>
      <c r="I217" s="1412" t="str">
        <f>IF($J$217="Government", "Additional documentation required - see QAP.","")</f>
        <v/>
      </c>
      <c r="J217" s="2771" t="s">
        <v>2730</v>
      </c>
      <c r="K217" s="3006"/>
      <c r="L217" s="3007"/>
      <c r="M217" s="102"/>
      <c r="N217" s="102"/>
      <c r="O217" s="102"/>
      <c r="P217" s="102"/>
      <c r="V217" s="1023"/>
      <c r="W217" s="1023"/>
    </row>
    <row r="218" spans="1:26" ht="11.25" customHeight="1">
      <c r="A218" s="176"/>
      <c r="B218" s="455" t="s">
        <v>3591</v>
      </c>
      <c r="C218" s="428" t="s">
        <v>4570</v>
      </c>
      <c r="D218" s="33"/>
      <c r="E218" s="33"/>
      <c r="F218" s="561"/>
      <c r="G218" s="561"/>
      <c r="H218" s="561"/>
      <c r="I218" s="33"/>
      <c r="J218" s="2254"/>
      <c r="K218" s="3002" t="s">
        <v>4314</v>
      </c>
      <c r="L218" s="3003"/>
      <c r="M218" s="3003"/>
      <c r="N218" s="3003"/>
      <c r="O218" s="1439"/>
      <c r="P218" s="92"/>
      <c r="V218" s="1023"/>
      <c r="W218" s="1023"/>
    </row>
    <row r="219" spans="1:26" ht="11.25" customHeight="1">
      <c r="A219" s="176"/>
      <c r="B219" s="385" t="s">
        <v>3593</v>
      </c>
      <c r="C219" s="428" t="s">
        <v>4313</v>
      </c>
      <c r="D219" s="33"/>
      <c r="E219" s="33"/>
      <c r="F219" s="561"/>
      <c r="G219" s="561"/>
      <c r="H219" s="561"/>
      <c r="I219" s="33"/>
      <c r="J219" s="2255"/>
      <c r="K219" s="3002"/>
      <c r="L219" s="3003"/>
      <c r="M219" s="3003"/>
      <c r="N219" s="3003"/>
      <c r="O219" s="2321"/>
      <c r="P219" s="1440" t="s">
        <v>3596</v>
      </c>
      <c r="V219" s="1023"/>
      <c r="W219" s="1023"/>
    </row>
    <row r="220" spans="1:26" ht="11.25" customHeight="1">
      <c r="A220" s="176"/>
      <c r="B220" s="385" t="s">
        <v>3594</v>
      </c>
      <c r="C220" s="428" t="s">
        <v>4316</v>
      </c>
      <c r="D220" s="33"/>
      <c r="E220" s="33"/>
      <c r="F220" s="561"/>
      <c r="G220" s="561"/>
      <c r="H220" s="561"/>
      <c r="I220" s="33"/>
      <c r="J220" s="2256"/>
      <c r="L220" s="1441" t="s">
        <v>4315</v>
      </c>
      <c r="N220" s="1442"/>
      <c r="O220" s="3004"/>
      <c r="P220" s="3005"/>
      <c r="V220" s="1023"/>
      <c r="W220" s="1023"/>
    </row>
    <row r="221" spans="1:26" ht="2.25" customHeight="1">
      <c r="A221" s="176"/>
      <c r="G221" s="389"/>
      <c r="L221" s="1086"/>
      <c r="V221" s="1023"/>
      <c r="W221" s="1023"/>
    </row>
    <row r="222" spans="1:26" ht="21.75" customHeight="1">
      <c r="A222" s="2962" t="s">
        <v>3825</v>
      </c>
      <c r="B222" s="2960" t="s">
        <v>3823</v>
      </c>
      <c r="C222" s="2961"/>
      <c r="D222" s="2871"/>
      <c r="E222" s="2872"/>
      <c r="F222" s="2872"/>
      <c r="G222" s="2872"/>
      <c r="H222" s="2872"/>
      <c r="I222" s="2872"/>
      <c r="J222" s="2872"/>
      <c r="K222" s="2872"/>
      <c r="L222" s="2872"/>
      <c r="M222" s="2872"/>
      <c r="N222" s="2872"/>
      <c r="O222" s="2872"/>
      <c r="P222" s="2873"/>
      <c r="Q222" s="440"/>
      <c r="V222" s="1023"/>
      <c r="W222" s="1023"/>
    </row>
    <row r="223" spans="1:26" ht="22.5" customHeight="1">
      <c r="A223" s="2963"/>
      <c r="B223" s="3000" t="s">
        <v>3824</v>
      </c>
      <c r="C223" s="3001"/>
      <c r="D223" s="2737"/>
      <c r="E223" s="2738"/>
      <c r="F223" s="2738"/>
      <c r="G223" s="2738"/>
      <c r="H223" s="2738"/>
      <c r="I223" s="2738"/>
      <c r="J223" s="2738"/>
      <c r="K223" s="2738"/>
      <c r="L223" s="2738"/>
      <c r="M223" s="2738"/>
      <c r="N223" s="2738"/>
      <c r="O223" s="2738"/>
      <c r="P223" s="2739"/>
      <c r="Q223" s="440"/>
      <c r="V223" s="1023"/>
      <c r="W223" s="1023"/>
    </row>
    <row r="224" spans="1:26" ht="22.5" customHeight="1">
      <c r="A224" s="2964"/>
      <c r="B224" s="2995" t="s">
        <v>4366</v>
      </c>
      <c r="C224" s="2996"/>
      <c r="D224" s="2734"/>
      <c r="E224" s="2735"/>
      <c r="F224" s="2735"/>
      <c r="G224" s="2735"/>
      <c r="H224" s="2735"/>
      <c r="I224" s="2735"/>
      <c r="J224" s="2735"/>
      <c r="K224" s="2735"/>
      <c r="L224" s="2735"/>
      <c r="M224" s="2735"/>
      <c r="N224" s="2735"/>
      <c r="O224" s="2735"/>
      <c r="P224" s="2736"/>
      <c r="Q224" s="440"/>
      <c r="V224" s="1023"/>
      <c r="W224" s="1023"/>
    </row>
    <row r="225" spans="1:23" ht="11.25" customHeight="1">
      <c r="B225" s="36" t="s">
        <v>3338</v>
      </c>
      <c r="G225" s="3208" t="s">
        <v>2559</v>
      </c>
      <c r="H225" s="3208"/>
      <c r="J225" s="3206"/>
      <c r="K225" s="3207"/>
      <c r="L225" s="4206"/>
      <c r="M225" s="4207"/>
      <c r="V225" s="1023"/>
      <c r="W225" s="1023"/>
    </row>
    <row r="226" spans="1:23" s="43" customFormat="1" ht="11.25" customHeight="1">
      <c r="C226" s="36" t="s">
        <v>3339</v>
      </c>
      <c r="D226" s="2376"/>
      <c r="G226" s="2935">
        <f>'Part IV-A-Uses of Funds'!$G$132</f>
        <v>9105000</v>
      </c>
      <c r="H226" s="2936"/>
      <c r="J226" s="2933">
        <f>IF($J225=0,0,$J225/$G$226)</f>
        <v>0</v>
      </c>
      <c r="K226" s="2934"/>
      <c r="L226" s="2933">
        <f>IF($L225=0,0,$L225/$G$226)</f>
        <v>0</v>
      </c>
      <c r="M226" s="2934"/>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3"/>
    </row>
    <row r="228" spans="1:23" s="43" customFormat="1" ht="21.75" customHeight="1" thickTop="1" thickBot="1">
      <c r="A228" s="2940" t="s">
        <v>7055</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1819</v>
      </c>
      <c r="C229" s="42"/>
      <c r="D229" s="97"/>
      <c r="E229" s="2380"/>
      <c r="F229" s="2380"/>
      <c r="G229" s="2380"/>
      <c r="H229" s="2380"/>
      <c r="I229" s="2380"/>
      <c r="J229" s="2380"/>
      <c r="K229" s="2380"/>
      <c r="L229" s="2380"/>
      <c r="M229" s="2380"/>
      <c r="N229" s="93"/>
      <c r="O229" s="836"/>
      <c r="P229" s="2373"/>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6"/>
      <c r="D231" s="2376"/>
      <c r="E231" s="2376"/>
      <c r="F231" s="2376"/>
      <c r="G231" s="2376"/>
      <c r="H231" s="2376"/>
      <c r="I231" s="2376"/>
      <c r="J231" s="2376"/>
      <c r="K231" s="2376"/>
      <c r="L231" s="2376"/>
      <c r="M231" s="2376"/>
      <c r="N231" s="74"/>
      <c r="O231" s="70"/>
      <c r="P231" s="846"/>
    </row>
    <row r="232" spans="1:23" s="43" customFormat="1" ht="13.5" customHeight="1" thickBot="1">
      <c r="A232" s="152" t="s">
        <v>287</v>
      </c>
      <c r="B232" s="106" t="s">
        <v>3738</v>
      </c>
      <c r="C232" s="2376"/>
      <c r="D232" s="2376"/>
      <c r="E232" s="2376"/>
      <c r="F232" s="2376"/>
      <c r="G232" s="2376"/>
      <c r="H232" s="2376"/>
      <c r="I232" s="2376"/>
      <c r="J232" s="2376"/>
      <c r="M232" s="846">
        <v>3</v>
      </c>
      <c r="N232" s="74"/>
      <c r="O232" s="70"/>
      <c r="P232" s="4196"/>
      <c r="Q232" s="109" t="s">
        <v>433</v>
      </c>
      <c r="R232" s="974" t="s">
        <v>2625</v>
      </c>
    </row>
    <row r="233" spans="1:23" s="43" customFormat="1" ht="13.5" customHeight="1">
      <c r="A233" s="152"/>
      <c r="B233" s="103" t="s">
        <v>4117</v>
      </c>
      <c r="C233" s="2376"/>
      <c r="D233" s="2376"/>
      <c r="E233" s="2376"/>
      <c r="F233" s="2376"/>
      <c r="G233" s="2376"/>
      <c r="H233" s="2376"/>
      <c r="I233" s="2376"/>
      <c r="J233" s="2376"/>
      <c r="K233" s="2384"/>
      <c r="L233" s="1444" t="str">
        <f>IF(OR(O$150&gt;0,O$265&gt;0),"Applicant is ineligible for points in this section!  Points claimed in VI or IX.","")</f>
        <v>Applicant is ineligible for points in this section!  Points claimed in VI or IX.</v>
      </c>
      <c r="M233" s="846"/>
      <c r="N233" s="74"/>
      <c r="O233" s="2257"/>
      <c r="P233" s="4208"/>
      <c r="Q233" s="109"/>
      <c r="R233" s="2929" t="s">
        <v>4766</v>
      </c>
      <c r="S233" s="2929"/>
      <c r="T233" s="2929"/>
      <c r="U233" s="2929"/>
    </row>
    <row r="234" spans="1:23" s="43" customFormat="1" ht="13.5" customHeight="1">
      <c r="A234" s="152"/>
      <c r="B234" s="113" t="s">
        <v>3739</v>
      </c>
      <c r="C234" s="2376"/>
      <c r="D234" s="2376"/>
      <c r="E234" s="2376"/>
      <c r="F234" s="2376"/>
      <c r="G234" s="2376"/>
      <c r="H234" s="2376"/>
      <c r="I234" s="2376"/>
      <c r="J234" s="2376"/>
      <c r="K234" s="2384" t="s">
        <v>3140</v>
      </c>
      <c r="L234" s="2384" t="s">
        <v>251</v>
      </c>
      <c r="M234" s="846"/>
      <c r="N234" s="74"/>
      <c r="O234" s="70"/>
      <c r="P234" s="70"/>
      <c r="Q234" s="109"/>
      <c r="R234" s="2929"/>
      <c r="S234" s="2929"/>
      <c r="T234" s="2929"/>
      <c r="U234" s="2929"/>
    </row>
    <row r="235" spans="1:23" s="43" customFormat="1" ht="11.25" customHeight="1">
      <c r="A235" s="138"/>
      <c r="C235" s="55" t="s">
        <v>4571</v>
      </c>
      <c r="K235" s="1108">
        <f>$O$193</f>
        <v>0</v>
      </c>
      <c r="L235" s="1109">
        <f>$P$193</f>
        <v>0</v>
      </c>
      <c r="N235" s="455" t="s">
        <v>2371</v>
      </c>
      <c r="O235" s="2254"/>
      <c r="P235" s="518"/>
      <c r="R235" s="2929"/>
      <c r="S235" s="2929"/>
      <c r="T235" s="2929"/>
      <c r="U235" s="2929"/>
    </row>
    <row r="236" spans="1:23" s="43" customFormat="1" ht="11.25" customHeight="1">
      <c r="A236" s="138"/>
      <c r="C236" s="55" t="s">
        <v>4756</v>
      </c>
      <c r="K236" s="1108">
        <f>$O$112</f>
        <v>4</v>
      </c>
      <c r="L236" s="1109">
        <f>$P$112</f>
        <v>0</v>
      </c>
      <c r="N236" s="455" t="s">
        <v>2372</v>
      </c>
      <c r="O236" s="2255"/>
      <c r="P236" s="519"/>
      <c r="R236" s="2929"/>
      <c r="S236" s="2929"/>
      <c r="T236" s="2929"/>
      <c r="U236" s="2929"/>
    </row>
    <row r="237" spans="1:23" s="43" customFormat="1" ht="11.25" customHeight="1">
      <c r="C237" s="55" t="s">
        <v>4572</v>
      </c>
      <c r="N237" s="455" t="s">
        <v>2373</v>
      </c>
      <c r="O237" s="2256"/>
      <c r="P237" s="519"/>
      <c r="R237" s="2929"/>
      <c r="S237" s="2929"/>
      <c r="T237" s="2929"/>
      <c r="U237" s="2929"/>
    </row>
    <row r="238" spans="1:23" s="43" customFormat="1" ht="11.25" customHeight="1">
      <c r="A238" s="138"/>
      <c r="C238" s="55" t="s">
        <v>4757</v>
      </c>
      <c r="K238" s="1433" t="str">
        <f>'Part I-Project Information'!F38</f>
        <v>Dublin</v>
      </c>
      <c r="L238" s="2393"/>
      <c r="N238" s="455" t="s">
        <v>2374</v>
      </c>
      <c r="O238" s="455"/>
      <c r="P238" s="519"/>
      <c r="R238" s="2929"/>
      <c r="S238" s="2929"/>
      <c r="T238" s="2929"/>
      <c r="U238" s="2929"/>
    </row>
    <row r="239" spans="1:23" s="43" customFormat="1" ht="11.25" customHeight="1">
      <c r="A239" s="138"/>
      <c r="C239" s="55" t="s">
        <v>4758</v>
      </c>
      <c r="K239" s="1108">
        <f>$O$150</f>
        <v>5</v>
      </c>
      <c r="L239" s="1109">
        <f>$P$150</f>
        <v>0</v>
      </c>
      <c r="N239" s="455" t="s">
        <v>2375</v>
      </c>
      <c r="O239" s="2254"/>
      <c r="P239" s="519"/>
      <c r="R239" s="2929"/>
      <c r="S239" s="2929"/>
      <c r="T239" s="2929"/>
      <c r="U239" s="2929"/>
    </row>
    <row r="240" spans="1:23" s="43" customFormat="1" ht="11.25" customHeight="1">
      <c r="A240" s="138"/>
      <c r="C240" s="55" t="s">
        <v>4759</v>
      </c>
      <c r="K240" s="1108">
        <f>$O$265</f>
        <v>0</v>
      </c>
      <c r="L240" s="1109">
        <f>$P$265</f>
        <v>0</v>
      </c>
      <c r="N240" s="455" t="s">
        <v>2374</v>
      </c>
      <c r="O240" s="2256"/>
      <c r="P240" s="520"/>
      <c r="R240" s="2929"/>
      <c r="S240" s="2929"/>
      <c r="T240" s="2929"/>
      <c r="U240" s="2929"/>
    </row>
    <row r="241" spans="1:23" s="43" customFormat="1" ht="3" customHeight="1">
      <c r="A241" s="42"/>
      <c r="C241" s="2376"/>
      <c r="D241" s="2376"/>
      <c r="E241" s="2376"/>
      <c r="F241" s="2376"/>
      <c r="G241" s="2376"/>
      <c r="H241" s="2376"/>
      <c r="I241" s="2376"/>
      <c r="J241" s="2376"/>
      <c r="K241" s="2376"/>
      <c r="L241" s="2376"/>
      <c r="M241" s="2376"/>
      <c r="N241" s="74"/>
      <c r="O241" s="70"/>
      <c r="P241" s="846"/>
      <c r="R241" s="2929"/>
      <c r="S241" s="2929"/>
      <c r="T241" s="2929"/>
      <c r="U241" s="2929"/>
    </row>
    <row r="242" spans="1:23" ht="11.25" customHeight="1">
      <c r="A242" s="138" t="s">
        <v>1935</v>
      </c>
      <c r="B242" s="177" t="s">
        <v>3741</v>
      </c>
      <c r="D242" s="33"/>
      <c r="G242" s="465" t="s">
        <v>3592</v>
      </c>
      <c r="N242" s="27"/>
      <c r="O242" s="27"/>
      <c r="P242" s="27"/>
      <c r="Q242" s="983"/>
      <c r="R242" s="2929"/>
      <c r="S242" s="2929"/>
      <c r="T242" s="2929"/>
      <c r="U242" s="2929"/>
    </row>
    <row r="243" spans="1:23" s="33" customFormat="1" ht="11.25" customHeight="1">
      <c r="A243" s="498"/>
      <c r="C243" s="134" t="s">
        <v>3644</v>
      </c>
      <c r="E243" s="2947"/>
      <c r="F243" s="2948"/>
      <c r="G243" s="2948"/>
      <c r="H243" s="2948"/>
      <c r="I243" s="2949"/>
      <c r="J243" s="2389" t="s">
        <v>2624</v>
      </c>
      <c r="K243" s="2983"/>
      <c r="L243" s="2984"/>
      <c r="M243" s="2984"/>
      <c r="N243" s="2984"/>
      <c r="O243" s="2985"/>
      <c r="P243" s="548"/>
      <c r="Q243" s="983"/>
      <c r="R243" s="2929"/>
      <c r="S243" s="2929"/>
      <c r="T243" s="2929"/>
      <c r="U243" s="2929"/>
    </row>
    <row r="244" spans="1:23" s="33" customFormat="1" ht="11.25" customHeight="1">
      <c r="A244" s="498"/>
      <c r="C244" s="134" t="s">
        <v>2143</v>
      </c>
      <c r="E244" s="2930"/>
      <c r="F244" s="2931"/>
      <c r="G244" s="2932"/>
      <c r="H244" s="1716" t="s">
        <v>1679</v>
      </c>
      <c r="I244" s="2322"/>
      <c r="J244" s="428" t="s">
        <v>1755</v>
      </c>
      <c r="K244" s="2930"/>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2929"/>
      <c r="S246" s="2929"/>
      <c r="T246" s="2929"/>
      <c r="U246" s="2929"/>
    </row>
    <row r="247" spans="1:23" s="33" customFormat="1" ht="21.75" customHeight="1">
      <c r="A247" s="2386"/>
      <c r="B247" s="588"/>
      <c r="C247" s="3165" t="s">
        <v>4760</v>
      </c>
      <c r="D247" s="3165"/>
      <c r="E247" s="3165"/>
      <c r="F247" s="3165"/>
      <c r="G247" s="3165"/>
      <c r="H247" s="3165"/>
      <c r="I247" s="3165"/>
      <c r="J247" s="3165"/>
      <c r="K247" s="3165"/>
      <c r="L247" s="3165"/>
      <c r="M247" s="3165"/>
      <c r="N247" s="388" t="s">
        <v>1938</v>
      </c>
      <c r="O247" s="2269"/>
      <c r="P247" s="1089"/>
      <c r="Q247" s="981"/>
      <c r="V247" s="1023"/>
      <c r="W247" s="1023"/>
    </row>
    <row r="248" spans="1:23" ht="11.25" customHeight="1">
      <c r="A248" s="498"/>
      <c r="B248" s="562" t="s">
        <v>1940</v>
      </c>
      <c r="C248" s="985" t="s">
        <v>3742</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43" t="s">
        <v>4573</v>
      </c>
      <c r="D249" s="2943"/>
      <c r="E249" s="2943"/>
      <c r="F249" s="2943"/>
      <c r="G249" s="2943"/>
      <c r="H249" s="2943"/>
      <c r="I249" s="2943"/>
      <c r="J249" s="2943"/>
      <c r="K249" s="2943"/>
      <c r="L249" s="2943"/>
      <c r="M249" s="2943"/>
      <c r="N249" s="388" t="s">
        <v>1940</v>
      </c>
      <c r="O249" s="2269"/>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3096" t="s">
        <v>3744</v>
      </c>
      <c r="D251" s="3096"/>
      <c r="E251" s="3096"/>
      <c r="F251" s="3096"/>
      <c r="G251" s="3096"/>
      <c r="H251" s="3096"/>
      <c r="I251" s="3096"/>
      <c r="J251" s="3096"/>
      <c r="K251" s="3096"/>
      <c r="L251" s="3096"/>
      <c r="M251" s="3096"/>
      <c r="N251" s="388" t="s">
        <v>2467</v>
      </c>
      <c r="O251" s="2269"/>
      <c r="P251" s="1089"/>
      <c r="Q251" s="984"/>
      <c r="V251" s="1023"/>
      <c r="W251" s="1023"/>
    </row>
    <row r="252" spans="1:23" s="33" customFormat="1" ht="10.5" customHeight="1">
      <c r="A252" s="498"/>
      <c r="B252" s="988"/>
      <c r="C252" s="2392"/>
      <c r="D252" s="2392"/>
      <c r="E252" s="2392"/>
      <c r="F252" s="2392"/>
      <c r="G252" s="588" t="s">
        <v>4383</v>
      </c>
      <c r="H252" s="2392"/>
      <c r="J252" s="3195"/>
      <c r="K252" s="3196"/>
      <c r="L252" s="2392"/>
      <c r="M252" s="2392"/>
      <c r="N252" s="2392"/>
      <c r="O252" s="2392"/>
      <c r="P252" s="2392"/>
      <c r="Q252" s="984"/>
      <c r="V252" s="1023"/>
      <c r="W252" s="1023"/>
    </row>
    <row r="253" spans="1:23" s="390" customFormat="1" ht="21" customHeight="1">
      <c r="A253" s="1727"/>
      <c r="B253" s="986" t="s">
        <v>2371</v>
      </c>
      <c r="C253" s="3096" t="s">
        <v>3745</v>
      </c>
      <c r="D253" s="3096"/>
      <c r="E253" s="3096"/>
      <c r="F253" s="3096"/>
      <c r="G253" s="3096"/>
      <c r="H253" s="3096"/>
      <c r="I253" s="3096"/>
      <c r="J253" s="3096"/>
      <c r="K253" s="3096"/>
      <c r="L253" s="3096"/>
      <c r="M253" s="3096"/>
      <c r="N253" s="986" t="s">
        <v>2371</v>
      </c>
      <c r="O253" s="2266"/>
      <c r="P253" s="1088"/>
      <c r="Q253" s="1728"/>
      <c r="V253" s="1729"/>
      <c r="W253" s="1729"/>
    </row>
    <row r="254" spans="1:23" s="33" customFormat="1" ht="11.25" customHeight="1">
      <c r="A254" s="498"/>
      <c r="B254" s="385" t="s">
        <v>2372</v>
      </c>
      <c r="C254" s="3165" t="s">
        <v>4317</v>
      </c>
      <c r="D254" s="3165"/>
      <c r="E254" s="3165"/>
      <c r="F254" s="3165"/>
      <c r="G254" s="3165"/>
      <c r="H254" s="3165"/>
      <c r="I254" s="3165"/>
      <c r="J254" s="3165"/>
      <c r="K254" s="3165"/>
      <c r="L254" s="3165"/>
      <c r="M254" s="3165"/>
      <c r="N254" s="385" t="s">
        <v>2372</v>
      </c>
      <c r="O254" s="2256"/>
      <c r="P254" s="520"/>
      <c r="Q254" s="984"/>
      <c r="V254" s="1023"/>
      <c r="W254" s="1023"/>
    </row>
    <row r="255" spans="1:23" ht="11.25" customHeight="1">
      <c r="A255" s="138"/>
      <c r="B255" s="847" t="s">
        <v>1198</v>
      </c>
      <c r="C255" s="559" t="s">
        <v>4318</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7"/>
      <c r="P256" s="517"/>
      <c r="Q256" s="984"/>
      <c r="V256" s="1023"/>
      <c r="W256" s="1023"/>
    </row>
    <row r="257" spans="1:24" ht="11.4" customHeight="1">
      <c r="A257" s="138" t="s">
        <v>1937</v>
      </c>
      <c r="B257" s="177" t="s">
        <v>3743</v>
      </c>
      <c r="D257" s="33"/>
      <c r="G257" s="465" t="s">
        <v>3592</v>
      </c>
      <c r="N257" s="27"/>
      <c r="O257" s="506" t="s">
        <v>2443</v>
      </c>
      <c r="P257" s="506" t="s">
        <v>2443</v>
      </c>
      <c r="Q257" s="983"/>
    </row>
    <row r="258" spans="1:24" ht="22.5" customHeight="1">
      <c r="B258" s="562" t="s">
        <v>1938</v>
      </c>
      <c r="C258" s="3160" t="s">
        <v>4574</v>
      </c>
      <c r="D258" s="3160"/>
      <c r="E258" s="3160"/>
      <c r="F258" s="3160"/>
      <c r="G258" s="3160"/>
      <c r="H258" s="3160"/>
      <c r="I258" s="3160"/>
      <c r="J258" s="3160"/>
      <c r="K258" s="3160"/>
      <c r="L258" s="3160"/>
      <c r="M258" s="1070" t="s">
        <v>1937</v>
      </c>
      <c r="N258" s="388" t="s">
        <v>1938</v>
      </c>
      <c r="O258" s="2266"/>
      <c r="P258" s="1088"/>
      <c r="Q258" s="983"/>
      <c r="V258" s="1023"/>
      <c r="W258" s="1023"/>
    </row>
    <row r="259" spans="1:24" s="33" customFormat="1" ht="11.25" customHeight="1">
      <c r="A259" s="498"/>
      <c r="B259" s="562" t="s">
        <v>1940</v>
      </c>
      <c r="C259" s="428" t="s">
        <v>4575</v>
      </c>
      <c r="D259" s="930"/>
      <c r="E259" s="930"/>
      <c r="F259" s="930"/>
      <c r="G259" s="930"/>
      <c r="H259" s="930"/>
      <c r="I259" s="930"/>
      <c r="J259" s="930"/>
      <c r="K259" s="930"/>
      <c r="L259" s="930"/>
      <c r="M259" s="930"/>
      <c r="N259" s="388" t="s">
        <v>1940</v>
      </c>
      <c r="O259" s="2256"/>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5"/>
    </row>
    <row r="261" spans="1:24" s="43" customFormat="1" ht="18" customHeight="1" thickTop="1" thickBot="1">
      <c r="A261" s="3203" t="s">
        <v>7055</v>
      </c>
      <c r="B261" s="3204"/>
      <c r="C261" s="3204"/>
      <c r="D261" s="3204"/>
      <c r="E261" s="3204"/>
      <c r="F261" s="3204"/>
      <c r="G261" s="3204"/>
      <c r="H261" s="3204"/>
      <c r="I261" s="3204"/>
      <c r="J261" s="3204"/>
      <c r="K261" s="3204"/>
      <c r="L261" s="3204"/>
      <c r="M261" s="3204"/>
      <c r="N261" s="3204"/>
      <c r="O261" s="3204"/>
      <c r="P261" s="3205"/>
      <c r="Q261" s="1027" t="s">
        <v>1228</v>
      </c>
    </row>
    <row r="262" spans="1:24" s="43" customFormat="1" ht="10.5" customHeight="1" thickTop="1">
      <c r="A262" s="42"/>
      <c r="B262" s="85" t="s">
        <v>1819</v>
      </c>
      <c r="C262" s="42"/>
      <c r="D262" s="85"/>
      <c r="E262" s="2376"/>
      <c r="F262" s="2376"/>
      <c r="G262" s="2376"/>
      <c r="H262" s="2376"/>
      <c r="I262" s="2376"/>
      <c r="J262" s="2376"/>
      <c r="K262" s="2376"/>
      <c r="L262" s="2376"/>
      <c r="M262" s="2376"/>
      <c r="N262" s="74"/>
      <c r="O262" s="70"/>
      <c r="P262" s="2373"/>
      <c r="Q262" s="422"/>
    </row>
    <row r="263" spans="1:24" s="43" customFormat="1" ht="22.2" customHeight="1">
      <c r="A263" s="4158"/>
      <c r="B263" s="4159"/>
      <c r="C263" s="4159"/>
      <c r="D263" s="4159"/>
      <c r="E263" s="4159"/>
      <c r="F263" s="4159"/>
      <c r="G263" s="4159"/>
      <c r="H263" s="4159"/>
      <c r="I263" s="4159"/>
      <c r="J263" s="4159"/>
      <c r="K263" s="4159"/>
      <c r="L263" s="4159"/>
      <c r="M263" s="4159"/>
      <c r="N263" s="4159"/>
      <c r="O263" s="4159"/>
      <c r="P263" s="416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73">
        <v>5</v>
      </c>
      <c r="N265" s="7"/>
      <c r="O265" s="1083">
        <f>O267+O276</f>
        <v>0</v>
      </c>
      <c r="P265" s="1083">
        <f>P267+P276</f>
        <v>0</v>
      </c>
      <c r="Q265" s="109" t="s">
        <v>433</v>
      </c>
      <c r="S265" s="2951" t="s">
        <v>4593</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197" t="s">
        <v>1935</v>
      </c>
      <c r="B267" s="833" t="s">
        <v>4319</v>
      </c>
      <c r="C267" s="92"/>
      <c r="D267" s="59"/>
      <c r="E267" s="59"/>
      <c r="G267" s="465" t="s">
        <v>4730</v>
      </c>
      <c r="I267" s="1719" t="str">
        <f>'Part I-Project Information'!$O$38</f>
        <v>9505.00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9"/>
      <c r="Q267" s="109"/>
      <c r="S267" s="2954"/>
      <c r="T267" s="2955"/>
      <c r="U267" s="2956"/>
      <c r="V267" s="43"/>
      <c r="W267" s="43"/>
      <c r="X267" s="43"/>
    </row>
    <row r="268" spans="1:24" ht="11.4" customHeight="1">
      <c r="A268" s="3197"/>
      <c r="B268" s="110" t="s">
        <v>2702</v>
      </c>
      <c r="C268" s="502"/>
      <c r="D268" s="502"/>
      <c r="G268" s="503" t="str">
        <f>'Part I-Project Information'!$H$105</f>
        <v>Rural</v>
      </c>
      <c r="N268" s="1438" t="s">
        <v>1935</v>
      </c>
      <c r="O268" s="1112" t="s">
        <v>2443</v>
      </c>
      <c r="P268" s="1112" t="s">
        <v>2443</v>
      </c>
      <c r="S268" s="2954"/>
      <c r="T268" s="2955"/>
      <c r="U268" s="2956"/>
      <c r="V268" s="43"/>
      <c r="W268" s="43"/>
      <c r="X268" s="43"/>
    </row>
    <row r="269" spans="1:24" ht="11.4" customHeight="1">
      <c r="A269" s="3197"/>
      <c r="B269" s="847" t="s">
        <v>1938</v>
      </c>
      <c r="C269" s="433" t="s">
        <v>2608</v>
      </c>
      <c r="E269" s="116"/>
      <c r="M269" s="80"/>
      <c r="N269" s="174" t="s">
        <v>1938</v>
      </c>
      <c r="O269" s="2254" t="s">
        <v>7056</v>
      </c>
      <c r="P269" s="518"/>
      <c r="Q269" s="2944" t="str">
        <f>IF(AND(O269="Yes",O272="Yes"),"Only 1 or 4 can be 'Yes'!","")</f>
        <v/>
      </c>
      <c r="R269" s="2944"/>
      <c r="S269" s="2954"/>
      <c r="T269" s="2955"/>
      <c r="U269" s="2956"/>
    </row>
    <row r="270" spans="1:24" ht="11.4" customHeight="1">
      <c r="B270" s="847" t="s">
        <v>1940</v>
      </c>
      <c r="C270" s="433" t="s">
        <v>2653</v>
      </c>
      <c r="G270" s="100" t="s">
        <v>2326</v>
      </c>
      <c r="I270" s="2323" t="s">
        <v>4345</v>
      </c>
      <c r="J270" s="433" t="s">
        <v>2654</v>
      </c>
      <c r="L270" s="134" t="s">
        <v>2652</v>
      </c>
      <c r="M270" s="848" t="str">
        <f>IF(O270&gt;I270,"CHECK ACTUAL PERCENT!!!","")</f>
        <v/>
      </c>
      <c r="N270" s="174" t="s">
        <v>1940</v>
      </c>
      <c r="O270" s="2324"/>
      <c r="P270" s="4210"/>
      <c r="Q270" s="2944"/>
      <c r="R270" s="2944"/>
      <c r="S270" s="2954"/>
      <c r="T270" s="2955"/>
      <c r="U270" s="2956"/>
    </row>
    <row r="271" spans="1:24" ht="11.4" customHeight="1">
      <c r="B271" s="847" t="s">
        <v>2467</v>
      </c>
      <c r="C271" s="412" t="s">
        <v>2327</v>
      </c>
      <c r="E271" s="116"/>
      <c r="G271" s="100" t="s">
        <v>2328</v>
      </c>
      <c r="J271" s="3209" t="s">
        <v>4470</v>
      </c>
      <c r="L271" s="428" t="s">
        <v>2647</v>
      </c>
      <c r="M271" s="33"/>
      <c r="N271" s="174" t="s">
        <v>2467</v>
      </c>
      <c r="O271" s="2325" t="s">
        <v>197</v>
      </c>
      <c r="P271" s="4211" t="s">
        <v>197</v>
      </c>
      <c r="Q271" s="2944"/>
      <c r="R271" s="2944"/>
      <c r="S271" s="2954"/>
      <c r="T271" s="2955"/>
      <c r="U271" s="2956"/>
    </row>
    <row r="272" spans="1:24" s="390" customFormat="1" ht="11.4" customHeight="1">
      <c r="B272" s="562" t="s">
        <v>1198</v>
      </c>
      <c r="C272" s="2943" t="s">
        <v>4576</v>
      </c>
      <c r="D272" s="2943"/>
      <c r="E272" s="2943"/>
      <c r="F272" s="2943"/>
      <c r="G272" s="2943"/>
      <c r="H272" s="2943"/>
      <c r="I272" s="2943"/>
      <c r="J272" s="3210"/>
      <c r="K272" s="3209" t="s">
        <v>3746</v>
      </c>
      <c r="M272" s="1074">
        <v>2</v>
      </c>
      <c r="N272" s="174" t="s">
        <v>1198</v>
      </c>
      <c r="O272" s="2387" t="s">
        <v>7056</v>
      </c>
      <c r="P272" s="2251"/>
      <c r="Q272" s="2944"/>
      <c r="R272" s="2944"/>
      <c r="S272" s="2954"/>
      <c r="T272" s="2955"/>
      <c r="U272" s="2956"/>
    </row>
    <row r="273" spans="1:21" ht="11.4" customHeight="1">
      <c r="B273" s="372"/>
      <c r="C273" s="2943"/>
      <c r="D273" s="2943"/>
      <c r="E273" s="2943"/>
      <c r="F273" s="2943"/>
      <c r="G273" s="2943"/>
      <c r="H273" s="2943"/>
      <c r="I273" s="2943"/>
      <c r="J273" s="3211"/>
      <c r="K273" s="3211"/>
      <c r="L273" s="3149" t="s">
        <v>3782</v>
      </c>
      <c r="M273" s="3150"/>
      <c r="N273" s="116"/>
      <c r="S273" s="2954"/>
      <c r="T273" s="2955"/>
      <c r="U273" s="2956"/>
    </row>
    <row r="274" spans="1:21" ht="23.25" customHeight="1">
      <c r="B274" s="372"/>
      <c r="C274" s="2943"/>
      <c r="D274" s="2943"/>
      <c r="E274" s="2943"/>
      <c r="F274" s="2943"/>
      <c r="G274" s="2943"/>
      <c r="H274" s="2943"/>
      <c r="I274" s="2943"/>
      <c r="J274" s="2326"/>
      <c r="K274" s="2327"/>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1937</v>
      </c>
      <c r="B276" s="847" t="s">
        <v>4320</v>
      </c>
      <c r="C276" s="412"/>
      <c r="E276" s="116"/>
      <c r="G276" s="465" t="s">
        <v>6800</v>
      </c>
      <c r="I276" s="2328"/>
      <c r="K276" s="1438" t="s">
        <v>4611</v>
      </c>
      <c r="L276" s="2329"/>
      <c r="M276" s="1073">
        <v>2</v>
      </c>
      <c r="N276" s="1075" t="s">
        <v>1937</v>
      </c>
      <c r="O276" s="2289"/>
      <c r="P276" s="4205"/>
      <c r="Q276" s="978" t="str">
        <f>IF(O276&lt;=M276,"","*CHECK!*")</f>
        <v/>
      </c>
      <c r="R276" s="974" t="s">
        <v>4767</v>
      </c>
      <c r="S276" s="1811"/>
      <c r="T276" s="1807"/>
      <c r="U276" s="1812"/>
    </row>
    <row r="277" spans="1:21" ht="11.4" customHeight="1">
      <c r="A277" s="505"/>
      <c r="B277" s="847" t="s">
        <v>1938</v>
      </c>
      <c r="C277" s="134" t="s">
        <v>4466</v>
      </c>
      <c r="D277" s="134"/>
      <c r="E277" s="1717"/>
      <c r="F277" s="1720"/>
      <c r="G277" s="134" t="s">
        <v>4321</v>
      </c>
      <c r="H277" s="930"/>
      <c r="I277" s="930"/>
      <c r="J277" s="33"/>
      <c r="K277" s="33"/>
      <c r="L277" s="170" t="s">
        <v>6801</v>
      </c>
      <c r="M277" s="72"/>
      <c r="N277" s="174" t="s">
        <v>1938</v>
      </c>
      <c r="O277" s="2266" t="s">
        <v>7056</v>
      </c>
      <c r="P277" s="1088"/>
      <c r="Q277" s="978"/>
      <c r="R277" s="974"/>
      <c r="S277" s="1807"/>
      <c r="T277" s="1807"/>
      <c r="U277" s="1807"/>
    </row>
    <row r="278" spans="1:21" ht="11.4" customHeight="1">
      <c r="A278" s="505"/>
      <c r="B278" s="847" t="s">
        <v>1940</v>
      </c>
      <c r="C278" s="134" t="s">
        <v>4467</v>
      </c>
      <c r="D278" s="134"/>
      <c r="E278" s="1717"/>
      <c r="F278" s="1718"/>
      <c r="G278" s="134" t="s">
        <v>4322</v>
      </c>
      <c r="H278" s="930"/>
      <c r="I278" s="930"/>
      <c r="J278" s="33"/>
      <c r="K278" s="33"/>
      <c r="L278" s="170" t="s">
        <v>6801</v>
      </c>
      <c r="M278" s="80"/>
      <c r="N278" s="174" t="s">
        <v>1940</v>
      </c>
      <c r="O278" s="2256" t="s">
        <v>7056</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5"/>
    </row>
    <row r="281" spans="1:21" s="43" customFormat="1" ht="14.25" customHeight="1" thickTop="1" thickBot="1">
      <c r="A281" s="2940" t="s">
        <v>7149</v>
      </c>
      <c r="B281" s="2941"/>
      <c r="C281" s="2941"/>
      <c r="D281" s="2941"/>
      <c r="E281" s="2941"/>
      <c r="F281" s="2941"/>
      <c r="G281" s="2941"/>
      <c r="H281" s="2941"/>
      <c r="I281" s="2941"/>
      <c r="J281" s="2941"/>
      <c r="K281" s="2941"/>
      <c r="L281" s="2941"/>
      <c r="M281" s="2941"/>
      <c r="N281" s="2941"/>
      <c r="O281" s="2941"/>
      <c r="P281" s="2942"/>
      <c r="Q281" s="1027" t="s">
        <v>1228</v>
      </c>
    </row>
    <row r="282" spans="1:21" ht="2.25" hidden="1" customHeight="1" thickTop="1">
      <c r="A282" s="505"/>
      <c r="B282" s="847"/>
      <c r="C282" s="412"/>
      <c r="E282" s="116"/>
      <c r="M282" s="1073"/>
      <c r="N282" s="1069"/>
      <c r="O282" s="846"/>
      <c r="P282" s="846"/>
    </row>
    <row r="283" spans="1:21" s="43" customFormat="1" ht="10.5" customHeight="1" thickTop="1">
      <c r="A283" s="42"/>
      <c r="B283" s="85" t="s">
        <v>1819</v>
      </c>
      <c r="C283" s="42"/>
      <c r="D283" s="85"/>
      <c r="E283" s="2376"/>
      <c r="F283" s="2376"/>
      <c r="G283" s="2376"/>
      <c r="H283" s="2376"/>
      <c r="I283" s="2376"/>
      <c r="J283" s="2376"/>
      <c r="K283" s="2376"/>
      <c r="L283" s="2376"/>
      <c r="M283" s="2376"/>
      <c r="N283" s="74"/>
      <c r="O283" s="70"/>
      <c r="P283" s="2373"/>
      <c r="Q283" s="422"/>
    </row>
    <row r="284" spans="1:21" s="43" customFormat="1" ht="11.25" customHeight="1">
      <c r="A284" s="4158"/>
      <c r="B284" s="4159"/>
      <c r="C284" s="4159"/>
      <c r="D284" s="4159"/>
      <c r="E284" s="4159"/>
      <c r="F284" s="4159"/>
      <c r="G284" s="4159"/>
      <c r="H284" s="4159"/>
      <c r="I284" s="4159"/>
      <c r="J284" s="4159"/>
      <c r="K284" s="4159"/>
      <c r="L284" s="4159"/>
      <c r="M284" s="4159"/>
      <c r="N284" s="4159"/>
      <c r="O284" s="4159"/>
      <c r="P284" s="4160"/>
      <c r="Q284" s="440"/>
    </row>
    <row r="285" spans="1:21" s="43" customFormat="1" ht="10.199999999999999" customHeight="1" thickBot="1">
      <c r="A285" s="42"/>
      <c r="D285" s="39"/>
      <c r="E285" s="36"/>
      <c r="F285" s="846"/>
      <c r="G285" s="846"/>
      <c r="H285" s="846"/>
      <c r="I285" s="846"/>
      <c r="J285" s="856"/>
      <c r="K285" s="856"/>
      <c r="L285" s="856"/>
      <c r="M285" s="60"/>
      <c r="N285" s="846"/>
      <c r="O285" s="2375"/>
      <c r="P285" s="3"/>
    </row>
    <row r="286" spans="1:21" ht="13.8" thickBot="1">
      <c r="A286" s="152" t="s">
        <v>356</v>
      </c>
      <c r="B286" s="1613" t="s">
        <v>4717</v>
      </c>
      <c r="C286" s="412"/>
      <c r="E286" s="116"/>
      <c r="G286" s="1616" t="s">
        <v>3605</v>
      </c>
      <c r="H286" s="2386" t="s">
        <v>3452</v>
      </c>
      <c r="I286" s="1446">
        <f>IF('Part VI-Revenues &amp; Expenses'!$P$67=0,0,'Part VI-Revenues &amp; Expenses'!$P$64/'Part VI-Revenues &amp; Expenses'!$P$67)</f>
        <v>0</v>
      </c>
      <c r="J286" s="1438" t="s">
        <v>4605</v>
      </c>
      <c r="K286" s="2974" t="str">
        <f>'Part I-Project Information'!$K$94</f>
        <v>Income Averaging</v>
      </c>
      <c r="L286" s="2975"/>
      <c r="M286" s="150">
        <v>1</v>
      </c>
      <c r="N286" s="1069"/>
      <c r="O286" s="1041">
        <f>MIN($M$286,SUM(O287:O288))</f>
        <v>1</v>
      </c>
      <c r="P286" s="1041">
        <f>MIN($M$286,SUM(P287:P288))</f>
        <v>0</v>
      </c>
      <c r="Q286" s="109" t="s">
        <v>433</v>
      </c>
    </row>
    <row r="287" spans="1:21" ht="13.8">
      <c r="A287" s="2374" t="s">
        <v>1935</v>
      </c>
      <c r="B287" s="1615" t="s">
        <v>4603</v>
      </c>
      <c r="C287" s="412"/>
      <c r="D287" s="427" t="s">
        <v>4604</v>
      </c>
      <c r="M287" s="72">
        <v>1</v>
      </c>
      <c r="N287" s="455" t="s">
        <v>1935</v>
      </c>
      <c r="O287" s="2330"/>
      <c r="P287" s="4212"/>
      <c r="Q287" s="978" t="str">
        <f>IF(OR($O287=$M287,$O287=0,$O287=""),"","*CHECK!*")</f>
        <v/>
      </c>
      <c r="R287" s="974" t="s">
        <v>4767</v>
      </c>
    </row>
    <row r="288" spans="1:21" ht="13.8">
      <c r="A288" s="2374" t="s">
        <v>1937</v>
      </c>
      <c r="B288" s="1615" t="s">
        <v>4293</v>
      </c>
      <c r="C288" s="412"/>
      <c r="D288" s="427" t="s">
        <v>4723</v>
      </c>
      <c r="M288" s="80">
        <v>1</v>
      </c>
      <c r="N288" s="455" t="s">
        <v>1937</v>
      </c>
      <c r="O288" s="2285">
        <v>1</v>
      </c>
      <c r="P288" s="4182"/>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1819</v>
      </c>
      <c r="C290" s="42"/>
      <c r="D290" s="85"/>
      <c r="E290" s="2376"/>
      <c r="F290" s="2376"/>
      <c r="G290" s="2376"/>
      <c r="H290" s="2376"/>
      <c r="I290" s="2376"/>
      <c r="J290" s="2376"/>
      <c r="K290" s="2376"/>
      <c r="L290" s="2376"/>
      <c r="M290" s="2376"/>
      <c r="N290" s="74"/>
      <c r="O290" s="70"/>
      <c r="P290" s="2373"/>
      <c r="Q290" s="422"/>
    </row>
    <row r="291" spans="1:27" s="43" customFormat="1" ht="11.25" customHeight="1">
      <c r="A291" s="4158"/>
      <c r="B291" s="4159"/>
      <c r="C291" s="4159"/>
      <c r="D291" s="4159"/>
      <c r="E291" s="4159"/>
      <c r="F291" s="4159"/>
      <c r="G291" s="4159"/>
      <c r="H291" s="4159"/>
      <c r="I291" s="4159"/>
      <c r="J291" s="4159"/>
      <c r="K291" s="4159"/>
      <c r="L291" s="4159"/>
      <c r="M291" s="4159"/>
      <c r="N291" s="4159"/>
      <c r="O291" s="4159"/>
      <c r="P291" s="4160"/>
      <c r="Q291" s="440"/>
    </row>
    <row r="292" spans="1:27" s="43" customFormat="1" ht="10.199999999999999" customHeight="1" thickBot="1">
      <c r="A292" s="42"/>
      <c r="D292" s="39"/>
      <c r="E292" s="36"/>
      <c r="F292" s="846"/>
      <c r="G292" s="846"/>
      <c r="H292" s="846"/>
      <c r="I292" s="846"/>
      <c r="J292" s="856"/>
      <c r="K292" s="856"/>
      <c r="L292" s="856"/>
      <c r="M292" s="60"/>
      <c r="N292" s="846"/>
      <c r="O292" s="2375"/>
      <c r="P292" s="3"/>
    </row>
    <row r="293" spans="1:27" s="102" customFormat="1" ht="12.6" customHeight="1" thickBot="1">
      <c r="A293" s="152" t="s">
        <v>357</v>
      </c>
      <c r="B293" s="106" t="s">
        <v>3747</v>
      </c>
      <c r="C293" s="92"/>
      <c r="D293" s="59"/>
      <c r="E293" s="59"/>
      <c r="H293" s="172"/>
      <c r="I293" s="1616" t="s">
        <v>3605</v>
      </c>
      <c r="M293" s="2373">
        <v>10</v>
      </c>
      <c r="N293" s="7"/>
      <c r="O293" s="1041">
        <f>IF(OR(O193&gt;0,O265&gt;0),0,IF(OR(O294="Yes",O295="Yes"),$M$293,0))</f>
        <v>0</v>
      </c>
      <c r="P293" s="1041">
        <f>IF(OR(P193&gt;0,P265&gt;0),0,IF(OR(P294="Yes",P295="Yes"),$M$293,0))</f>
        <v>0</v>
      </c>
      <c r="Q293" s="109" t="s">
        <v>433</v>
      </c>
      <c r="R293" s="2928" t="s">
        <v>4765</v>
      </c>
      <c r="S293" s="2928"/>
      <c r="T293" s="2928"/>
      <c r="U293" s="2928"/>
      <c r="V293" s="2928"/>
    </row>
    <row r="294" spans="1:27" ht="11.25" customHeight="1">
      <c r="A294" s="2374" t="s">
        <v>1935</v>
      </c>
      <c r="B294" s="1076" t="s">
        <v>3598</v>
      </c>
      <c r="D294" s="588"/>
      <c r="E294" s="588"/>
      <c r="F294" s="588"/>
      <c r="G294" s="588"/>
      <c r="H294" s="588"/>
      <c r="I294" s="588"/>
      <c r="J294" s="588"/>
      <c r="K294" s="588"/>
      <c r="L294" s="989"/>
      <c r="M294" s="3212" t="str">
        <f>IF(OR(SUM(T294:T295)&gt;1,SUM(Q294:Q295)&gt;1),"Only one category can be met by other means!","")</f>
        <v/>
      </c>
      <c r="N294" s="455" t="s">
        <v>1935</v>
      </c>
      <c r="O294" s="2254" t="s">
        <v>7056</v>
      </c>
      <c r="P294" s="518"/>
      <c r="Q294" s="999">
        <f>IF(L294="Yes",1,0)</f>
        <v>0</v>
      </c>
      <c r="R294" s="2928"/>
      <c r="S294" s="2928"/>
      <c r="T294" s="2928"/>
      <c r="U294" s="2928"/>
      <c r="V294" s="2928"/>
    </row>
    <row r="295" spans="1:27" ht="11.25" customHeight="1">
      <c r="A295" s="2374" t="s">
        <v>1937</v>
      </c>
      <c r="B295" s="1076" t="s">
        <v>3599</v>
      </c>
      <c r="D295" s="588"/>
      <c r="L295" s="989"/>
      <c r="M295" s="3212"/>
      <c r="N295" s="455" t="s">
        <v>1937</v>
      </c>
      <c r="O295" s="2256" t="s">
        <v>7056</v>
      </c>
      <c r="P295" s="520"/>
      <c r="Q295" s="999">
        <f>IF(L295="Yes",1,0)</f>
        <v>0</v>
      </c>
      <c r="R295" s="2928"/>
      <c r="S295" s="2928"/>
      <c r="T295" s="2928"/>
      <c r="U295" s="2928"/>
      <c r="V295" s="2928"/>
    </row>
    <row r="296" spans="1:27" s="43" customFormat="1" ht="10.5" customHeight="1" thickBot="1">
      <c r="A296" s="42"/>
      <c r="B296" s="1132" t="s">
        <v>3566</v>
      </c>
      <c r="C296" s="42"/>
      <c r="D296" s="48"/>
      <c r="E296" s="48"/>
      <c r="F296" s="48"/>
      <c r="G296" s="48"/>
      <c r="H296" s="36"/>
      <c r="I296" s="36"/>
      <c r="J296" s="36"/>
      <c r="K296" s="36"/>
      <c r="M296" s="46"/>
      <c r="N296" s="62"/>
      <c r="O296" s="3"/>
      <c r="P296" s="2375"/>
      <c r="R296" s="2928"/>
      <c r="S296" s="2928"/>
      <c r="T296" s="2928"/>
      <c r="U296" s="2928"/>
      <c r="V296" s="2928"/>
    </row>
    <row r="297" spans="1:27" s="43" customFormat="1" ht="15.75" customHeight="1" thickTop="1" thickBot="1">
      <c r="A297" s="2940" t="s">
        <v>7055</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1819</v>
      </c>
      <c r="C298" s="42"/>
      <c r="D298" s="85"/>
      <c r="E298" s="2376"/>
      <c r="F298" s="2376"/>
      <c r="G298" s="2376"/>
      <c r="H298" s="2376"/>
      <c r="I298" s="2376"/>
      <c r="J298" s="2376"/>
      <c r="K298" s="2376"/>
      <c r="L298" s="2376"/>
      <c r="M298" s="2376"/>
      <c r="N298" s="74"/>
      <c r="O298" s="70"/>
      <c r="P298" s="2373"/>
      <c r="Q298" s="422"/>
    </row>
    <row r="299" spans="1:27" s="43" customFormat="1" ht="11.25" customHeight="1">
      <c r="A299" s="4158"/>
      <c r="B299" s="4159"/>
      <c r="C299" s="4159"/>
      <c r="D299" s="4159"/>
      <c r="E299" s="4159"/>
      <c r="F299" s="4159"/>
      <c r="G299" s="4159"/>
      <c r="H299" s="4159"/>
      <c r="I299" s="4159"/>
      <c r="J299" s="4159"/>
      <c r="K299" s="4159"/>
      <c r="L299" s="4159"/>
      <c r="M299" s="4159"/>
      <c r="N299" s="4159"/>
      <c r="O299" s="4159"/>
      <c r="P299" s="4160"/>
      <c r="Q299" s="440"/>
    </row>
    <row r="300" spans="1:27" s="43" customFormat="1" ht="15" thickBot="1">
      <c r="A300" s="42"/>
      <c r="D300" s="39"/>
      <c r="E300" s="36"/>
      <c r="F300" s="846"/>
      <c r="G300" s="846"/>
      <c r="H300" s="846"/>
      <c r="I300" s="846"/>
      <c r="J300" s="856"/>
      <c r="K300" s="856"/>
      <c r="L300" s="856"/>
      <c r="M300" s="60"/>
      <c r="N300" s="846"/>
      <c r="O300" s="2375"/>
      <c r="P300" s="3"/>
    </row>
    <row r="301" spans="1:27" s="43" customFormat="1" ht="12" customHeight="1" thickBot="1">
      <c r="A301" s="152" t="s">
        <v>358</v>
      </c>
      <c r="B301" s="105" t="s">
        <v>4719</v>
      </c>
      <c r="D301" s="41"/>
      <c r="E301" s="41"/>
      <c r="F301" s="41"/>
      <c r="H301" s="61"/>
      <c r="J301" s="86" t="s">
        <v>2702</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2950" t="s">
        <v>4577</v>
      </c>
      <c r="S301" s="2950"/>
      <c r="T301" s="2950"/>
      <c r="U301" s="2950"/>
      <c r="V301" s="2950"/>
      <c r="W301" s="1739"/>
      <c r="X301" s="1739"/>
    </row>
    <row r="302" spans="1:27" ht="11.25" customHeight="1">
      <c r="A302" s="2374"/>
      <c r="B302" s="1618" t="s">
        <v>4621</v>
      </c>
      <c r="D302" s="33"/>
      <c r="E302" s="33"/>
      <c r="F302" s="33"/>
      <c r="H302" s="86" t="s">
        <v>3507</v>
      </c>
      <c r="I302" s="427"/>
      <c r="J302" s="3198" t="str">
        <f>'Part I-Project Information'!$O$34</f>
        <v>No</v>
      </c>
      <c r="K302" s="3198"/>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1935</v>
      </c>
      <c r="B303" s="3096" t="s">
        <v>4620</v>
      </c>
      <c r="C303" s="3096"/>
      <c r="D303" s="3096"/>
      <c r="E303" s="3096"/>
      <c r="F303" s="3096"/>
      <c r="G303" s="3096"/>
      <c r="H303" s="3096"/>
      <c r="I303" s="3096"/>
      <c r="J303" s="3096"/>
      <c r="K303" s="3096"/>
      <c r="L303" s="3096"/>
      <c r="M303" s="3096"/>
      <c r="N303" s="160" t="s">
        <v>1935</v>
      </c>
      <c r="O303" s="2269" t="s">
        <v>7056</v>
      </c>
      <c r="P303" s="1089"/>
      <c r="Q303" s="3202" t="s">
        <v>4622</v>
      </c>
      <c r="R303" s="2943"/>
      <c r="S303" s="2943"/>
      <c r="T303" s="2943"/>
      <c r="U303" s="982"/>
      <c r="V303" s="982"/>
      <c r="W303" s="982"/>
      <c r="X303" s="982"/>
      <c r="Y303" s="982"/>
      <c r="Z303" s="982"/>
      <c r="AA303" s="982"/>
    </row>
    <row r="304" spans="1:27" s="117" customFormat="1" ht="11.25" customHeight="1">
      <c r="A304" s="372"/>
      <c r="B304" s="134" t="s">
        <v>3611</v>
      </c>
      <c r="I304" s="385" t="s">
        <v>4326</v>
      </c>
      <c r="J304" s="2331"/>
      <c r="K304" s="385" t="s">
        <v>599</v>
      </c>
      <c r="L304" s="3199"/>
      <c r="M304" s="3200"/>
      <c r="N304" s="3200"/>
      <c r="O304" s="3200"/>
      <c r="P304" s="3201"/>
      <c r="Q304" s="3202"/>
      <c r="R304" s="2943"/>
      <c r="S304" s="2943"/>
      <c r="T304" s="2943"/>
    </row>
    <row r="305" spans="1:24" s="117" customFormat="1" ht="11.25" customHeight="1">
      <c r="A305" s="372"/>
      <c r="B305" s="134" t="s">
        <v>3642</v>
      </c>
      <c r="I305" s="385" t="s">
        <v>4326</v>
      </c>
      <c r="J305" s="2332"/>
      <c r="K305" s="385" t="s">
        <v>599</v>
      </c>
      <c r="L305" s="3093"/>
      <c r="M305" s="3094"/>
      <c r="N305" s="3094"/>
      <c r="O305" s="3094"/>
      <c r="P305" s="3095"/>
      <c r="Q305" s="3202"/>
      <c r="R305" s="2943"/>
      <c r="S305" s="2943"/>
      <c r="T305" s="2943"/>
    </row>
    <row r="306" spans="1:24" s="117" customFormat="1" ht="11.25" customHeight="1">
      <c r="A306" s="372" t="s">
        <v>1937</v>
      </c>
      <c r="B306" s="117" t="s">
        <v>941</v>
      </c>
      <c r="M306" s="7"/>
      <c r="N306" s="455" t="s">
        <v>1937</v>
      </c>
      <c r="O306" s="2264" t="s">
        <v>7056</v>
      </c>
      <c r="P306" s="898"/>
      <c r="Q306" s="3202"/>
      <c r="R306" s="2943"/>
      <c r="S306" s="2943"/>
      <c r="T306" s="2943"/>
    </row>
    <row r="307" spans="1:24" s="117" customFormat="1" ht="11.25" customHeight="1">
      <c r="A307" s="372" t="s">
        <v>731</v>
      </c>
      <c r="B307" s="117" t="s">
        <v>942</v>
      </c>
      <c r="M307" s="7"/>
      <c r="N307" s="455" t="s">
        <v>731</v>
      </c>
      <c r="O307" s="2255" t="s">
        <v>7056</v>
      </c>
      <c r="P307" s="519"/>
      <c r="Q307" s="3202"/>
      <c r="R307" s="2943"/>
      <c r="S307" s="2943"/>
      <c r="T307" s="2943"/>
    </row>
    <row r="308" spans="1:24" s="117" customFormat="1" ht="22.5" customHeight="1">
      <c r="A308" s="435" t="s">
        <v>2064</v>
      </c>
      <c r="B308" s="3096" t="s">
        <v>4623</v>
      </c>
      <c r="C308" s="3096"/>
      <c r="D308" s="3096"/>
      <c r="E308" s="3096"/>
      <c r="F308" s="3096"/>
      <c r="G308" s="3096"/>
      <c r="H308" s="3096"/>
      <c r="I308" s="3096"/>
      <c r="J308" s="3096"/>
      <c r="K308" s="3096"/>
      <c r="L308" s="3096"/>
      <c r="M308" s="3096"/>
      <c r="N308" s="160" t="s">
        <v>2064</v>
      </c>
      <c r="O308" s="2379" t="s">
        <v>7056</v>
      </c>
      <c r="P308" s="2378"/>
      <c r="Q308" s="3202"/>
      <c r="R308" s="2943"/>
      <c r="S308" s="2943"/>
      <c r="T308" s="2943"/>
    </row>
    <row r="309" spans="1:24" s="117" customFormat="1" ht="11.25" customHeight="1">
      <c r="A309" s="372" t="s">
        <v>1692</v>
      </c>
      <c r="B309" s="134" t="s">
        <v>4327</v>
      </c>
      <c r="M309" s="7"/>
      <c r="N309" s="455" t="s">
        <v>1692</v>
      </c>
      <c r="O309" s="2256" t="s">
        <v>7056</v>
      </c>
      <c r="P309" s="520"/>
      <c r="Q309" s="3202"/>
      <c r="R309" s="2943"/>
      <c r="S309" s="2943"/>
      <c r="T309" s="2943"/>
    </row>
    <row r="310" spans="1:24" s="117" customFormat="1" ht="11.25" customHeight="1">
      <c r="A310" s="372" t="s">
        <v>1693</v>
      </c>
      <c r="B310" s="117" t="s">
        <v>943</v>
      </c>
      <c r="M310" s="7"/>
      <c r="N310" s="455" t="s">
        <v>1693</v>
      </c>
      <c r="O310" s="2256" t="s">
        <v>7056</v>
      </c>
      <c r="P310" s="520"/>
      <c r="Q310" s="3202"/>
      <c r="R310" s="2943"/>
      <c r="S310" s="2943"/>
      <c r="T310" s="2943"/>
    </row>
    <row r="311" spans="1:24" s="43" customFormat="1" ht="10.5" customHeight="1" thickBot="1">
      <c r="A311" s="42"/>
      <c r="B311" s="1132" t="s">
        <v>3566</v>
      </c>
      <c r="C311" s="42"/>
      <c r="D311" s="48"/>
      <c r="E311" s="48"/>
      <c r="F311" s="48"/>
      <c r="G311" s="48"/>
      <c r="H311" s="36"/>
      <c r="I311" s="36"/>
      <c r="J311" s="36"/>
      <c r="K311" s="36"/>
      <c r="M311" s="46"/>
      <c r="N311" s="62"/>
      <c r="O311" s="3"/>
      <c r="P311" s="2375"/>
    </row>
    <row r="312" spans="1:24" s="43" customFormat="1" ht="15.75" customHeight="1" thickTop="1" thickBot="1">
      <c r="A312" s="2940" t="s">
        <v>7055</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1819</v>
      </c>
      <c r="C313" s="98"/>
      <c r="D313" s="85"/>
      <c r="E313" s="99"/>
      <c r="F313" s="2376"/>
      <c r="G313" s="2376"/>
      <c r="H313" s="2376"/>
      <c r="I313" s="2376"/>
      <c r="J313" s="2376"/>
      <c r="K313" s="2376"/>
      <c r="L313" s="2376"/>
      <c r="M313" s="2376"/>
      <c r="N313" s="74"/>
      <c r="O313" s="70"/>
      <c r="P313" s="2373"/>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5"/>
      <c r="P315" s="3"/>
    </row>
    <row r="316" spans="1:24" s="43" customFormat="1" ht="12" customHeight="1" thickBot="1">
      <c r="A316" s="152" t="s">
        <v>1683</v>
      </c>
      <c r="B316" s="105" t="s">
        <v>4606</v>
      </c>
      <c r="D316" s="41"/>
      <c r="E316" s="41"/>
      <c r="F316" s="61" t="s">
        <v>3280</v>
      </c>
      <c r="H316" s="113" t="s">
        <v>4624</v>
      </c>
      <c r="I316" s="33"/>
      <c r="J316" s="848" t="str">
        <f>'Part I-Project Information'!F39</f>
        <v>City Limits</v>
      </c>
      <c r="M316" s="2373">
        <v>5</v>
      </c>
      <c r="N316" s="6"/>
      <c r="O316" s="1041">
        <f>IF(O301&gt;0,0,MIN($M$316,MAX(O318,O322)))</f>
        <v>3</v>
      </c>
      <c r="P316" s="1041">
        <f>IF(P301&gt;0,0,MIN($M$316,MAX(P318,P322)))</f>
        <v>0</v>
      </c>
      <c r="Q316" s="109" t="s">
        <v>433</v>
      </c>
      <c r="R316" s="2926" t="s">
        <v>4577</v>
      </c>
      <c r="S316" s="2926"/>
      <c r="T316" s="2926"/>
      <c r="U316" s="2926"/>
      <c r="V316" s="2926"/>
      <c r="W316" s="1739"/>
      <c r="X316" s="1739"/>
    </row>
    <row r="317" spans="1:24" s="33" customFormat="1" ht="11.25" customHeight="1">
      <c r="A317" s="2374" t="s">
        <v>1935</v>
      </c>
      <c r="B317" s="177" t="s">
        <v>4628</v>
      </c>
      <c r="D317" s="561"/>
      <c r="J317" s="1619" t="str">
        <f>CONCATENATE('Part I-Project Information'!F38,", ",'Part I-Project Information'!J39)</f>
        <v>Dublin, Laurens</v>
      </c>
      <c r="R317" s="2926"/>
      <c r="S317" s="2926"/>
      <c r="T317" s="2926"/>
      <c r="U317" s="2926"/>
      <c r="V317" s="2926"/>
    </row>
    <row r="318" spans="1:24" s="33" customFormat="1" ht="36" customHeight="1">
      <c r="A318" s="2374"/>
      <c r="B318" s="3118" t="s">
        <v>4636</v>
      </c>
      <c r="C318" s="3118"/>
      <c r="D318" s="3118"/>
      <c r="E318" s="3118"/>
      <c r="F318" s="3118"/>
      <c r="G318" s="3118"/>
      <c r="H318" s="3118"/>
      <c r="I318" s="3118"/>
      <c r="J318" s="3118"/>
      <c r="K318" s="3118"/>
      <c r="L318" s="3118"/>
      <c r="M318" s="1621">
        <v>5</v>
      </c>
      <c r="N318" s="160" t="s">
        <v>1935</v>
      </c>
      <c r="O318" s="1622">
        <f>IF(AND(O319&gt;0,O320&gt;0),"Choose!",IF(O319&gt;0, $M$319,IF(O320&gt;0, $M$320, 0)))</f>
        <v>0</v>
      </c>
      <c r="P318" s="1622">
        <f>IF(AND(P319&gt;0,P320&gt;0),"Choose!",IF(P319&gt;0, $M$319,IF(P320&gt;0, $M$320, 0)))</f>
        <v>0</v>
      </c>
      <c r="R318" s="2926"/>
      <c r="S318" s="2926"/>
      <c r="T318" s="2926"/>
      <c r="U318" s="2926"/>
      <c r="V318" s="2926"/>
    </row>
    <row r="319" spans="1:24" s="33" customFormat="1" ht="11.25" customHeight="1">
      <c r="B319" s="847" t="s">
        <v>1938</v>
      </c>
      <c r="C319" s="559" t="s">
        <v>4626</v>
      </c>
      <c r="L319" s="374" t="str">
        <f>IF(OR($O319=$M319,$O319=0,$O319=""),"","* * Check Score! * *")</f>
        <v/>
      </c>
      <c r="M319" s="72">
        <v>5</v>
      </c>
      <c r="N319" s="430" t="s">
        <v>1938</v>
      </c>
      <c r="O319" s="2333"/>
      <c r="P319" s="4194"/>
      <c r="Q319" s="978" t="str">
        <f>IF(OR($O319=$M319,$O319=0,$O319=""),"","*CHECK!*")</f>
        <v/>
      </c>
      <c r="R319" s="974" t="s">
        <v>4767</v>
      </c>
    </row>
    <row r="320" spans="1:24" ht="11.25" customHeight="1">
      <c r="A320" s="560"/>
      <c r="B320" s="562" t="s">
        <v>1940</v>
      </c>
      <c r="C320" s="434" t="s">
        <v>4627</v>
      </c>
      <c r="D320" s="33"/>
      <c r="E320" s="33"/>
      <c r="F320" s="33"/>
      <c r="G320" s="40"/>
      <c r="H320" s="61"/>
      <c r="I320" s="40"/>
      <c r="L320" s="374" t="str">
        <f>IF(OR($O320=$M320,$O320=0,$O320=""),"","* * Check Score! * *")</f>
        <v/>
      </c>
      <c r="M320" s="80">
        <v>4</v>
      </c>
      <c r="N320" s="851" t="s">
        <v>1940</v>
      </c>
      <c r="O320" s="2285"/>
      <c r="P320" s="4182"/>
      <c r="Q320" s="978" t="str">
        <f>IF(OR($O320=$M320,$O320=0,$O320=""),"","*CHECK!*")</f>
        <v/>
      </c>
      <c r="R320" s="974" t="s">
        <v>4767</v>
      </c>
    </row>
    <row r="321" spans="1:21" s="33" customFormat="1" ht="11.25" customHeight="1">
      <c r="A321" s="2374" t="s">
        <v>1937</v>
      </c>
      <c r="B321" s="177" t="s">
        <v>4629</v>
      </c>
      <c r="D321" s="561"/>
      <c r="F321" s="1620" t="s">
        <v>4625</v>
      </c>
      <c r="H321" s="86" t="s">
        <v>2702</v>
      </c>
      <c r="I321" s="43"/>
      <c r="J321" s="587" t="str">
        <f>'Part I-Project Information'!$H$105</f>
        <v>Rural</v>
      </c>
    </row>
    <row r="322" spans="1:21" s="33" customFormat="1" ht="11.25" customHeight="1">
      <c r="A322" s="2374"/>
      <c r="B322" s="850" t="s">
        <v>4637</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4631</v>
      </c>
      <c r="J323" s="1623" t="s">
        <v>4630</v>
      </c>
      <c r="L323" s="2939" t="str">
        <f>IF(OR(AND(O323&gt;0,O324&gt;0), AND(O326&gt;0,O327&gt;0), AND(O323+O324&gt;0,O326+O327&gt;0)),"Choose option 1 or 2 or 3 or 4!!!",IF(AND(J321="Rural", SUM(O326:O327)&gt;0),"Cannot choose options 3 or 4 if in Rural Pool!!!",""))</f>
        <v/>
      </c>
      <c r="M323" s="72">
        <v>3</v>
      </c>
      <c r="N323" s="430" t="s">
        <v>1938</v>
      </c>
      <c r="O323" s="2333">
        <v>3</v>
      </c>
      <c r="P323" s="4194"/>
      <c r="Q323" s="978" t="str">
        <f>IF(OR($O323=$M323,$O323=0,$O323=""),"","*CHECK!*")</f>
        <v/>
      </c>
      <c r="R323" s="974" t="s">
        <v>4767</v>
      </c>
    </row>
    <row r="324" spans="1:21" ht="11.25" customHeight="1">
      <c r="A324" s="560"/>
      <c r="B324" s="562" t="s">
        <v>1940</v>
      </c>
      <c r="C324" s="434" t="s">
        <v>4632</v>
      </c>
      <c r="D324" s="33"/>
      <c r="E324" s="33"/>
      <c r="F324" s="33"/>
      <c r="G324" s="40"/>
      <c r="H324" s="852"/>
      <c r="I324" s="40"/>
      <c r="J324" s="1623" t="s">
        <v>4630</v>
      </c>
      <c r="K324" s="1624"/>
      <c r="L324" s="2939"/>
      <c r="M324" s="80">
        <v>2</v>
      </c>
      <c r="N324" s="851" t="s">
        <v>1940</v>
      </c>
      <c r="O324" s="2285"/>
      <c r="P324" s="4182"/>
      <c r="Q324" s="978" t="str">
        <f>IF(OR($O324=$M324,$O324=0,$O324=""),"","*CHECK!*")</f>
        <v/>
      </c>
      <c r="R324" s="974" t="s">
        <v>4767</v>
      </c>
    </row>
    <row r="325" spans="1:21" ht="22.5" customHeight="1">
      <c r="A325" s="560"/>
      <c r="B325" s="3117" t="s">
        <v>4635</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2467</v>
      </c>
      <c r="C326" s="559" t="s">
        <v>4633</v>
      </c>
      <c r="D326" s="33"/>
      <c r="E326" s="33"/>
      <c r="F326" s="33"/>
      <c r="G326" s="40"/>
      <c r="H326" s="852"/>
      <c r="I326" s="40"/>
      <c r="K326" s="1624"/>
      <c r="L326" s="2939"/>
      <c r="M326" s="80">
        <v>3</v>
      </c>
      <c r="N326" s="851" t="s">
        <v>2467</v>
      </c>
      <c r="O326" s="2334"/>
      <c r="P326" s="4213"/>
      <c r="Q326" s="978" t="str">
        <f>IF(OR($O326=$M326,$O326=0,$O326=""),"","*CHECK!*")</f>
        <v/>
      </c>
      <c r="R326" s="974" t="s">
        <v>4767</v>
      </c>
    </row>
    <row r="327" spans="1:21" ht="11.25" customHeight="1">
      <c r="A327" s="560"/>
      <c r="B327" s="562" t="s">
        <v>1198</v>
      </c>
      <c r="C327" s="434" t="s">
        <v>4634</v>
      </c>
      <c r="D327" s="33"/>
      <c r="E327" s="33"/>
      <c r="F327" s="33"/>
      <c r="G327" s="40"/>
      <c r="H327" s="61"/>
      <c r="I327" s="40"/>
      <c r="K327" s="1624"/>
      <c r="L327" s="2939"/>
      <c r="M327" s="80">
        <v>2</v>
      </c>
      <c r="N327" s="851" t="s">
        <v>1198</v>
      </c>
      <c r="O327" s="2285"/>
      <c r="P327" s="4182"/>
      <c r="Q327" s="978" t="str">
        <f>IF(OR($O327=$M327,$O327=0,$O327=""),"","*CHECK!*")</f>
        <v/>
      </c>
      <c r="R327" s="974" t="s">
        <v>4767</v>
      </c>
    </row>
    <row r="328" spans="1:21" s="43" customFormat="1" ht="10.5" customHeight="1" thickBot="1">
      <c r="A328" s="42"/>
      <c r="B328" s="1132" t="s">
        <v>3566</v>
      </c>
      <c r="C328" s="42"/>
      <c r="D328" s="48"/>
      <c r="E328" s="48"/>
      <c r="F328" s="48"/>
      <c r="G328" s="48"/>
      <c r="H328" s="36"/>
      <c r="I328" s="36"/>
      <c r="J328" s="36"/>
      <c r="K328" s="36"/>
      <c r="M328" s="46"/>
      <c r="N328" s="62"/>
      <c r="O328" s="3"/>
      <c r="P328" s="2375"/>
    </row>
    <row r="329" spans="1:21" s="43" customFormat="1" ht="21.75" customHeight="1" thickTop="1" thickBot="1">
      <c r="A329" s="2940" t="s">
        <v>7171</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1819</v>
      </c>
      <c r="C330" s="98"/>
      <c r="D330" s="85"/>
      <c r="E330" s="99"/>
      <c r="F330" s="2376"/>
      <c r="G330" s="2376"/>
      <c r="H330" s="2376"/>
      <c r="I330" s="2376"/>
      <c r="J330" s="2376"/>
      <c r="K330" s="2376"/>
      <c r="L330" s="2376"/>
      <c r="M330" s="2376"/>
      <c r="N330" s="74"/>
      <c r="O330" s="70"/>
      <c r="P330" s="2373"/>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4768</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4328</v>
      </c>
      <c r="D335" s="61"/>
      <c r="E335" s="61"/>
      <c r="F335" s="44"/>
      <c r="G335" s="27"/>
      <c r="L335" s="374"/>
      <c r="M335" s="7">
        <v>3</v>
      </c>
      <c r="N335" s="430" t="s">
        <v>1938</v>
      </c>
      <c r="O335" s="2254" t="s">
        <v>2885</v>
      </c>
      <c r="P335" s="518"/>
      <c r="Q335" s="978"/>
      <c r="R335" s="1039"/>
      <c r="T335" s="1023"/>
      <c r="U335" s="1023"/>
    </row>
    <row r="336" spans="1:21" s="102" customFormat="1" ht="11.25" customHeight="1">
      <c r="A336" s="138"/>
      <c r="B336" s="562" t="s">
        <v>1940</v>
      </c>
      <c r="C336" s="40" t="s">
        <v>4329</v>
      </c>
      <c r="D336" s="61"/>
      <c r="E336" s="61"/>
      <c r="F336" s="44"/>
      <c r="G336" s="27"/>
      <c r="L336" s="374"/>
      <c r="M336" s="7">
        <v>2</v>
      </c>
      <c r="N336" s="851" t="s">
        <v>1940</v>
      </c>
      <c r="O336" s="2255" t="s">
        <v>7056</v>
      </c>
      <c r="P336" s="519"/>
      <c r="Q336" s="978"/>
      <c r="R336" s="1039"/>
      <c r="T336" s="1023"/>
      <c r="U336" s="1023"/>
    </row>
    <row r="337" spans="1:21" s="102" customFormat="1" ht="10.5" customHeight="1">
      <c r="A337" s="138"/>
      <c r="B337" s="562" t="s">
        <v>2467</v>
      </c>
      <c r="C337" s="40" t="s">
        <v>4330</v>
      </c>
      <c r="D337" s="61"/>
      <c r="E337" s="61"/>
      <c r="F337" s="44"/>
      <c r="G337" s="27"/>
      <c r="K337" s="455"/>
      <c r="M337" s="7">
        <v>1</v>
      </c>
      <c r="N337" s="851" t="s">
        <v>2467</v>
      </c>
      <c r="O337" s="2256" t="s">
        <v>7056</v>
      </c>
      <c r="P337" s="520"/>
      <c r="R337" s="387"/>
      <c r="T337" s="1023"/>
      <c r="U337" s="1023"/>
    </row>
    <row r="338" spans="1:21" s="43" customFormat="1" ht="11.25" customHeight="1">
      <c r="A338" s="138" t="s">
        <v>1937</v>
      </c>
      <c r="B338" s="165" t="s">
        <v>4578</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0" t="s">
        <v>4579</v>
      </c>
      <c r="C339" s="2890"/>
      <c r="D339" s="2890"/>
      <c r="E339" s="2890"/>
      <c r="F339" s="2890"/>
      <c r="G339" s="2890"/>
      <c r="H339" s="2890"/>
      <c r="I339" s="2890"/>
      <c r="J339" s="2890"/>
      <c r="K339" s="2890"/>
      <c r="L339" s="2890"/>
      <c r="M339" s="7"/>
      <c r="N339" s="455"/>
      <c r="O339" s="2335" t="s">
        <v>7056</v>
      </c>
      <c r="P339" s="4214"/>
      <c r="Q339" s="387"/>
      <c r="R339" s="374"/>
      <c r="T339" s="1023"/>
      <c r="U339" s="1023"/>
    </row>
    <row r="340" spans="1:21" s="43" customFormat="1" ht="11.25" customHeight="1">
      <c r="A340" s="138" t="s">
        <v>731</v>
      </c>
      <c r="B340" s="165" t="s">
        <v>4331</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4447</v>
      </c>
      <c r="C341" s="2710"/>
      <c r="D341" s="2710"/>
      <c r="E341" s="2710"/>
      <c r="F341" s="2710"/>
      <c r="G341" s="2710"/>
      <c r="H341" s="2710"/>
      <c r="I341" s="2710"/>
      <c r="J341" s="2710"/>
      <c r="K341" s="2710"/>
      <c r="L341" s="2710"/>
      <c r="M341" s="7"/>
      <c r="N341" s="455"/>
      <c r="O341" s="2387" t="s">
        <v>2885</v>
      </c>
      <c r="P341" s="2251"/>
      <c r="Q341" s="387"/>
      <c r="R341" s="374"/>
      <c r="T341" s="1023"/>
      <c r="U341" s="1023"/>
    </row>
    <row r="342" spans="1:21" s="43" customFormat="1" ht="22.5" customHeight="1">
      <c r="B342" s="2710" t="s">
        <v>4448</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1819</v>
      </c>
      <c r="C343" s="98"/>
      <c r="D343" s="85"/>
      <c r="E343" s="99"/>
      <c r="F343" s="2376"/>
      <c r="G343" s="2376"/>
      <c r="H343" s="2376"/>
      <c r="I343" s="2376"/>
      <c r="J343" s="2376"/>
      <c r="K343" s="2376"/>
      <c r="L343" s="2376"/>
      <c r="M343" s="2376"/>
      <c r="N343" s="74"/>
      <c r="O343" s="70"/>
      <c r="P343" s="2373"/>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6"/>
      <c r="D345" s="2376"/>
      <c r="E345" s="2376"/>
      <c r="F345" s="2376"/>
      <c r="G345" s="2376"/>
      <c r="H345" s="2376"/>
      <c r="I345" s="2376"/>
      <c r="J345" s="2376"/>
      <c r="K345" s="2376"/>
      <c r="L345" s="2376"/>
      <c r="M345" s="2376"/>
      <c r="N345" s="74"/>
      <c r="O345" s="70"/>
      <c r="P345" s="846"/>
    </row>
    <row r="346" spans="1:21" s="43" customFormat="1" ht="12" customHeight="1" thickBot="1">
      <c r="A346" s="152" t="s">
        <v>2193</v>
      </c>
      <c r="B346" s="106" t="s">
        <v>3748</v>
      </c>
      <c r="C346" s="87"/>
      <c r="D346" s="58"/>
      <c r="E346" s="52"/>
      <c r="G346" s="55"/>
      <c r="M346" s="2373">
        <v>2</v>
      </c>
      <c r="N346" s="6"/>
      <c r="O346" s="6"/>
      <c r="P346" s="1081">
        <f>P347+P355</f>
        <v>0</v>
      </c>
      <c r="Q346" s="109" t="s">
        <v>433</v>
      </c>
    </row>
    <row r="347" spans="1:21" s="43" customFormat="1" ht="12" customHeight="1">
      <c r="A347" s="138" t="s">
        <v>1935</v>
      </c>
      <c r="B347" s="165" t="s">
        <v>3749</v>
      </c>
      <c r="C347" s="87"/>
      <c r="D347" s="58"/>
      <c r="E347" s="52"/>
      <c r="G347" s="1782">
        <f>'Part VIII-Threshold Criteria'!I352</f>
        <v>0</v>
      </c>
      <c r="L347" s="455" t="s">
        <v>4816</v>
      </c>
      <c r="M347" s="1781" t="str">
        <f>'Part I-Project Information'!H100</f>
        <v>No</v>
      </c>
      <c r="N347" s="455" t="s">
        <v>1935</v>
      </c>
      <c r="O347" s="454" t="str">
        <f>'Part I-Project Information'!$H$100</f>
        <v>No</v>
      </c>
      <c r="P347" s="4209"/>
      <c r="Q347" s="109"/>
      <c r="R347" s="1039" t="s">
        <v>2625</v>
      </c>
    </row>
    <row r="348" spans="1:21" s="102" customFormat="1" ht="10.5" customHeight="1">
      <c r="A348" s="138"/>
      <c r="B348" s="372" t="s">
        <v>1938</v>
      </c>
      <c r="C348" s="36" t="s">
        <v>4384</v>
      </c>
      <c r="D348" s="33"/>
      <c r="N348" s="430" t="s">
        <v>4385</v>
      </c>
      <c r="O348" s="2254" t="s">
        <v>7056</v>
      </c>
      <c r="P348" s="518"/>
      <c r="R348" s="374"/>
    </row>
    <row r="349" spans="1:21" s="102" customFormat="1" ht="10.5" customHeight="1">
      <c r="A349" s="138"/>
      <c r="B349" s="372"/>
      <c r="C349" s="36" t="s">
        <v>4741</v>
      </c>
      <c r="D349" s="33"/>
      <c r="N349" s="430" t="s">
        <v>4386</v>
      </c>
      <c r="O349" s="2255"/>
      <c r="P349" s="519"/>
      <c r="R349" s="374"/>
    </row>
    <row r="350" spans="1:21" s="102" customFormat="1" ht="10.5" customHeight="1">
      <c r="A350" s="138"/>
      <c r="B350" s="372" t="s">
        <v>1940</v>
      </c>
      <c r="C350" s="36" t="s">
        <v>3757</v>
      </c>
      <c r="D350" s="33"/>
      <c r="N350" s="851" t="s">
        <v>1940</v>
      </c>
      <c r="O350" s="2255"/>
      <c r="P350" s="519"/>
      <c r="R350" s="374"/>
    </row>
    <row r="351" spans="1:21" s="102" customFormat="1" ht="10.5" customHeight="1">
      <c r="A351" s="138"/>
      <c r="B351" s="372" t="s">
        <v>2467</v>
      </c>
      <c r="C351" s="36" t="s">
        <v>4387</v>
      </c>
      <c r="D351" s="33"/>
      <c r="N351" s="851" t="s">
        <v>2467</v>
      </c>
      <c r="O351" s="2255"/>
      <c r="P351" s="519"/>
      <c r="R351" s="374"/>
    </row>
    <row r="352" spans="1:21" s="102" customFormat="1" ht="10.5" customHeight="1">
      <c r="B352" s="372" t="s">
        <v>1198</v>
      </c>
      <c r="C352" s="36" t="s">
        <v>4332</v>
      </c>
      <c r="D352" s="33"/>
      <c r="N352" s="851" t="s">
        <v>1198</v>
      </c>
      <c r="O352" s="2255"/>
      <c r="P352" s="519"/>
      <c r="R352" s="374"/>
    </row>
    <row r="353" spans="1:19" s="102" customFormat="1" ht="10.5" customHeight="1">
      <c r="A353" s="138"/>
      <c r="B353" s="372" t="s">
        <v>1199</v>
      </c>
      <c r="C353" s="36" t="s">
        <v>4333</v>
      </c>
      <c r="D353" s="33"/>
      <c r="N353" s="851" t="s">
        <v>1199</v>
      </c>
      <c r="O353" s="2255"/>
      <c r="P353" s="519"/>
      <c r="R353" s="374"/>
    </row>
    <row r="354" spans="1:19" s="102" customFormat="1" ht="10.5" customHeight="1">
      <c r="A354" s="138"/>
      <c r="B354" s="372" t="s">
        <v>1833</v>
      </c>
      <c r="C354" s="36" t="s">
        <v>3758</v>
      </c>
      <c r="D354" s="33"/>
      <c r="N354" s="851" t="s">
        <v>1833</v>
      </c>
      <c r="O354" s="2256"/>
      <c r="P354" s="520"/>
      <c r="R354" s="374"/>
    </row>
    <row r="355" spans="1:19" s="43" customFormat="1" ht="12" customHeight="1">
      <c r="A355" s="138" t="s">
        <v>1937</v>
      </c>
      <c r="B355" s="165" t="s">
        <v>3750</v>
      </c>
      <c r="C355" s="87"/>
      <c r="D355" s="58"/>
      <c r="E355" s="52"/>
      <c r="G355" s="1782">
        <f>'Part I-Project Information'!D164</f>
        <v>0</v>
      </c>
      <c r="I355" s="477"/>
      <c r="L355" s="1112"/>
      <c r="M355" s="1112"/>
      <c r="N355" s="455" t="s">
        <v>1937</v>
      </c>
      <c r="P355" s="4209"/>
      <c r="Q355" s="109"/>
      <c r="R355" s="1039" t="s">
        <v>2625</v>
      </c>
    </row>
    <row r="356" spans="1:19" s="102" customFormat="1" ht="10.5" customHeight="1">
      <c r="A356" s="153"/>
      <c r="B356" s="372" t="s">
        <v>1938</v>
      </c>
      <c r="C356" s="36" t="s">
        <v>4384</v>
      </c>
      <c r="D356" s="52"/>
      <c r="E356" s="52"/>
      <c r="M356" s="2373"/>
      <c r="N356" s="430" t="s">
        <v>4385</v>
      </c>
      <c r="O356" s="2254" t="s">
        <v>7056</v>
      </c>
      <c r="P356" s="518"/>
      <c r="Q356" s="109"/>
    </row>
    <row r="357" spans="1:19" s="102" customFormat="1" ht="10.5" customHeight="1">
      <c r="A357" s="138"/>
      <c r="B357" s="372"/>
      <c r="C357" s="36" t="s">
        <v>4769</v>
      </c>
      <c r="D357" s="33"/>
      <c r="N357" s="430" t="s">
        <v>4386</v>
      </c>
      <c r="O357" s="2255"/>
      <c r="P357" s="519"/>
      <c r="R357" s="374"/>
    </row>
    <row r="358" spans="1:19" s="102" customFormat="1" ht="10.5" customHeight="1">
      <c r="A358" s="138"/>
      <c r="B358" s="372" t="s">
        <v>1940</v>
      </c>
      <c r="C358" s="36" t="s">
        <v>3769</v>
      </c>
      <c r="D358" s="33"/>
      <c r="N358" s="851" t="s">
        <v>1940</v>
      </c>
      <c r="O358" s="2255"/>
      <c r="P358" s="519"/>
      <c r="R358" s="374"/>
    </row>
    <row r="359" spans="1:19" s="102" customFormat="1" ht="10.5" customHeight="1">
      <c r="B359" s="372" t="s">
        <v>2467</v>
      </c>
      <c r="C359" s="36" t="s">
        <v>3758</v>
      </c>
      <c r="D359" s="33"/>
      <c r="N359" s="851" t="s">
        <v>2467</v>
      </c>
      <c r="O359" s="2256"/>
      <c r="P359" s="520"/>
      <c r="R359" s="374"/>
    </row>
    <row r="360" spans="1:19" s="43" customFormat="1" ht="10.5" customHeight="1">
      <c r="B360" s="85" t="s">
        <v>1819</v>
      </c>
      <c r="C360" s="98"/>
      <c r="D360" s="85"/>
      <c r="E360" s="99"/>
      <c r="F360" s="2376"/>
      <c r="G360" s="2376"/>
      <c r="H360" s="2376"/>
      <c r="I360" s="2376"/>
      <c r="J360" s="2376"/>
      <c r="K360" s="2376"/>
      <c r="L360" s="2376"/>
      <c r="M360" s="2376"/>
      <c r="N360" s="74"/>
      <c r="O360" s="70"/>
      <c r="P360" s="2373"/>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6"/>
      <c r="D363" s="2376"/>
      <c r="E363" s="2376"/>
      <c r="F363" s="2376"/>
      <c r="G363" s="2376"/>
      <c r="H363" s="2376"/>
      <c r="I363" s="2376"/>
      <c r="J363" s="2376"/>
      <c r="K363" s="2376"/>
      <c r="L363" s="2376"/>
      <c r="M363" s="2376"/>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0">
        <v>1</v>
      </c>
      <c r="P364" s="4196"/>
      <c r="Q364" s="109" t="s">
        <v>433</v>
      </c>
      <c r="R364" s="2925" t="s">
        <v>4767</v>
      </c>
      <c r="S364" s="2925"/>
    </row>
    <row r="365" spans="1:19" s="43" customFormat="1" ht="11.25" customHeight="1">
      <c r="A365" s="138"/>
      <c r="B365" s="113" t="s">
        <v>3453</v>
      </c>
      <c r="D365" s="88"/>
      <c r="E365" s="88"/>
      <c r="G365" s="52"/>
      <c r="I365" s="3085" t="s">
        <v>1880</v>
      </c>
      <c r="J365" s="3086"/>
      <c r="K365" s="3086"/>
      <c r="L365" s="3087"/>
      <c r="M365" s="426"/>
      <c r="N365" s="393"/>
      <c r="O365" s="1112" t="s">
        <v>2443</v>
      </c>
      <c r="P365" s="1112" t="s">
        <v>2443</v>
      </c>
      <c r="Q365" s="978"/>
      <c r="R365" s="2925"/>
      <c r="S365" s="2925"/>
    </row>
    <row r="366" spans="1:19" s="43" customFormat="1" ht="11.25" customHeight="1">
      <c r="A366" s="138"/>
      <c r="B366" s="372" t="s">
        <v>1938</v>
      </c>
      <c r="C366" s="55" t="s">
        <v>6802</v>
      </c>
      <c r="D366" s="88"/>
      <c r="E366" s="1813" t="s">
        <v>4347</v>
      </c>
      <c r="G366" s="52"/>
      <c r="I366" s="1228"/>
      <c r="J366" s="997"/>
      <c r="K366" s="997"/>
      <c r="L366" s="997"/>
      <c r="M366" s="2388"/>
      <c r="N366" s="1458"/>
      <c r="O366" s="2254" t="s">
        <v>2888</v>
      </c>
      <c r="P366" s="518"/>
      <c r="Q366" s="1459"/>
      <c r="R366" s="2925"/>
      <c r="S366" s="2925"/>
    </row>
    <row r="367" spans="1:19" s="102" customFormat="1" ht="11.25" customHeight="1">
      <c r="A367" s="138"/>
      <c r="B367" s="51"/>
      <c r="C367" s="36"/>
      <c r="D367" s="51" t="s">
        <v>1326</v>
      </c>
      <c r="E367" s="36" t="s">
        <v>6803</v>
      </c>
      <c r="G367" s="52"/>
      <c r="H367" s="1055"/>
      <c r="I367" s="36"/>
      <c r="J367" s="36"/>
      <c r="K367" s="36"/>
      <c r="L367" s="2336">
        <v>2019</v>
      </c>
      <c r="N367" s="1458"/>
      <c r="O367" s="2256" t="s">
        <v>2885</v>
      </c>
      <c r="P367" s="520"/>
      <c r="Q367" s="1814"/>
      <c r="R367" s="2925"/>
      <c r="S367" s="2925"/>
    </row>
    <row r="368" spans="1:19" s="43" customFormat="1" ht="11.25" customHeight="1">
      <c r="B368" s="372" t="s">
        <v>1940</v>
      </c>
      <c r="C368" s="40" t="s">
        <v>4348</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54" t="s">
        <v>2885</v>
      </c>
      <c r="P369" s="518"/>
    </row>
    <row r="370" spans="1:19" s="117" customFormat="1" ht="10.5" customHeight="1">
      <c r="B370" s="386" t="s">
        <v>2372</v>
      </c>
      <c r="C370" s="428" t="s">
        <v>3752</v>
      </c>
      <c r="N370" s="386" t="s">
        <v>2372</v>
      </c>
      <c r="O370" s="2255" t="s">
        <v>2885</v>
      </c>
      <c r="P370" s="519"/>
    </row>
    <row r="371" spans="1:19" s="117" customFormat="1" ht="10.5" customHeight="1">
      <c r="B371" s="373" t="s">
        <v>2373</v>
      </c>
      <c r="C371" s="428" t="s">
        <v>4580</v>
      </c>
      <c r="N371" s="373" t="s">
        <v>2373</v>
      </c>
      <c r="O371" s="2256" t="s">
        <v>2885</v>
      </c>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3"/>
    </row>
    <row r="375" spans="1:19" s="43" customFormat="1" ht="28.5" customHeight="1" thickTop="1" thickBot="1">
      <c r="A375" s="2940" t="s">
        <v>7172</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1819</v>
      </c>
      <c r="C376" s="42"/>
      <c r="D376" s="97"/>
      <c r="E376" s="2380"/>
      <c r="F376" s="2380"/>
      <c r="G376" s="2380"/>
      <c r="H376" s="2380"/>
      <c r="I376" s="2380"/>
      <c r="J376" s="2380"/>
      <c r="K376" s="2380"/>
      <c r="L376" s="2380"/>
      <c r="M376" s="2380"/>
      <c r="N376" s="93"/>
      <c r="O376" s="836"/>
      <c r="P376" s="2373"/>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4</v>
      </c>
      <c r="P379" s="1082">
        <f>P386+P406</f>
        <v>0</v>
      </c>
      <c r="Q379" s="109" t="s">
        <v>433</v>
      </c>
    </row>
    <row r="380" spans="1:19" s="43" customFormat="1" ht="10.5" customHeight="1">
      <c r="A380" s="42"/>
      <c r="B380" s="113" t="s">
        <v>4335</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4" t="str">
        <f>IF(OR(O381="No",O381="",O382="No",O382="",O383="No",O383="",O384="No",O384=""),"Unmet criterion results in no points!","")</f>
        <v/>
      </c>
      <c r="M381" s="3084"/>
      <c r="N381" s="373" t="s">
        <v>2371</v>
      </c>
      <c r="O381" s="2254" t="s">
        <v>2885</v>
      </c>
      <c r="P381" s="518"/>
      <c r="R381" s="3194" t="str">
        <f>IF(OR(P381="No",P381="",P382="No",P382="",P383="No",P383="",P384="No",P384=""),"Unmet criterion results in no points!","")</f>
        <v>Unmet criterion results in no points!</v>
      </c>
      <c r="S381" s="3194" t="e">
        <f>IF(OR(V381="No",V381="",V382="No",V382="",V383="No",V383="",V384="No",V384="",#REF!="No",#REF!="",#REF!="No",#REF!=""),"Unmet criterion results in no points!","")</f>
        <v>#REF!</v>
      </c>
    </row>
    <row r="382" spans="1:19" s="100" customFormat="1" ht="12.75" customHeight="1">
      <c r="B382" s="373" t="s">
        <v>2372</v>
      </c>
      <c r="C382" s="134" t="s">
        <v>3614</v>
      </c>
      <c r="L382" s="3084"/>
      <c r="M382" s="3084"/>
      <c r="N382" s="373" t="s">
        <v>2372</v>
      </c>
      <c r="O382" s="2255" t="s">
        <v>2885</v>
      </c>
      <c r="P382" s="519"/>
      <c r="R382" s="3194"/>
      <c r="S382" s="3194"/>
    </row>
    <row r="383" spans="1:19" s="100" customFormat="1" ht="12.75" customHeight="1">
      <c r="B383" s="373" t="s">
        <v>2373</v>
      </c>
      <c r="C383" s="134" t="s">
        <v>3613</v>
      </c>
      <c r="L383" s="3084"/>
      <c r="M383" s="3084"/>
      <c r="N383" s="373" t="s">
        <v>2373</v>
      </c>
      <c r="O383" s="2255" t="s">
        <v>7056</v>
      </c>
      <c r="P383" s="519"/>
      <c r="R383" s="3194"/>
      <c r="S383" s="3194"/>
    </row>
    <row r="384" spans="1:19" s="100" customFormat="1" ht="33.75" customHeight="1">
      <c r="B384" s="386" t="s">
        <v>2374</v>
      </c>
      <c r="C384" s="3096" t="s">
        <v>4334</v>
      </c>
      <c r="D384" s="3096"/>
      <c r="E384" s="3096"/>
      <c r="F384" s="3096"/>
      <c r="G384" s="3096"/>
      <c r="H384" s="3096"/>
      <c r="I384" s="3096"/>
      <c r="J384" s="3096"/>
      <c r="K384" s="3096"/>
      <c r="L384" s="3096"/>
      <c r="M384" s="3096"/>
      <c r="N384" s="386" t="s">
        <v>2374</v>
      </c>
      <c r="O384" s="2387" t="s">
        <v>7056</v>
      </c>
      <c r="P384" s="2251"/>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3755</v>
      </c>
      <c r="L386" s="374" t="str">
        <f>IF(O386&lt;=M386,"","* * Check Score! * *")</f>
        <v/>
      </c>
      <c r="M386" s="1074">
        <v>3</v>
      </c>
      <c r="N386" s="455" t="s">
        <v>1935</v>
      </c>
      <c r="O386" s="2289">
        <v>3</v>
      </c>
      <c r="P386" s="4205"/>
      <c r="Q386" s="978" t="str">
        <f>IF(O386&lt;=M386,"","*CHECK!*")</f>
        <v/>
      </c>
      <c r="R386" s="3193" t="s">
        <v>4767</v>
      </c>
      <c r="S386" s="3193"/>
      <c r="T386" s="1745"/>
    </row>
    <row r="387" spans="1:20" ht="12.75" customHeight="1">
      <c r="A387" s="996"/>
      <c r="B387" s="562" t="s">
        <v>1938</v>
      </c>
      <c r="C387" s="981" t="s">
        <v>4337</v>
      </c>
      <c r="D387" s="981"/>
      <c r="E387" s="981"/>
      <c r="F387" s="981"/>
      <c r="G387" s="981"/>
      <c r="H387" s="981"/>
      <c r="I387" s="981"/>
      <c r="N387" s="27"/>
      <c r="O387" s="27"/>
      <c r="P387" s="27"/>
      <c r="R387" s="3193"/>
      <c r="S387" s="3193"/>
      <c r="T387" s="1745"/>
    </row>
    <row r="388" spans="1:20" ht="12.75" customHeight="1">
      <c r="A388" s="996"/>
      <c r="B388" s="435"/>
      <c r="C388" s="981" t="s">
        <v>4336</v>
      </c>
      <c r="D388" s="981"/>
      <c r="E388" s="981"/>
      <c r="F388" s="981"/>
      <c r="G388" s="981"/>
      <c r="H388" s="981"/>
      <c r="I388" s="981"/>
      <c r="J388" s="3083" t="s">
        <v>1942</v>
      </c>
      <c r="K388" s="3083"/>
      <c r="M388" s="3083" t="s">
        <v>1942</v>
      </c>
      <c r="N388" s="3083"/>
      <c r="O388" s="3083"/>
      <c r="P388" s="3083"/>
      <c r="R388" s="3193"/>
      <c r="S388" s="3193"/>
      <c r="T388" s="1745"/>
    </row>
    <row r="389" spans="1:20" s="43" customFormat="1" ht="12.75" customHeight="1">
      <c r="A389" s="175"/>
      <c r="B389" s="373" t="s">
        <v>2371</v>
      </c>
      <c r="C389" s="36" t="s">
        <v>1451</v>
      </c>
      <c r="I389" s="373" t="s">
        <v>2371</v>
      </c>
      <c r="J389" s="3101"/>
      <c r="K389" s="3102"/>
      <c r="L389" s="373" t="s">
        <v>2371</v>
      </c>
      <c r="M389" s="4215"/>
      <c r="N389" s="4216"/>
      <c r="O389" s="4216"/>
      <c r="P389" s="4217"/>
      <c r="R389" s="374"/>
    </row>
    <row r="390" spans="1:20" ht="12.75" customHeight="1">
      <c r="A390" s="176"/>
      <c r="B390" s="386" t="s">
        <v>2372</v>
      </c>
      <c r="C390" s="36" t="s">
        <v>3456</v>
      </c>
      <c r="I390" s="386" t="s">
        <v>2372</v>
      </c>
      <c r="J390" s="2945"/>
      <c r="K390" s="2946"/>
      <c r="L390" s="386" t="s">
        <v>2372</v>
      </c>
      <c r="M390" s="4218"/>
      <c r="N390" s="4219"/>
      <c r="O390" s="4219"/>
      <c r="P390" s="4220"/>
      <c r="R390" s="374"/>
    </row>
    <row r="391" spans="1:20" ht="12.75" customHeight="1">
      <c r="B391" s="373" t="s">
        <v>2373</v>
      </c>
      <c r="C391" s="36" t="s">
        <v>4581</v>
      </c>
      <c r="I391" s="373" t="s">
        <v>2373</v>
      </c>
      <c r="J391" s="2945"/>
      <c r="K391" s="2946"/>
      <c r="L391" s="373" t="s">
        <v>2373</v>
      </c>
      <c r="M391" s="4218"/>
      <c r="N391" s="4219"/>
      <c r="O391" s="4219"/>
      <c r="P391" s="4220"/>
      <c r="R391" s="374"/>
    </row>
    <row r="392" spans="1:20" ht="12.75" customHeight="1">
      <c r="A392" s="176"/>
      <c r="B392" s="373" t="s">
        <v>2374</v>
      </c>
      <c r="C392" s="36" t="s">
        <v>3344</v>
      </c>
      <c r="I392" s="373" t="s">
        <v>2374</v>
      </c>
      <c r="J392" s="2945"/>
      <c r="K392" s="2946"/>
      <c r="L392" s="373" t="s">
        <v>2374</v>
      </c>
      <c r="M392" s="4218"/>
      <c r="N392" s="4219"/>
      <c r="O392" s="4219"/>
      <c r="P392" s="4220"/>
      <c r="R392" s="374"/>
    </row>
    <row r="393" spans="1:20" s="43" customFormat="1" ht="12.75" customHeight="1">
      <c r="A393" s="175"/>
      <c r="B393" s="386" t="s">
        <v>2375</v>
      </c>
      <c r="C393" s="36" t="s">
        <v>2646</v>
      </c>
      <c r="I393" s="386" t="s">
        <v>2375</v>
      </c>
      <c r="J393" s="2945">
        <v>1215563</v>
      </c>
      <c r="K393" s="2946"/>
      <c r="L393" s="386" t="s">
        <v>2375</v>
      </c>
      <c r="M393" s="4218"/>
      <c r="N393" s="4219"/>
      <c r="O393" s="4219"/>
      <c r="P393" s="4220"/>
      <c r="R393" s="374"/>
    </row>
    <row r="394" spans="1:20" ht="12.75" customHeight="1">
      <c r="B394" s="373" t="s">
        <v>2391</v>
      </c>
      <c r="C394" s="36" t="s">
        <v>1450</v>
      </c>
      <c r="I394" s="373" t="s">
        <v>2391</v>
      </c>
      <c r="J394" s="2945"/>
      <c r="K394" s="2946"/>
      <c r="L394" s="373" t="s">
        <v>2391</v>
      </c>
      <c r="M394" s="4218"/>
      <c r="N394" s="4219"/>
      <c r="O394" s="4219"/>
      <c r="P394" s="4220"/>
      <c r="R394" s="374"/>
    </row>
    <row r="395" spans="1:20" ht="12.75" customHeight="1">
      <c r="A395" s="176"/>
      <c r="B395" s="373" t="s">
        <v>2392</v>
      </c>
      <c r="C395" s="36" t="s">
        <v>3455</v>
      </c>
      <c r="I395" s="373" t="s">
        <v>2392</v>
      </c>
      <c r="J395" s="2945"/>
      <c r="K395" s="2946"/>
      <c r="L395" s="373" t="s">
        <v>2392</v>
      </c>
      <c r="M395" s="4218"/>
      <c r="N395" s="4219"/>
      <c r="O395" s="4219"/>
      <c r="P395" s="4220"/>
      <c r="R395" s="374"/>
    </row>
    <row r="396" spans="1:20" ht="12.75" customHeight="1">
      <c r="B396" s="385" t="s">
        <v>2393</v>
      </c>
      <c r="C396" s="36" t="s">
        <v>4338</v>
      </c>
      <c r="I396" s="385" t="s">
        <v>2393</v>
      </c>
      <c r="J396" s="2945"/>
      <c r="K396" s="2946"/>
      <c r="L396" s="385" t="s">
        <v>2393</v>
      </c>
      <c r="M396" s="4218"/>
      <c r="N396" s="4219"/>
      <c r="O396" s="4219"/>
      <c r="P396" s="4220"/>
      <c r="R396" s="374"/>
    </row>
    <row r="397" spans="1:20" ht="12.75" customHeight="1">
      <c r="B397" s="385" t="s">
        <v>2394</v>
      </c>
      <c r="C397" s="36" t="s">
        <v>4339</v>
      </c>
      <c r="I397" s="385" t="s">
        <v>2394</v>
      </c>
      <c r="J397" s="2945"/>
      <c r="K397" s="2946"/>
      <c r="L397" s="385" t="s">
        <v>2394</v>
      </c>
      <c r="M397" s="4218"/>
      <c r="N397" s="4219"/>
      <c r="O397" s="4219"/>
      <c r="P397" s="4220"/>
      <c r="R397" s="374"/>
    </row>
    <row r="398" spans="1:20" ht="12.75" customHeight="1" thickBot="1">
      <c r="B398" s="385" t="s">
        <v>3457</v>
      </c>
      <c r="C398" s="36" t="s">
        <v>4340</v>
      </c>
      <c r="I398" s="385" t="s">
        <v>3457</v>
      </c>
      <c r="J398" s="2945"/>
      <c r="K398" s="2946"/>
      <c r="L398" s="385" t="s">
        <v>3457</v>
      </c>
      <c r="M398" s="4221"/>
      <c r="N398" s="4222"/>
      <c r="O398" s="4222"/>
      <c r="P398" s="4223"/>
      <c r="R398" s="374"/>
    </row>
    <row r="399" spans="1:20" ht="12.75" customHeight="1" thickBot="1">
      <c r="B399" s="1110" t="s">
        <v>4341</v>
      </c>
      <c r="H399" s="1131" t="s">
        <v>2558</v>
      </c>
      <c r="J399" s="2937">
        <f>SUM(J389:K398)</f>
        <v>1215563</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5" t="s">
        <v>4450</v>
      </c>
      <c r="D402" s="3115"/>
      <c r="E402" s="3115"/>
      <c r="F402" s="428" t="s">
        <v>4373</v>
      </c>
      <c r="H402" s="27"/>
      <c r="I402" s="2337">
        <v>9095000</v>
      </c>
      <c r="J402" s="3103">
        <f>'Part IV-A-Uses of Funds'!$G$132</f>
        <v>9105000</v>
      </c>
      <c r="K402" s="3104"/>
      <c r="L402" s="524"/>
      <c r="M402" s="492"/>
      <c r="N402" s="492"/>
      <c r="O402" s="1064"/>
      <c r="P402" s="492"/>
    </row>
    <row r="403" spans="1:23" ht="12.75" customHeight="1">
      <c r="C403" s="3115"/>
      <c r="D403" s="3115"/>
      <c r="E403" s="3115"/>
      <c r="F403" s="432" t="s">
        <v>4372</v>
      </c>
      <c r="I403" s="2338">
        <v>0.13339999999999999</v>
      </c>
      <c r="J403" s="3110">
        <f>IF($J402=0,0,$J399/$J402)</f>
        <v>0.13350499725425591</v>
      </c>
      <c r="K403" s="3111"/>
      <c r="M403" s="3112">
        <f>IF($J402=0,0,$M399/$J402)</f>
        <v>0</v>
      </c>
      <c r="N403" s="3113"/>
      <c r="O403" s="3113"/>
      <c r="P403" s="3114"/>
    </row>
    <row r="404" spans="1:23" s="43" customFormat="1" ht="12.75" customHeight="1">
      <c r="C404" s="3115"/>
      <c r="D404" s="3115"/>
      <c r="E404" s="3115"/>
      <c r="F404" s="1013" t="s">
        <v>4371</v>
      </c>
      <c r="I404" s="2339">
        <v>3</v>
      </c>
      <c r="J404" s="3107">
        <f>IF(L381="", IF($J403&gt;=0.1, 3,IF($J403&gt;=0.05, 2,IF($J403&gt;=0.02,1,0))),0)</f>
        <v>3</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90">
        <v>1</v>
      </c>
      <c r="P406" s="4196"/>
      <c r="Q406" s="109" t="s">
        <v>433</v>
      </c>
      <c r="R406" s="974" t="s">
        <v>4767</v>
      </c>
      <c r="V406" s="1023"/>
      <c r="W406" s="1023"/>
    </row>
    <row r="407" spans="1:23" s="43" customFormat="1" ht="22.5" customHeight="1">
      <c r="A407" s="138"/>
      <c r="B407" s="986" t="s">
        <v>2371</v>
      </c>
      <c r="C407" s="2710" t="s">
        <v>3756</v>
      </c>
      <c r="D407" s="2710"/>
      <c r="E407" s="2710"/>
      <c r="F407" s="2710"/>
      <c r="G407" s="2710"/>
      <c r="H407" s="2710"/>
      <c r="I407" s="2710"/>
      <c r="J407" s="2710"/>
      <c r="K407" s="2710"/>
      <c r="L407" s="2710"/>
      <c r="M407" s="2710"/>
      <c r="N407" s="386" t="s">
        <v>2371</v>
      </c>
      <c r="O407" s="2272" t="s">
        <v>2885</v>
      </c>
      <c r="P407" s="4224"/>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56" t="s">
        <v>2885</v>
      </c>
      <c r="P408" s="520"/>
      <c r="V408" s="1023"/>
      <c r="W408" s="1023"/>
    </row>
    <row r="409" spans="1:23" ht="12.75" customHeight="1">
      <c r="B409" s="373" t="s">
        <v>2373</v>
      </c>
      <c r="C409" s="427" t="s">
        <v>4342</v>
      </c>
      <c r="N409" s="373" t="s">
        <v>2373</v>
      </c>
      <c r="O409" s="2256" t="s">
        <v>2885</v>
      </c>
      <c r="P409" s="520"/>
    </row>
    <row r="410" spans="1:23" ht="12" customHeight="1" thickBot="1">
      <c r="B410" s="1132" t="s">
        <v>3566</v>
      </c>
    </row>
    <row r="411" spans="1:23" s="43" customFormat="1" ht="51" customHeight="1" thickTop="1" thickBot="1">
      <c r="A411" s="2940" t="s">
        <v>7150</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1.25" customHeight="1" thickTop="1">
      <c r="A412" s="42"/>
      <c r="B412" s="494" t="s">
        <v>1819</v>
      </c>
      <c r="C412" s="98"/>
      <c r="D412" s="97"/>
      <c r="E412" s="2398"/>
      <c r="F412" s="2380"/>
      <c r="G412" s="2380"/>
      <c r="H412" s="2380"/>
      <c r="I412" s="2380"/>
      <c r="J412" s="2380"/>
      <c r="K412" s="2380"/>
      <c r="L412" s="2380"/>
      <c r="M412" s="2380"/>
      <c r="N412" s="93"/>
      <c r="O412" s="836"/>
      <c r="P412" s="2373"/>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6"/>
      <c r="D414" s="2376"/>
      <c r="E414" s="2376"/>
      <c r="F414" s="2376"/>
      <c r="G414" s="2376"/>
      <c r="H414" s="2376"/>
      <c r="I414" s="2376"/>
      <c r="J414" s="2376"/>
      <c r="K414" s="2376"/>
      <c r="L414" s="2376"/>
      <c r="M414" s="2376"/>
      <c r="N414" s="74"/>
      <c r="O414" s="70"/>
      <c r="P414" s="846"/>
    </row>
    <row r="415" spans="1:23" s="43" customFormat="1" ht="13.5" customHeight="1" thickBot="1">
      <c r="A415" s="1722" t="s">
        <v>3784</v>
      </c>
      <c r="B415" s="105" t="s">
        <v>2639</v>
      </c>
      <c r="D415" s="40"/>
      <c r="G415" s="61" t="s">
        <v>3280</v>
      </c>
      <c r="J415" s="36"/>
      <c r="K415" s="36"/>
      <c r="L415" s="36"/>
      <c r="M415" s="2373">
        <v>2</v>
      </c>
      <c r="N415" s="455"/>
      <c r="O415" s="1081">
        <f>MIN($M415,O419+O426)</f>
        <v>2</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85" t="s">
        <v>7062</v>
      </c>
      <c r="E417" s="3086"/>
      <c r="F417" s="3086"/>
      <c r="G417" s="3086"/>
      <c r="H417" s="3086"/>
      <c r="I417" s="3087"/>
      <c r="J417" s="389" t="s">
        <v>2733</v>
      </c>
      <c r="L417" s="512">
        <f>'Part III-Sources of Funds'!$I$51</f>
        <v>1080563</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4582</v>
      </c>
      <c r="C419" s="389"/>
      <c r="D419" s="389"/>
      <c r="E419" s="389"/>
      <c r="F419" s="389"/>
      <c r="G419" s="389"/>
      <c r="H419" s="389"/>
      <c r="I419" s="389"/>
      <c r="M419" s="410">
        <v>2</v>
      </c>
      <c r="N419" s="160" t="s">
        <v>1935</v>
      </c>
      <c r="O419" s="2289">
        <v>2</v>
      </c>
      <c r="P419" s="4205"/>
      <c r="Q419" s="978" t="str">
        <f>IF(OR($O419=$M419,$O419=0,$O419=""),"","*CHECK!*")</f>
        <v/>
      </c>
      <c r="R419" s="974" t="s">
        <v>4767</v>
      </c>
    </row>
    <row r="420" spans="1:19" s="409" customFormat="1" ht="12" customHeight="1">
      <c r="A420" s="408"/>
      <c r="B420" s="2723" t="s">
        <v>4584</v>
      </c>
      <c r="C420" s="2723"/>
      <c r="D420" s="2723"/>
      <c r="E420" s="2723"/>
      <c r="F420" s="2723"/>
      <c r="G420" s="2723"/>
      <c r="H420" s="2723"/>
      <c r="I420" s="2723"/>
      <c r="J420" s="2723"/>
      <c r="K420" s="2723"/>
      <c r="L420" s="2723"/>
      <c r="M420" s="3092" t="s">
        <v>4442</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44</v>
      </c>
      <c r="P421" s="3106"/>
      <c r="Q421" s="172"/>
    </row>
    <row r="422" spans="1:19" s="409" customFormat="1" ht="12" customHeight="1">
      <c r="B422" s="2723"/>
      <c r="C422" s="2723"/>
      <c r="D422" s="2723"/>
      <c r="E422" s="2723"/>
      <c r="F422" s="2723"/>
      <c r="G422" s="2723"/>
      <c r="H422" s="2723"/>
      <c r="I422" s="2723"/>
      <c r="J422" s="2723"/>
      <c r="K422" s="2723"/>
      <c r="L422" s="2723"/>
      <c r="M422" s="983" t="s">
        <v>2731</v>
      </c>
      <c r="N422" s="410"/>
      <c r="O422" s="3090">
        <f>'Part VI-Revenues &amp; Expenses'!$P$67</f>
        <v>50</v>
      </c>
      <c r="P422" s="3091"/>
      <c r="Q422" s="172"/>
    </row>
    <row r="423" spans="1:19" s="409" customFormat="1" ht="12" customHeight="1">
      <c r="B423" s="3116"/>
      <c r="C423" s="3116"/>
      <c r="D423" s="3116"/>
      <c r="E423" s="3116"/>
      <c r="F423" s="3116"/>
      <c r="G423" s="3116"/>
      <c r="H423" s="3116"/>
      <c r="I423" s="3116"/>
      <c r="J423" s="3116"/>
      <c r="K423" s="3116"/>
      <c r="L423" s="3116"/>
      <c r="M423" s="1451" t="s">
        <v>2732</v>
      </c>
      <c r="N423" s="410"/>
      <c r="O423" s="3088">
        <f>IF(O422=0,0,O421/O422)</f>
        <v>0.88</v>
      </c>
      <c r="P423" s="3089"/>
      <c r="Q423" s="172"/>
    </row>
    <row r="424" spans="1:19" s="43" customFormat="1" ht="63.75" customHeight="1">
      <c r="A424" s="513"/>
      <c r="B424" s="2748" t="s">
        <v>7160</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4583</v>
      </c>
      <c r="C426" s="139"/>
      <c r="D426" s="835"/>
      <c r="H426" s="389"/>
      <c r="M426" s="410">
        <v>2</v>
      </c>
      <c r="N426" s="160" t="s">
        <v>1937</v>
      </c>
      <c r="O426" s="2289"/>
      <c r="P426" s="4205"/>
      <c r="Q426" s="978" t="str">
        <f>IF(OR($O426=$M426,$O426=0,$O426=""),"","*CHECK!*")</f>
        <v/>
      </c>
      <c r="R426" s="974" t="s">
        <v>4767</v>
      </c>
    </row>
    <row r="427" spans="1:19" s="409" customFormat="1" ht="11.25" customHeight="1">
      <c r="A427" s="514"/>
      <c r="B427" s="2710" t="s">
        <v>4343</v>
      </c>
      <c r="C427" s="2710"/>
      <c r="D427" s="2710"/>
      <c r="E427" s="2710"/>
      <c r="F427" s="2710"/>
      <c r="G427" s="2710"/>
      <c r="H427" s="2710"/>
      <c r="I427" s="2710"/>
      <c r="J427" s="2710"/>
      <c r="K427" s="2710"/>
      <c r="L427" s="2710"/>
      <c r="M427" s="1504" t="s">
        <v>4344</v>
      </c>
      <c r="O427" s="3098">
        <f>'Part VI-Revenues &amp; Expenses'!$P$125</f>
        <v>44</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2731</v>
      </c>
      <c r="N428" s="410"/>
      <c r="O428" s="3090">
        <f>'Part VI-Revenues &amp; Expenses'!$P$67</f>
        <v>50</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2732</v>
      </c>
      <c r="N429" s="410"/>
      <c r="O429" s="3088">
        <f>IF(O428=0,0,L415/O428)</f>
        <v>0</v>
      </c>
      <c r="P429" s="3089"/>
      <c r="Q429" s="172"/>
    </row>
    <row r="430" spans="1:19" s="43" customFormat="1" ht="11.25" customHeight="1" thickBot="1">
      <c r="A430" s="42"/>
      <c r="B430" s="1132" t="s">
        <v>3566</v>
      </c>
      <c r="C430" s="42"/>
      <c r="D430" s="48"/>
      <c r="E430" s="48"/>
      <c r="F430" s="48"/>
      <c r="G430" s="48"/>
      <c r="H430" s="36"/>
      <c r="I430" s="36"/>
      <c r="J430" s="36"/>
      <c r="K430" s="36"/>
      <c r="M430" s="46"/>
      <c r="N430" s="62"/>
      <c r="O430" s="3"/>
      <c r="P430" s="2375"/>
    </row>
    <row r="431" spans="1:19" s="43" customFormat="1" ht="18" customHeight="1" thickTop="1" thickBot="1">
      <c r="A431" s="2940" t="s">
        <v>7151</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1819</v>
      </c>
      <c r="C432" s="98"/>
      <c r="D432" s="85"/>
      <c r="E432" s="99"/>
      <c r="F432" s="2376"/>
      <c r="G432" s="2376"/>
      <c r="H432" s="2376"/>
      <c r="I432" s="2376"/>
      <c r="J432" s="2376"/>
      <c r="K432" s="2376"/>
      <c r="L432" s="2376"/>
      <c r="M432" s="2376"/>
      <c r="N432" s="74"/>
      <c r="O432" s="70"/>
      <c r="P432" s="2373"/>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6"/>
      <c r="D434" s="2376"/>
      <c r="E434" s="2376"/>
      <c r="F434" s="2376"/>
      <c r="G434" s="2376"/>
      <c r="H434" s="2376"/>
      <c r="I434" s="2376"/>
      <c r="J434" s="2376"/>
      <c r="K434" s="2376"/>
      <c r="L434" s="2376"/>
      <c r="M434" s="2376"/>
      <c r="N434" s="74"/>
      <c r="O434" s="70"/>
      <c r="P434" s="846"/>
    </row>
    <row r="435" spans="1:18" s="102" customFormat="1" ht="11.25" customHeight="1" thickBot="1">
      <c r="A435" s="153" t="s">
        <v>3787</v>
      </c>
      <c r="B435" s="105" t="s">
        <v>4718</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3483</v>
      </c>
      <c r="D437" s="45"/>
      <c r="E437" s="45"/>
      <c r="F437" s="39"/>
      <c r="G437" s="36"/>
      <c r="I437" s="36"/>
      <c r="J437" s="36"/>
      <c r="K437" s="36"/>
      <c r="L437" s="374"/>
      <c r="M437" s="2373"/>
      <c r="N437" s="6"/>
      <c r="O437" s="1087">
        <v>10</v>
      </c>
      <c r="P437" s="1087">
        <v>10</v>
      </c>
      <c r="Q437" s="109"/>
    </row>
    <row r="438" spans="1:18" s="102" customFormat="1" ht="10.5" customHeight="1">
      <c r="A438" s="153"/>
      <c r="B438" s="86" t="s">
        <v>3484</v>
      </c>
      <c r="D438" s="45"/>
      <c r="E438" s="45"/>
      <c r="F438" s="39"/>
      <c r="G438" s="36"/>
      <c r="I438" s="36"/>
      <c r="J438" s="36"/>
      <c r="K438" s="36"/>
      <c r="L438" s="374"/>
      <c r="M438" s="2373"/>
      <c r="N438" s="6"/>
      <c r="O438" s="2340"/>
      <c r="P438" s="4212"/>
      <c r="Q438" s="109"/>
    </row>
    <row r="439" spans="1:18" s="102" customFormat="1" ht="10.5" customHeight="1">
      <c r="A439" s="153"/>
      <c r="B439" s="86" t="s">
        <v>3485</v>
      </c>
      <c r="D439" s="45"/>
      <c r="E439" s="45"/>
      <c r="F439" s="39"/>
      <c r="G439" s="36"/>
      <c r="I439" s="36"/>
      <c r="J439" s="36"/>
      <c r="K439" s="36"/>
      <c r="L439" s="374"/>
      <c r="M439" s="2373"/>
      <c r="N439" s="6"/>
      <c r="O439" s="2341"/>
      <c r="P439" s="4182"/>
      <c r="Q439" s="109"/>
    </row>
    <row r="440" spans="1:18" s="102" customFormat="1" ht="10.5" customHeight="1">
      <c r="A440" s="66"/>
      <c r="B440" s="66" t="s">
        <v>1819</v>
      </c>
      <c r="C440" s="50"/>
      <c r="D440" s="66"/>
      <c r="E440" s="2380"/>
      <c r="F440" s="2380"/>
      <c r="G440" s="2380"/>
      <c r="H440" s="2380"/>
      <c r="I440" s="2380"/>
      <c r="J440" s="2380"/>
      <c r="K440" s="2380"/>
      <c r="L440" s="2380"/>
      <c r="M440" s="2380"/>
      <c r="N440" s="93"/>
      <c r="O440" s="836"/>
      <c r="P440" s="2373"/>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6"/>
      <c r="D442" s="2376"/>
      <c r="E442" s="2376"/>
      <c r="F442" s="2376"/>
      <c r="G442" s="2376"/>
      <c r="H442" s="2376"/>
      <c r="I442" s="2376"/>
      <c r="J442" s="2376"/>
      <c r="K442" s="2376"/>
      <c r="L442" s="2376"/>
      <c r="M442" s="2376"/>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3"/>
      <c r="O444" s="2373"/>
      <c r="P444" s="453">
        <f>P232</f>
        <v>0</v>
      </c>
    </row>
    <row r="445" spans="1:18" s="42" customFormat="1" ht="11.25" customHeight="1">
      <c r="A445" s="54"/>
      <c r="B445" s="67"/>
      <c r="C445" s="54"/>
      <c r="D445" s="35"/>
      <c r="E445" s="35"/>
      <c r="F445" s="69"/>
      <c r="G445" s="69"/>
      <c r="H445" s="165" t="s">
        <v>3840</v>
      </c>
      <c r="J445" s="68"/>
      <c r="K445" s="68"/>
      <c r="L445" s="43"/>
      <c r="M445" s="35"/>
      <c r="N445" s="2373"/>
      <c r="O445" s="453"/>
      <c r="P445" s="453">
        <f>P346</f>
        <v>0</v>
      </c>
    </row>
    <row r="446" spans="1:18" s="43" customFormat="1" ht="11.25" customHeight="1">
      <c r="A446" s="42"/>
      <c r="D446" s="39"/>
      <c r="E446" s="36"/>
      <c r="F446" s="846"/>
      <c r="H446" s="165" t="s">
        <v>3842</v>
      </c>
      <c r="I446" s="846"/>
      <c r="J446" s="856"/>
      <c r="K446" s="856"/>
      <c r="L446" s="856"/>
      <c r="M446" s="60"/>
      <c r="N446" s="846"/>
      <c r="O446" s="2375"/>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97" t="s">
        <v>6847</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7"/>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4773</v>
      </c>
      <c r="H470" s="1769" t="s">
        <v>4774</v>
      </c>
      <c r="I470" s="1768" t="s">
        <v>4772</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3576</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4776</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4775</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4775</v>
      </c>
      <c r="J475" s="1769" t="s">
        <v>3577</v>
      </c>
      <c r="K475" s="446"/>
      <c r="L475" s="1772"/>
      <c r="M475" s="446"/>
      <c r="N475" s="447"/>
      <c r="O475" s="1760">
        <v>1</v>
      </c>
      <c r="P475" s="1760"/>
      <c r="Q475" s="1761"/>
      <c r="R475" s="1762"/>
      <c r="S475" s="1762"/>
      <c r="T475" s="1762"/>
    </row>
    <row r="476" spans="3:20" s="158" customFormat="1">
      <c r="C476" s="1770" t="s">
        <v>2701</v>
      </c>
      <c r="D476" s="446"/>
      <c r="E476" s="446"/>
      <c r="F476" s="446"/>
      <c r="G476" s="1771" t="s">
        <v>3612</v>
      </c>
      <c r="H476" s="447">
        <v>2019</v>
      </c>
      <c r="I476" s="447" t="s">
        <v>4775</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4776</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4776</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4775</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4775</v>
      </c>
      <c r="J486" s="1773" t="s">
        <v>3587</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4775</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2614</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4775</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4776</v>
      </c>
      <c r="I494" s="1768" t="s">
        <v>2614</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2614</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2614</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4775</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4775</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4776</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4776</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Pm/5McUESuxlemZyrm7BZuIo1YnzRF+4TboTLcIqAkpSiGVdZp9Q+3v09FfI8ihjtsFeJa4BP1vrIDySKT/czQ==" saltValue="fhRiWI25phkzYuWdh2l8B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3" t="s">
        <v>2810</v>
      </c>
      <c r="B1" s="3213"/>
      <c r="C1" s="3213"/>
      <c r="D1" s="3213"/>
      <c r="E1" s="3213"/>
      <c r="F1" s="3213"/>
      <c r="G1" s="3213"/>
      <c r="H1" s="3213"/>
      <c r="I1" s="3213"/>
      <c r="J1" s="3213"/>
    </row>
    <row r="2" spans="1:16" ht="15.6">
      <c r="A2" s="3213" t="str">
        <f>'Sensitivity Analysis'!C8</f>
        <v>Freedom's Path at Dublin</v>
      </c>
      <c r="B2" s="3213"/>
      <c r="C2" s="3213"/>
      <c r="D2" s="3213"/>
      <c r="E2" s="3213"/>
      <c r="F2" s="3213"/>
      <c r="G2" s="3213"/>
      <c r="H2" s="3213"/>
      <c r="I2" s="3213"/>
      <c r="J2" s="3213"/>
    </row>
    <row r="3" spans="1:16" ht="15.6">
      <c r="A3" s="3213" t="str">
        <f>'Subsidy Layering Memo'!F14</f>
        <v>Dublin, Laurens</v>
      </c>
      <c r="B3" s="3213"/>
      <c r="C3" s="3213"/>
      <c r="D3" s="3213"/>
      <c r="E3" s="3213"/>
      <c r="F3" s="3213"/>
      <c r="G3" s="3213"/>
      <c r="H3" s="3213"/>
      <c r="I3" s="3213"/>
      <c r="J3" s="3213"/>
    </row>
    <row r="4" spans="1:16" ht="15.6">
      <c r="A4" s="3214" t="s">
        <v>2811</v>
      </c>
      <c r="B4" s="3213"/>
      <c r="C4" s="3213"/>
      <c r="D4" s="3213"/>
      <c r="E4" s="3213"/>
      <c r="F4" s="3213"/>
      <c r="G4" s="3213"/>
      <c r="H4" s="3213"/>
      <c r="I4" s="3213"/>
      <c r="J4" s="3213"/>
    </row>
    <row r="5" spans="1:16" ht="5.25" customHeight="1"/>
    <row r="6" spans="1:16" ht="5.25" customHeight="1"/>
    <row r="7" spans="1:16" ht="15.6">
      <c r="A7" s="3215" t="s">
        <v>2812</v>
      </c>
      <c r="B7" s="3215"/>
      <c r="C7" s="3216"/>
      <c r="M7" s="3217"/>
      <c r="N7" s="3217"/>
      <c r="O7" s="3217"/>
      <c r="P7" s="3217"/>
    </row>
    <row r="8" spans="1:16" ht="57" customHeight="1">
      <c r="A8" s="3218" t="s">
        <v>4473</v>
      </c>
      <c r="B8" s="3218"/>
      <c r="C8" s="3218"/>
      <c r="D8" s="3218"/>
      <c r="E8" s="3218"/>
      <c r="F8" s="3218"/>
      <c r="G8" s="3218"/>
      <c r="H8" s="3218"/>
      <c r="I8" s="3218"/>
      <c r="J8" s="3218"/>
      <c r="K8" s="611"/>
    </row>
    <row r="9" spans="1:16" ht="45.75" customHeight="1">
      <c r="A9" s="321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Dublin, Laurens County, Georgia, with the development of 50 units (UNIT DESCRIPTION) set aside for Family.</v>
      </c>
      <c r="B9" s="3218"/>
      <c r="C9" s="3218"/>
      <c r="D9" s="3218"/>
      <c r="E9" s="3218"/>
      <c r="F9" s="3218"/>
      <c r="G9" s="3218"/>
      <c r="H9" s="3218"/>
      <c r="I9" s="3218"/>
      <c r="J9" s="3218"/>
      <c r="K9" s="611"/>
    </row>
    <row r="10" spans="1:16" ht="15.6">
      <c r="A10" s="612" t="s">
        <v>2813</v>
      </c>
    </row>
    <row r="11" spans="1:16" ht="16.5" customHeight="1">
      <c r="A11" s="3218" t="str">
        <f>'Subsidy Layering Memo'!A44</f>
        <v xml:space="preserve">Ownership entity:  (NAME) LP, a Georgia Limited Partnership, will be the ownership entity for the proposed project. </v>
      </c>
      <c r="B11" s="3220"/>
      <c r="C11" s="3220"/>
      <c r="D11" s="3220"/>
      <c r="E11" s="3220"/>
      <c r="F11" s="3220"/>
      <c r="G11" s="3220"/>
      <c r="H11" s="3220"/>
      <c r="I11" s="3220"/>
      <c r="J11" s="3218"/>
    </row>
    <row r="12" spans="1:16" ht="63.75" customHeight="1">
      <c r="A12" s="3218" t="s">
        <v>2843</v>
      </c>
      <c r="B12" s="3218"/>
      <c r="C12" s="3218"/>
      <c r="D12" s="3218"/>
      <c r="E12" s="3218"/>
      <c r="F12" s="3218"/>
      <c r="G12" s="3218"/>
      <c r="H12" s="3218"/>
      <c r="I12" s="3218"/>
      <c r="J12" s="3218"/>
    </row>
    <row r="13" spans="1:16" ht="48.75" customHeight="1">
      <c r="A13" s="3218" t="s">
        <v>2844</v>
      </c>
      <c r="B13" s="3218"/>
      <c r="C13" s="3218"/>
      <c r="D13" s="3218"/>
      <c r="E13" s="3218"/>
      <c r="F13" s="3218"/>
      <c r="G13" s="3218"/>
      <c r="H13" s="3218"/>
      <c r="I13" s="3218"/>
      <c r="J13" s="3218"/>
    </row>
    <row r="14" spans="1:16" ht="15.6">
      <c r="A14" s="612" t="s">
        <v>2814</v>
      </c>
      <c r="B14" s="613"/>
    </row>
    <row r="15" spans="1:16">
      <c r="A15" s="610" t="s">
        <v>2815</v>
      </c>
      <c r="D15" s="1530" t="s">
        <v>2816</v>
      </c>
    </row>
    <row r="16" spans="1:16">
      <c r="A16" s="610" t="s">
        <v>2817</v>
      </c>
      <c r="D16" s="1528">
        <f>'Sensitivity Analysis'!C25</f>
        <v>0</v>
      </c>
    </row>
    <row r="17" spans="1:11">
      <c r="A17" s="614" t="s">
        <v>2818</v>
      </c>
      <c r="D17" s="1529">
        <f>'Sensitivity Analysis'!C13</f>
        <v>50</v>
      </c>
    </row>
    <row r="18" spans="1:11" ht="14.25" customHeight="1"/>
    <row r="19" spans="1:11" ht="15.6">
      <c r="A19" s="612" t="s">
        <v>2819</v>
      </c>
      <c r="B19" s="613"/>
      <c r="C19" s="613"/>
    </row>
    <row r="20" spans="1:11" ht="48.75" customHeight="1">
      <c r="A20" s="3221" t="s">
        <v>2846</v>
      </c>
      <c r="B20" s="3221"/>
      <c r="C20" s="3221"/>
      <c r="D20" s="3221"/>
      <c r="E20" s="3221"/>
      <c r="F20" s="3221"/>
      <c r="G20" s="3221"/>
      <c r="H20" s="3221"/>
      <c r="I20" s="3221"/>
      <c r="J20" s="3221"/>
    </row>
    <row r="21" spans="1:11" ht="72.75" customHeight="1">
      <c r="A21" s="3218" t="s">
        <v>4472</v>
      </c>
      <c r="B21" s="3218"/>
      <c r="C21" s="3218"/>
      <c r="D21" s="3218"/>
      <c r="E21" s="3218"/>
      <c r="F21" s="3218"/>
      <c r="G21" s="3218"/>
      <c r="H21" s="3218"/>
      <c r="I21" s="3218"/>
      <c r="J21" s="3218"/>
    </row>
    <row r="22" spans="1:11" ht="15.6">
      <c r="A22" s="612" t="s">
        <v>2820</v>
      </c>
      <c r="B22" s="613"/>
      <c r="C22" s="613"/>
      <c r="D22" s="613"/>
      <c r="E22" s="613"/>
      <c r="F22" s="613"/>
    </row>
    <row r="23" spans="1:11" ht="102.75" customHeight="1">
      <c r="A23" s="3222" t="s">
        <v>2839</v>
      </c>
      <c r="B23" s="3222"/>
      <c r="C23" s="3222"/>
      <c r="D23" s="3222"/>
      <c r="E23" s="3222"/>
      <c r="F23" s="3222"/>
      <c r="G23" s="3222"/>
      <c r="H23" s="3222"/>
      <c r="I23" s="3222"/>
      <c r="J23" s="3222"/>
      <c r="K23" s="1232"/>
    </row>
    <row r="24" spans="1:11" ht="15" customHeight="1">
      <c r="A24" s="3219"/>
      <c r="B24" s="3219"/>
      <c r="C24" s="3219"/>
      <c r="D24" s="3219"/>
      <c r="E24" s="3219"/>
      <c r="F24" s="3219"/>
      <c r="G24" s="3219"/>
      <c r="H24" s="3219"/>
      <c r="I24" s="3219"/>
      <c r="J24" s="3219"/>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Freedom's Path at Dublin</v>
      </c>
    </row>
    <row r="13" spans="1:10">
      <c r="A13" s="620"/>
      <c r="D13" s="619" t="s">
        <v>2834</v>
      </c>
      <c r="F13" s="1527" t="str">
        <f>'Sensitivity Analysis'!E8</f>
        <v>2020-042</v>
      </c>
    </row>
    <row r="14" spans="1:10">
      <c r="A14" s="620"/>
      <c r="D14" s="619" t="s">
        <v>2835</v>
      </c>
      <c r="F14" s="1527" t="str">
        <f>'Sensitivity Analysis'!H8</f>
        <v>Dublin, Laurens</v>
      </c>
    </row>
    <row r="15" spans="1:10">
      <c r="A15" s="620"/>
      <c r="D15" s="619" t="s">
        <v>3197</v>
      </c>
      <c r="F15" s="3235">
        <f>'Sensitivity Analysis'!$C$25</f>
        <v>0</v>
      </c>
      <c r="G15" s="3235"/>
      <c r="H15" s="3235"/>
    </row>
    <row r="16" spans="1:10">
      <c r="A16" s="620"/>
      <c r="D16" s="622" t="s">
        <v>2836</v>
      </c>
      <c r="F16" s="623">
        <f>'Sensitivity Analysis'!C13</f>
        <v>50</v>
      </c>
      <c r="G16" s="624" t="s">
        <v>3198</v>
      </c>
      <c r="H16" s="1168">
        <f>'Sensitivity Analysis'!E13</f>
        <v>50</v>
      </c>
    </row>
    <row r="17" spans="1:18">
      <c r="A17" s="620"/>
      <c r="D17" s="622" t="s">
        <v>2800</v>
      </c>
      <c r="F17" s="623" t="str">
        <f>'Sensitivity Analysis'!C14</f>
        <v>Family</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3224" t="s">
        <v>3374</v>
      </c>
      <c r="B22" s="3224"/>
      <c r="C22" s="3224"/>
      <c r="D22" s="3224"/>
      <c r="E22" s="3224"/>
      <c r="F22" s="3224"/>
      <c r="G22" s="3224"/>
      <c r="H22" s="3224"/>
      <c r="I22" s="3224"/>
      <c r="J22" s="3224"/>
      <c r="K22" s="3223" t="s">
        <v>4474</v>
      </c>
      <c r="L22" s="3223"/>
      <c r="M22" s="3223"/>
      <c r="N22" s="3223"/>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5"/>
      <c r="B24" s="3225"/>
      <c r="C24" s="3225"/>
      <c r="D24" s="3225"/>
      <c r="E24" s="3225"/>
      <c r="F24" s="3225"/>
      <c r="G24" s="3225"/>
      <c r="H24" s="3225"/>
      <c r="I24" s="3225"/>
      <c r="J24" s="3225"/>
    </row>
    <row r="25" spans="1:18" ht="10.5" hidden="1" customHeight="1">
      <c r="A25" s="3226"/>
      <c r="B25" s="3226"/>
      <c r="C25" s="3226"/>
      <c r="D25" s="3226"/>
      <c r="E25" s="3226"/>
      <c r="F25" s="3226"/>
      <c r="G25" s="3226"/>
      <c r="H25" s="3226"/>
      <c r="I25" s="3226"/>
      <c r="J25" s="3226"/>
    </row>
    <row r="26" spans="1:18">
      <c r="A26" s="625" t="s">
        <v>2838</v>
      </c>
    </row>
    <row r="27" spans="1:18" ht="14.25" customHeight="1">
      <c r="A27" s="3227" t="s">
        <v>2839</v>
      </c>
      <c r="B27" s="3227"/>
      <c r="C27" s="3227"/>
      <c r="D27" s="3227"/>
      <c r="E27" s="3227"/>
      <c r="F27" s="3227"/>
      <c r="G27" s="3227"/>
      <c r="H27" s="3227"/>
      <c r="I27" s="3227"/>
      <c r="J27" s="3227"/>
    </row>
    <row r="28" spans="1:18" ht="14.25" customHeight="1">
      <c r="A28" s="3227"/>
      <c r="B28" s="3227"/>
      <c r="C28" s="3227"/>
      <c r="D28" s="3227"/>
      <c r="E28" s="3227"/>
      <c r="F28" s="3227"/>
      <c r="G28" s="3227"/>
      <c r="H28" s="3227"/>
      <c r="I28" s="3227"/>
      <c r="J28" s="3227"/>
    </row>
    <row r="29" spans="1:18" ht="6.75" customHeight="1">
      <c r="A29" s="3227"/>
      <c r="B29" s="3227"/>
      <c r="C29" s="3227"/>
      <c r="D29" s="3227"/>
      <c r="E29" s="3227"/>
      <c r="F29" s="3227"/>
      <c r="G29" s="3227"/>
      <c r="H29" s="3227"/>
      <c r="I29" s="3227"/>
      <c r="J29" s="3227"/>
    </row>
    <row r="30" spans="1:18" ht="14.25" customHeight="1">
      <c r="A30" s="3227"/>
      <c r="B30" s="3227"/>
      <c r="C30" s="3227"/>
      <c r="D30" s="3227"/>
      <c r="E30" s="3227"/>
      <c r="F30" s="3227"/>
      <c r="G30" s="3227"/>
      <c r="H30" s="3227"/>
      <c r="I30" s="3227"/>
      <c r="J30" s="3227"/>
    </row>
    <row r="31" spans="1:18" ht="14.25" customHeight="1">
      <c r="A31" s="3227"/>
      <c r="B31" s="3227"/>
      <c r="C31" s="3227"/>
      <c r="D31" s="3227"/>
      <c r="E31" s="3227"/>
      <c r="F31" s="3227"/>
      <c r="G31" s="3227"/>
      <c r="H31" s="3227"/>
      <c r="I31" s="3227"/>
      <c r="J31" s="3227"/>
    </row>
    <row r="32" spans="1:18" ht="54.75" customHeight="1">
      <c r="A32" s="3227"/>
      <c r="B32" s="3227"/>
      <c r="C32" s="3227"/>
      <c r="D32" s="3227"/>
      <c r="E32" s="3227"/>
      <c r="F32" s="3227"/>
      <c r="G32" s="3227"/>
      <c r="H32" s="3227"/>
      <c r="I32" s="3227"/>
      <c r="J32" s="3227"/>
    </row>
    <row r="33" spans="1:10" ht="0.75" hidden="1" customHeight="1">
      <c r="A33" s="3227"/>
      <c r="B33" s="3227"/>
      <c r="C33" s="3227"/>
      <c r="D33" s="3227"/>
      <c r="E33" s="3227"/>
      <c r="F33" s="3227"/>
      <c r="G33" s="3227"/>
      <c r="H33" s="3227"/>
      <c r="I33" s="3227"/>
      <c r="J33" s="3227"/>
    </row>
    <row r="34" spans="1:10" ht="3.75" hidden="1" customHeight="1">
      <c r="A34" s="3227"/>
      <c r="B34" s="3227"/>
      <c r="C34" s="3227"/>
      <c r="D34" s="3227"/>
      <c r="E34" s="3227"/>
      <c r="F34" s="3227"/>
      <c r="G34" s="3227"/>
      <c r="H34" s="3227"/>
      <c r="I34" s="3227"/>
      <c r="J34" s="3227"/>
    </row>
    <row r="35" spans="1:10" ht="5.25" customHeight="1">
      <c r="A35" s="1523"/>
      <c r="B35" s="1523"/>
      <c r="C35" s="1523"/>
      <c r="D35" s="1523"/>
      <c r="E35" s="1523"/>
      <c r="F35" s="1523"/>
      <c r="G35" s="1523"/>
      <c r="H35" s="1523"/>
      <c r="I35" s="1523"/>
      <c r="J35" s="1523"/>
    </row>
    <row r="36" spans="1:10" ht="19.5" customHeight="1">
      <c r="A36" s="3225" t="s">
        <v>2840</v>
      </c>
      <c r="B36" s="3225"/>
      <c r="C36" s="3225"/>
      <c r="D36" s="1521"/>
      <c r="E36" s="1521"/>
      <c r="F36" s="1521"/>
      <c r="G36" s="1521"/>
      <c r="H36" s="1521"/>
      <c r="I36" s="1521"/>
      <c r="J36" s="1521"/>
    </row>
    <row r="37" spans="1:10" ht="15" customHeight="1">
      <c r="A37" s="3218"/>
      <c r="B37" s="3218"/>
      <c r="C37" s="3218"/>
      <c r="D37" s="3218"/>
      <c r="E37" s="3218"/>
      <c r="F37" s="3218"/>
      <c r="G37" s="3218"/>
      <c r="H37" s="3218"/>
      <c r="I37" s="3218"/>
      <c r="J37" s="3218"/>
    </row>
    <row r="38" spans="1:10" ht="33.75" customHeight="1">
      <c r="A38" s="3218"/>
      <c r="B38" s="3218"/>
      <c r="C38" s="3218"/>
      <c r="D38" s="3218"/>
      <c r="E38" s="3218"/>
      <c r="F38" s="3218"/>
      <c r="G38" s="3218"/>
      <c r="H38" s="3218"/>
      <c r="I38" s="3218"/>
      <c r="J38" s="3218"/>
    </row>
    <row r="39" spans="1:10" ht="2.25" customHeight="1">
      <c r="A39" s="1521"/>
      <c r="B39" s="1521"/>
      <c r="C39" s="1521"/>
      <c r="D39" s="1521"/>
      <c r="E39" s="1521"/>
      <c r="F39" s="1521"/>
      <c r="G39" s="1521"/>
      <c r="H39" s="1521"/>
      <c r="I39" s="1521"/>
      <c r="J39" s="1521"/>
    </row>
    <row r="40" spans="1:10">
      <c r="A40" s="625" t="s">
        <v>2841</v>
      </c>
    </row>
    <row r="41" spans="1:10" ht="135" customHeight="1">
      <c r="A41" s="3226" t="s">
        <v>4471</v>
      </c>
      <c r="B41" s="3226"/>
      <c r="C41" s="3226"/>
      <c r="D41" s="3226"/>
      <c r="E41" s="3226"/>
      <c r="F41" s="3226"/>
      <c r="G41" s="3226"/>
      <c r="H41" s="3226"/>
      <c r="I41" s="3226"/>
      <c r="J41" s="3226"/>
    </row>
    <row r="42" spans="1:10" ht="6" customHeight="1">
      <c r="A42" s="1522"/>
      <c r="B42" s="1522"/>
      <c r="C42" s="1522"/>
      <c r="D42" s="1522"/>
      <c r="E42" s="1522"/>
      <c r="F42" s="1522"/>
      <c r="G42" s="1522"/>
      <c r="H42" s="1522"/>
      <c r="I42" s="1522"/>
      <c r="J42" s="1522"/>
    </row>
    <row r="43" spans="1:10">
      <c r="A43" s="625" t="s">
        <v>2842</v>
      </c>
    </row>
    <row r="44" spans="1:10" ht="33" customHeight="1">
      <c r="A44" s="3218" t="s">
        <v>3882</v>
      </c>
      <c r="B44" s="3220"/>
      <c r="C44" s="3220"/>
      <c r="D44" s="3220"/>
      <c r="E44" s="3220"/>
      <c r="F44" s="3220"/>
      <c r="G44" s="3220"/>
      <c r="H44" s="3220"/>
      <c r="I44" s="3220"/>
      <c r="J44" s="3218"/>
    </row>
    <row r="45" spans="1:10" ht="3" customHeight="1"/>
    <row r="46" spans="1:10" ht="72.75" customHeight="1">
      <c r="A46" s="3218" t="s">
        <v>3883</v>
      </c>
      <c r="B46" s="3218"/>
      <c r="C46" s="3218"/>
      <c r="D46" s="3218"/>
      <c r="E46" s="3218"/>
      <c r="F46" s="3218"/>
      <c r="G46" s="3218"/>
      <c r="H46" s="3218"/>
      <c r="I46" s="3218"/>
      <c r="J46" s="3218"/>
    </row>
    <row r="47" spans="1:10" ht="3" customHeight="1">
      <c r="A47" s="1521"/>
      <c r="B47" s="1521"/>
      <c r="C47" s="1521"/>
      <c r="D47" s="1521"/>
      <c r="E47" s="1521"/>
      <c r="F47" s="1521"/>
      <c r="G47" s="1521"/>
      <c r="H47" s="1521"/>
      <c r="I47" s="1521"/>
      <c r="J47" s="1521"/>
    </row>
    <row r="48" spans="1:10" ht="56.25" customHeight="1">
      <c r="A48" s="3218" t="s">
        <v>3884</v>
      </c>
      <c r="B48" s="3218"/>
      <c r="C48" s="3218"/>
      <c r="D48" s="3218"/>
      <c r="E48" s="3218"/>
      <c r="F48" s="3218"/>
      <c r="G48" s="3218"/>
      <c r="H48" s="3218"/>
      <c r="I48" s="3218"/>
      <c r="J48" s="3218"/>
    </row>
    <row r="49" spans="1:17" ht="3" customHeight="1">
      <c r="A49" s="1521"/>
      <c r="B49" s="1521"/>
      <c r="C49" s="1521"/>
      <c r="D49" s="1521"/>
      <c r="E49" s="1521"/>
      <c r="F49" s="1521"/>
      <c r="G49" s="1521"/>
      <c r="H49" s="1521"/>
      <c r="I49" s="1521"/>
      <c r="J49" s="1521"/>
    </row>
    <row r="50" spans="1:17" ht="49.5" customHeight="1">
      <c r="A50" s="3218" t="s">
        <v>3885</v>
      </c>
      <c r="B50" s="3218"/>
      <c r="C50" s="3218"/>
      <c r="D50" s="3218"/>
      <c r="E50" s="3218"/>
      <c r="F50" s="3218"/>
      <c r="G50" s="3218"/>
      <c r="H50" s="3218"/>
      <c r="I50" s="3218"/>
      <c r="J50" s="1521"/>
    </row>
    <row r="51" spans="1:17" ht="3" customHeight="1">
      <c r="A51" s="1521"/>
      <c r="B51" s="1521"/>
      <c r="C51" s="1521"/>
      <c r="D51" s="1521"/>
      <c r="E51" s="1521"/>
      <c r="F51" s="1521"/>
      <c r="G51" s="1521"/>
      <c r="H51" s="1521"/>
      <c r="I51" s="1521"/>
      <c r="J51" s="1521"/>
    </row>
    <row r="52" spans="1:17" ht="54.75" customHeight="1">
      <c r="A52" s="3240" t="s">
        <v>3207</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3886</v>
      </c>
      <c r="B54" s="3230"/>
      <c r="C54" s="3230"/>
      <c r="D54" s="3230"/>
      <c r="E54" s="3230"/>
      <c r="F54" s="3230"/>
      <c r="G54" s="3230"/>
      <c r="H54" s="3230"/>
      <c r="I54" s="3230"/>
      <c r="J54" s="3230"/>
    </row>
    <row r="55" spans="1:17" ht="3" customHeight="1"/>
    <row r="56" spans="1:17" ht="73.5" customHeight="1">
      <c r="A56" s="3218" t="s">
        <v>3887</v>
      </c>
      <c r="B56" s="3218"/>
      <c r="C56" s="3218"/>
      <c r="D56" s="3218"/>
      <c r="E56" s="3218"/>
      <c r="F56" s="3218"/>
      <c r="G56" s="3218"/>
      <c r="H56" s="3218"/>
      <c r="I56" s="3218"/>
      <c r="J56" s="3218"/>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3224" t="s">
        <v>2846</v>
      </c>
      <c r="B59" s="3224"/>
      <c r="C59" s="3224"/>
      <c r="D59" s="3224"/>
      <c r="E59" s="3224"/>
      <c r="F59" s="3224"/>
      <c r="G59" s="3224"/>
      <c r="H59" s="3224"/>
      <c r="I59" s="3224"/>
      <c r="J59" s="3224"/>
      <c r="L59" s="627">
        <f>'Closing term sheet'!C133</f>
        <v>586531.5</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0" t="s">
        <v>3279</v>
      </c>
      <c r="B61" s="3230"/>
      <c r="C61" s="3230"/>
      <c r="D61" s="3230"/>
      <c r="E61" s="3230"/>
      <c r="F61" s="3230"/>
      <c r="G61" s="3230"/>
      <c r="H61" s="3230"/>
      <c r="I61" s="3230"/>
      <c r="J61" s="632"/>
      <c r="L61" s="633">
        <f>'Part III-Sources of Funds'!I49</f>
        <v>5000000</v>
      </c>
      <c r="M61" s="634">
        <f>'Part IV-A-Uses of Funds'!$J$184</f>
        <v>625000</v>
      </c>
      <c r="N61" s="635">
        <f>'Part IV-A-Uses of Funds'!N175</f>
        <v>0.8</v>
      </c>
      <c r="O61" s="633">
        <f>'Part III-Sources of Funds'!I50</f>
        <v>2812500</v>
      </c>
      <c r="P61" s="634">
        <f>M61</f>
        <v>625000</v>
      </c>
      <c r="Q61" s="635">
        <f>'Part IV-A-Uses of Funds'!Q175</f>
        <v>0.45</v>
      </c>
    </row>
    <row r="62" spans="1:17" ht="18.75" customHeight="1">
      <c r="A62" s="636" t="s">
        <v>2847</v>
      </c>
    </row>
    <row r="63" spans="1:17" ht="177" customHeight="1">
      <c r="A63" s="3230" t="s">
        <v>3888</v>
      </c>
      <c r="B63" s="3230"/>
      <c r="C63" s="3230"/>
      <c r="D63" s="3230"/>
      <c r="E63" s="3230"/>
      <c r="F63" s="3230"/>
      <c r="G63" s="3230"/>
      <c r="H63" s="3230"/>
      <c r="I63" s="3230"/>
      <c r="J63" s="3230"/>
      <c r="L63" s="637" t="str">
        <f>'Part VII-Pro Forma'!K71</f>
        <v/>
      </c>
      <c r="M63" s="3228" t="s">
        <v>3373</v>
      </c>
      <c r="N63" s="3229"/>
    </row>
    <row r="64" spans="1:17" ht="6" customHeight="1">
      <c r="A64" s="625"/>
    </row>
    <row r="65" spans="1:10">
      <c r="A65" s="625" t="s">
        <v>2848</v>
      </c>
    </row>
    <row r="66" spans="1:10" ht="72.599999999999994" customHeight="1">
      <c r="A66" s="3230" t="s">
        <v>2849</v>
      </c>
      <c r="B66" s="3230"/>
      <c r="C66" s="3230"/>
      <c r="D66" s="3230"/>
      <c r="E66" s="3230"/>
      <c r="F66" s="3230"/>
      <c r="G66" s="3230"/>
      <c r="H66" s="3230"/>
      <c r="I66" s="3230"/>
      <c r="J66" s="3230"/>
    </row>
    <row r="67" spans="1:10" ht="36" customHeight="1">
      <c r="A67" s="3230" t="s">
        <v>2850</v>
      </c>
      <c r="B67" s="3230"/>
      <c r="C67" s="3230"/>
      <c r="D67" s="3230"/>
      <c r="E67" s="3230"/>
      <c r="F67" s="3230"/>
      <c r="G67" s="3230"/>
      <c r="H67" s="3230"/>
      <c r="I67" s="3230"/>
      <c r="J67" s="3230"/>
    </row>
    <row r="68" spans="1:10" ht="6" customHeight="1">
      <c r="A68" s="625"/>
    </row>
    <row r="69" spans="1:10">
      <c r="A69" s="625" t="s">
        <v>2851</v>
      </c>
    </row>
    <row r="70" spans="1:10" ht="105.75" customHeight="1">
      <c r="A70" s="3218" t="s">
        <v>2852</v>
      </c>
      <c r="B70" s="3218"/>
      <c r="C70" s="3218"/>
      <c r="D70" s="3218"/>
      <c r="E70" s="3218"/>
      <c r="F70" s="3218"/>
      <c r="G70" s="3218"/>
      <c r="H70" s="3218"/>
      <c r="I70" s="3218"/>
      <c r="J70" s="3218"/>
    </row>
    <row r="71" spans="1:10" ht="6" customHeight="1">
      <c r="A71" s="625"/>
    </row>
    <row r="72" spans="1:10">
      <c r="A72" s="625" t="s">
        <v>2853</v>
      </c>
    </row>
    <row r="73" spans="1:10" ht="66" customHeight="1">
      <c r="A73" s="3218" t="s">
        <v>2854</v>
      </c>
      <c r="B73" s="3218"/>
      <c r="C73" s="3218"/>
      <c r="D73" s="3218"/>
      <c r="E73" s="3218"/>
      <c r="F73" s="3218"/>
      <c r="G73" s="3218"/>
      <c r="H73" s="3218"/>
      <c r="I73" s="3218"/>
      <c r="J73" s="3218"/>
    </row>
    <row r="74" spans="1:10" s="1523" customFormat="1" ht="6" customHeight="1">
      <c r="A74" s="3218"/>
      <c r="B74" s="3218"/>
      <c r="C74" s="3218"/>
      <c r="D74" s="3218"/>
      <c r="E74" s="3218"/>
      <c r="F74" s="3218"/>
      <c r="G74" s="3218"/>
      <c r="H74" s="3218"/>
      <c r="I74" s="3218"/>
      <c r="J74" s="3218"/>
    </row>
    <row r="75" spans="1:10" ht="16.5" customHeight="1">
      <c r="A75" s="1525" t="s">
        <v>2855</v>
      </c>
      <c r="B75" s="624"/>
      <c r="C75" s="624"/>
      <c r="D75" s="1527"/>
      <c r="E75" s="624"/>
      <c r="F75" s="624"/>
      <c r="G75" s="624"/>
      <c r="H75" s="624"/>
      <c r="I75" s="624"/>
      <c r="J75" s="638"/>
    </row>
    <row r="76" spans="1:10" s="1523" customFormat="1" ht="63" customHeight="1">
      <c r="A76" s="3218" t="s">
        <v>4096</v>
      </c>
      <c r="B76" s="3218"/>
      <c r="C76" s="3218"/>
      <c r="D76" s="3218"/>
      <c r="E76" s="3218"/>
      <c r="F76" s="3218"/>
      <c r="G76" s="3218"/>
      <c r="H76" s="3218"/>
      <c r="I76" s="3218"/>
      <c r="J76" s="3218"/>
    </row>
    <row r="77" spans="1:10" s="1523" customFormat="1" ht="6" customHeight="1">
      <c r="A77" s="1521"/>
      <c r="B77" s="1521"/>
      <c r="C77" s="1521"/>
      <c r="D77" s="1521"/>
      <c r="E77" s="1521"/>
      <c r="F77" s="1521"/>
      <c r="G77" s="1521"/>
      <c r="H77" s="1521"/>
      <c r="I77" s="1521"/>
      <c r="J77" s="1521"/>
    </row>
    <row r="78" spans="1:10" ht="16.5" customHeight="1">
      <c r="A78" s="3232" t="s">
        <v>2856</v>
      </c>
      <c r="B78" s="3233"/>
      <c r="C78" s="3233"/>
      <c r="D78" s="624"/>
      <c r="E78" s="624"/>
      <c r="F78" s="624"/>
      <c r="G78" s="624"/>
      <c r="H78" s="624"/>
      <c r="I78" s="624"/>
      <c r="J78" s="638"/>
    </row>
    <row r="79" spans="1:10" ht="41.25" customHeight="1">
      <c r="A79" s="3230" t="s">
        <v>3889</v>
      </c>
      <c r="B79" s="3234"/>
      <c r="C79" s="3234"/>
      <c r="D79" s="3234"/>
      <c r="E79" s="3234"/>
      <c r="F79" s="3234"/>
      <c r="G79" s="3234"/>
      <c r="H79" s="3234"/>
      <c r="I79" s="3234"/>
      <c r="J79" s="3234"/>
    </row>
    <row r="80" spans="1:10" ht="6" customHeight="1">
      <c r="A80" s="639"/>
      <c r="B80" s="624"/>
      <c r="C80" s="624"/>
      <c r="D80" s="624"/>
      <c r="E80" s="624"/>
      <c r="F80" s="624"/>
      <c r="G80" s="624"/>
      <c r="H80" s="624"/>
      <c r="I80" s="624"/>
      <c r="J80" s="638"/>
    </row>
    <row r="81" spans="1:15">
      <c r="A81" s="625" t="s">
        <v>2857</v>
      </c>
    </row>
    <row r="82" spans="1:15" ht="124.2" customHeight="1">
      <c r="A82" s="3230" t="s">
        <v>2858</v>
      </c>
      <c r="B82" s="3230"/>
      <c r="C82" s="3230"/>
      <c r="D82" s="3230"/>
      <c r="E82" s="3230"/>
      <c r="F82" s="3230"/>
      <c r="G82" s="3230"/>
      <c r="H82" s="3230"/>
      <c r="I82" s="3230"/>
      <c r="J82" s="3230"/>
      <c r="L82" s="3223" t="s">
        <v>2859</v>
      </c>
      <c r="M82" s="3223"/>
      <c r="N82" s="3223"/>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0" t="s">
        <v>2861</v>
      </c>
      <c r="B85" s="3230"/>
      <c r="C85" s="3230"/>
      <c r="D85" s="3230"/>
      <c r="E85" s="3230"/>
      <c r="F85" s="3230"/>
      <c r="G85" s="3230"/>
      <c r="H85" s="3230"/>
      <c r="I85" s="3230"/>
      <c r="J85" s="3230"/>
      <c r="L85" s="3223" t="s">
        <v>2862</v>
      </c>
      <c r="M85" s="3223"/>
      <c r="N85" s="640" t="e">
        <f>'After-Tax Analysis'!G66</f>
        <v>#VALUE!</v>
      </c>
      <c r="O85" s="641" t="s">
        <v>2863</v>
      </c>
    </row>
    <row r="86" spans="1:15" ht="6" customHeight="1">
      <c r="A86" s="625"/>
    </row>
    <row r="87" spans="1:15">
      <c r="A87" s="625" t="s">
        <v>2864</v>
      </c>
    </row>
    <row r="88" spans="1:15" ht="118.5" customHeight="1">
      <c r="A88" s="3218" t="s">
        <v>2865</v>
      </c>
      <c r="B88" s="3218"/>
      <c r="C88" s="3218"/>
      <c r="D88" s="3218"/>
      <c r="E88" s="3218"/>
      <c r="F88" s="3218"/>
      <c r="G88" s="3218"/>
      <c r="H88" s="3218"/>
      <c r="I88" s="3218"/>
      <c r="J88" s="3218"/>
    </row>
    <row r="89" spans="1:15" ht="20.25" customHeight="1">
      <c r="A89" s="3220" t="s">
        <v>2866</v>
      </c>
      <c r="B89" s="3220"/>
      <c r="C89" s="3220"/>
      <c r="D89" s="3218"/>
      <c r="E89" s="1521"/>
      <c r="F89" s="1521"/>
      <c r="G89" s="1521"/>
      <c r="H89" s="1521"/>
      <c r="I89" s="1521"/>
      <c r="J89" s="1521"/>
    </row>
    <row r="90" spans="1:15" ht="109.5" customHeight="1">
      <c r="A90" s="3238" t="s">
        <v>2867</v>
      </c>
      <c r="B90" s="3239"/>
      <c r="C90" s="3239"/>
      <c r="D90" s="3239"/>
      <c r="E90" s="3239"/>
      <c r="F90" s="3239"/>
      <c r="G90" s="3239"/>
      <c r="H90" s="3239"/>
      <c r="I90" s="3239"/>
      <c r="J90" s="3239"/>
    </row>
    <row r="91" spans="1:15" ht="11.25" customHeight="1">
      <c r="A91" s="625"/>
    </row>
    <row r="92" spans="1:15">
      <c r="A92" s="625" t="s">
        <v>2868</v>
      </c>
    </row>
    <row r="93" spans="1:15" ht="110.4" customHeight="1">
      <c r="A93" s="3224" t="s">
        <v>2869</v>
      </c>
      <c r="B93" s="3224"/>
      <c r="C93" s="3224"/>
      <c r="D93" s="3224"/>
      <c r="E93" s="3224"/>
      <c r="F93" s="3224"/>
      <c r="G93" s="3224"/>
      <c r="H93" s="3224"/>
      <c r="I93" s="3224"/>
      <c r="J93" s="3224"/>
      <c r="L93" s="1172" t="str">
        <f>'Part VII-Pro Forma'!K71</f>
        <v/>
      </c>
      <c r="M93" s="3231" t="s">
        <v>2870</v>
      </c>
      <c r="N93" s="3231"/>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0" t="s">
        <v>2871</v>
      </c>
      <c r="B97" s="3220"/>
      <c r="C97" s="3220"/>
      <c r="D97" s="1521"/>
      <c r="E97" s="1521"/>
      <c r="F97" s="1521"/>
      <c r="G97" s="1521"/>
      <c r="H97" s="1521"/>
      <c r="I97" s="1521"/>
      <c r="J97" s="638"/>
    </row>
    <row r="98" spans="1:10" ht="37.5" customHeight="1">
      <c r="A98" s="3230" t="s">
        <v>2872</v>
      </c>
      <c r="B98" s="3230"/>
      <c r="C98" s="3230"/>
      <c r="D98" s="3230"/>
      <c r="E98" s="3230"/>
      <c r="F98" s="3230"/>
      <c r="G98" s="3230"/>
      <c r="H98" s="3230"/>
      <c r="I98" s="3230"/>
      <c r="J98" s="3230"/>
    </row>
    <row r="99" spans="1:10" ht="6" customHeight="1">
      <c r="A99" s="625"/>
    </row>
    <row r="100" spans="1:10">
      <c r="A100" s="625" t="s">
        <v>2873</v>
      </c>
    </row>
    <row r="101" spans="1:10" ht="43.5" customHeight="1">
      <c r="A101" s="3218" t="s">
        <v>2874</v>
      </c>
      <c r="B101" s="3218"/>
      <c r="C101" s="3218"/>
      <c r="D101" s="3218"/>
      <c r="E101" s="3218"/>
      <c r="F101" s="3218"/>
      <c r="G101" s="3218"/>
      <c r="H101" s="3218"/>
      <c r="I101" s="3218"/>
      <c r="J101" s="3218"/>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36" t="s">
        <v>6836</v>
      </c>
      <c r="B113" s="3236"/>
      <c r="C113" s="3236"/>
      <c r="D113" s="3236"/>
      <c r="E113" s="3237"/>
      <c r="F113" s="2022" t="s">
        <v>6837</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2020-042  Freedom's Path at Dublin</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3241"/>
      <c r="J7" s="3241"/>
      <c r="K7" s="3241"/>
      <c r="L7" s="610"/>
      <c r="M7" s="610"/>
    </row>
    <row r="8" spans="1:14" ht="15.6">
      <c r="A8" s="613" t="s">
        <v>2883</v>
      </c>
      <c r="B8" s="613"/>
      <c r="C8" s="3241" t="str">
        <f>'Part I-Project Information'!F34</f>
        <v>Freedom's Path at Dublin</v>
      </c>
      <c r="D8" s="3241"/>
      <c r="E8" s="1233" t="str">
        <f>'Part I-Project Information'!O6</f>
        <v>2020-042</v>
      </c>
      <c r="F8" s="649" t="s">
        <v>2884</v>
      </c>
      <c r="G8" s="648"/>
      <c r="H8" s="3241" t="str">
        <f>CONCATENATE('Part I-Project Information'!F38,", ",'Part I-Project Information'!J39)</f>
        <v>Dublin, Laurens</v>
      </c>
      <c r="I8" s="3241"/>
      <c r="J8" s="3241"/>
      <c r="K8" s="3241"/>
      <c r="L8" s="610"/>
      <c r="M8" s="650"/>
    </row>
    <row r="9" spans="1:14" ht="15.6">
      <c r="A9" s="613" t="s">
        <v>2886</v>
      </c>
      <c r="B9" s="613"/>
      <c r="C9" s="3241" t="s">
        <v>1727</v>
      </c>
      <c r="D9" s="3241"/>
      <c r="E9" s="648"/>
      <c r="F9" s="649" t="s">
        <v>2887</v>
      </c>
      <c r="G9" s="648"/>
      <c r="H9" s="3241" t="str">
        <f>'Part II-Development Team'!H5</f>
        <v>Dublin Veterans Residences Limited Partnership</v>
      </c>
      <c r="I9" s="3241"/>
      <c r="J9" s="3241"/>
      <c r="K9" s="3241"/>
      <c r="L9" s="3241"/>
      <c r="M9" s="650"/>
    </row>
    <row r="10" spans="1:14" ht="15.6">
      <c r="A10" s="613" t="s">
        <v>2889</v>
      </c>
      <c r="B10" s="610"/>
      <c r="C10" s="1233" t="str">
        <f>'Part II-Development Team'!H14</f>
        <v>Communities for Veterans LLC</v>
      </c>
      <c r="D10" s="648"/>
      <c r="E10" s="648"/>
      <c r="F10" s="649" t="s">
        <v>3428</v>
      </c>
      <c r="G10" s="648"/>
      <c r="H10" s="3241" t="str">
        <f>'Part II-Development Team'!H33</f>
        <v>RBC Tax Credit Equity Group</v>
      </c>
      <c r="I10" s="3241"/>
      <c r="J10" s="3241"/>
      <c r="K10" s="3241" t="str">
        <f>'Part II-Development Team'!H39</f>
        <v>RBC Tax Credit Equity Group</v>
      </c>
      <c r="L10" s="3241"/>
    </row>
    <row r="11" spans="1:14" ht="15.6">
      <c r="A11" s="613" t="s">
        <v>2890</v>
      </c>
      <c r="B11" s="610"/>
      <c r="C11" s="1233" t="str">
        <f>IF('Part II-Development Team'!H20="","",'Part II-Development Team'!H20)</f>
        <v>Garrison for Veterans</v>
      </c>
      <c r="D11" s="648"/>
      <c r="E11" s="1165" t="str">
        <f>IF('Part II-Development Team'!H26="","",'Part II-Development Team'!H26)</f>
        <v>Dublin Housing Authority</v>
      </c>
      <c r="F11" s="649" t="s">
        <v>634</v>
      </c>
      <c r="G11" s="648"/>
      <c r="H11" s="3241" t="str">
        <f>'Part II-Development Team'!H54</f>
        <v>Communities for Veterans Development LLC</v>
      </c>
      <c r="I11" s="3241"/>
      <c r="J11" s="3241"/>
      <c r="K11" s="3241" t="str">
        <f>'Part II-Development Team'!H60</f>
        <v>Garrsion for Veterans</v>
      </c>
      <c r="L11" s="3241"/>
      <c r="M11" s="3241" t="str">
        <f>'Part II-Development Team'!H66</f>
        <v>Dublin Housing Authority</v>
      </c>
      <c r="N11" s="3241"/>
    </row>
    <row r="12" spans="1:14" ht="15.6">
      <c r="A12" s="613" t="s">
        <v>2891</v>
      </c>
      <c r="B12" s="610"/>
      <c r="C12" s="1233" t="str">
        <f>'Part II-Development Team'!H86</f>
        <v>Lusk and Company</v>
      </c>
      <c r="D12" s="648"/>
      <c r="E12" s="648"/>
      <c r="F12" s="649" t="s">
        <v>2892</v>
      </c>
      <c r="G12" s="648"/>
      <c r="H12" s="3241" t="str">
        <f>'Part II-Development Team'!H92</f>
        <v>Pinnacle Living</v>
      </c>
      <c r="I12" s="3241"/>
      <c r="J12" s="3241"/>
      <c r="K12" s="3241"/>
      <c r="L12" s="610"/>
      <c r="M12" s="610"/>
    </row>
    <row r="13" spans="1:14" ht="15.6">
      <c r="A13" s="613" t="s">
        <v>2893</v>
      </c>
      <c r="B13" s="649"/>
      <c r="C13" s="609">
        <f>'Part VI-Revenues &amp; Expenses'!$P$67</f>
        <v>50</v>
      </c>
      <c r="E13" s="1166">
        <f>'Part VI-Revenues &amp; Expenses'!$P$63</f>
        <v>50</v>
      </c>
      <c r="F13" s="649" t="s">
        <v>3881</v>
      </c>
      <c r="G13" s="648"/>
      <c r="H13" s="1234">
        <f>'Part I-Project Information'!H76</f>
        <v>3</v>
      </c>
      <c r="I13" s="1167"/>
      <c r="J13" s="1167"/>
      <c r="K13" s="1234">
        <f>'Part I-Project Information'!P75</f>
        <v>40645</v>
      </c>
      <c r="L13" s="610"/>
      <c r="M13" s="610"/>
    </row>
    <row r="14" spans="1:14" ht="15.6">
      <c r="A14" s="613" t="s">
        <v>3200</v>
      </c>
      <c r="B14" s="610"/>
      <c r="C14" s="1234" t="str">
        <f>'Part I-Project Information'!H82</f>
        <v>Family</v>
      </c>
      <c r="D14" s="3241" t="str">
        <f>IF('Part I-Project Information'!N74=0,"",'Part I-Project Information'!N74)</f>
        <v/>
      </c>
      <c r="E14" s="3241"/>
      <c r="F14" s="649" t="s">
        <v>2894</v>
      </c>
      <c r="G14" s="648"/>
      <c r="H14" s="3242" t="s">
        <v>3375</v>
      </c>
      <c r="I14" s="3242"/>
      <c r="J14" s="3242"/>
      <c r="K14" s="3242" t="s">
        <v>3375</v>
      </c>
      <c r="L14" s="3242"/>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9105000</v>
      </c>
      <c r="D18" s="1212">
        <f>IF(C18=0,"",$C$29/C18)</f>
        <v>0</v>
      </c>
      <c r="E18" s="648" t="s">
        <v>3204</v>
      </c>
      <c r="F18" s="649" t="s">
        <v>3205</v>
      </c>
      <c r="G18" s="648"/>
      <c r="H18" s="3243">
        <f>'Part IV-A-Uses of Funds'!B44</f>
        <v>6077000</v>
      </c>
      <c r="I18" s="3243"/>
      <c r="J18" s="1211">
        <f>IF(H18=0,"",$C$29/H18)</f>
        <v>0</v>
      </c>
      <c r="K18" s="3241" t="s">
        <v>3206</v>
      </c>
      <c r="L18" s="3241"/>
      <c r="M18" s="610"/>
    </row>
    <row r="19" spans="1:13" ht="15.6">
      <c r="A19" s="613" t="s">
        <v>2896</v>
      </c>
      <c r="B19" s="610"/>
      <c r="C19" s="1235">
        <f>C18/C13</f>
        <v>182100</v>
      </c>
      <c r="D19" s="648"/>
      <c r="E19" s="610"/>
      <c r="F19" s="613" t="s">
        <v>2896</v>
      </c>
      <c r="G19" s="610"/>
      <c r="H19" s="3244">
        <f>H18/C13</f>
        <v>121540</v>
      </c>
      <c r="I19" s="3244"/>
      <c r="J19" s="610"/>
      <c r="K19" s="610"/>
      <c r="L19" s="610"/>
      <c r="M19" s="610"/>
    </row>
    <row r="20" spans="1:13" ht="15.6">
      <c r="A20" s="613" t="s">
        <v>2897</v>
      </c>
      <c r="B20" s="610"/>
      <c r="C20" s="1237">
        <f>C18/K13</f>
        <v>224.01279370156232</v>
      </c>
      <c r="D20" s="653"/>
      <c r="E20" s="654"/>
      <c r="F20" s="613" t="s">
        <v>2897</v>
      </c>
      <c r="G20" s="610"/>
      <c r="H20" s="3245">
        <f>H18/K13</f>
        <v>149.51408537335465</v>
      </c>
      <c r="I20" s="3244"/>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f>'Part III-Sources of Funds'!E38</f>
        <v>0</v>
      </c>
      <c r="C25" s="660">
        <f>'Part III-Sources of Funds'!I38</f>
        <v>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7812500</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v>
      </c>
      <c r="D40" s="610"/>
      <c r="E40" s="610"/>
      <c r="F40" s="613"/>
      <c r="G40" s="613" t="s">
        <v>2917</v>
      </c>
      <c r="H40" s="610"/>
      <c r="I40" s="610"/>
      <c r="K40" s="662">
        <f>C30/C18</f>
        <v>0.85804503020318501</v>
      </c>
      <c r="L40" s="610"/>
      <c r="M40" s="610"/>
    </row>
    <row r="46" spans="1:13" ht="15.6">
      <c r="A46" s="673" t="s">
        <v>2918</v>
      </c>
      <c r="B46" s="643"/>
      <c r="C46" s="643"/>
      <c r="D46" s="643"/>
      <c r="E46" s="643"/>
      <c r="F46" s="643"/>
      <c r="G46" s="643"/>
      <c r="H46" s="643"/>
      <c r="I46" s="643"/>
      <c r="J46" s="643"/>
      <c r="K46" s="643"/>
      <c r="L46" s="643"/>
      <c r="M46" s="610"/>
    </row>
    <row r="47" spans="1:13" ht="15.6">
      <c r="A47" s="673" t="str">
        <f>C8</f>
        <v>Freedom's Path at Dublin</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46" t="s">
        <v>2921</v>
      </c>
      <c r="L50" s="3247"/>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360600</v>
      </c>
      <c r="D52" s="679"/>
      <c r="E52" s="679">
        <f>$C$52</f>
        <v>360600</v>
      </c>
      <c r="F52" s="679"/>
      <c r="G52" s="679">
        <f>$C$52</f>
        <v>360600</v>
      </c>
      <c r="H52" s="679"/>
      <c r="I52" s="679">
        <f>$C$52</f>
        <v>360600</v>
      </c>
      <c r="J52" s="679"/>
      <c r="K52" s="679">
        <f>$C$52</f>
        <v>360600</v>
      </c>
      <c r="L52" s="680"/>
      <c r="M52" s="27"/>
      <c r="N52" s="27"/>
    </row>
    <row r="53" spans="1:14" s="610" customFormat="1" ht="18.75" customHeight="1">
      <c r="B53" s="678" t="s">
        <v>2925</v>
      </c>
      <c r="C53" s="679">
        <f>'Part VII-Pro Forma'!B15</f>
        <v>7212</v>
      </c>
      <c r="D53" s="679"/>
      <c r="E53" s="679">
        <f>$C$53</f>
        <v>7212</v>
      </c>
      <c r="F53" s="679"/>
      <c r="G53" s="679">
        <f>$C$53</f>
        <v>7212</v>
      </c>
      <c r="H53" s="679"/>
      <c r="I53" s="679">
        <f>$C$53</f>
        <v>7212</v>
      </c>
      <c r="J53" s="679"/>
      <c r="K53" s="679">
        <f>$C$53</f>
        <v>7212</v>
      </c>
      <c r="L53" s="680"/>
      <c r="M53" s="27"/>
      <c r="N53" s="27"/>
    </row>
    <row r="54" spans="1:14" s="610" customFormat="1" ht="18.75" customHeight="1">
      <c r="B54" s="678" t="s">
        <v>2923</v>
      </c>
      <c r="C54" s="679">
        <f>'Part VII-Pro Forma'!B16</f>
        <v>-25746.840000000004</v>
      </c>
      <c r="D54" s="679"/>
      <c r="E54" s="679">
        <f>-($C$52+E53)*F50</f>
        <v>-36781.200000000004</v>
      </c>
      <c r="F54" s="681"/>
      <c r="G54" s="679">
        <f>-($C$52+G53)*0.07</f>
        <v>-25746.840000000004</v>
      </c>
      <c r="H54" s="679"/>
      <c r="I54" s="679">
        <f>-($C$52+I53)*0.07</f>
        <v>-25746.840000000004</v>
      </c>
      <c r="J54" s="679"/>
      <c r="K54" s="679">
        <f>-($C$52+K53)*L54</f>
        <v>-36781.200000000004</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342065.16</v>
      </c>
      <c r="D56" s="679"/>
      <c r="E56" s="685">
        <f>SUM(E52:E55)</f>
        <v>331030.8</v>
      </c>
      <c r="F56" s="679"/>
      <c r="G56" s="685">
        <f>SUM(G52:G55)</f>
        <v>342065.16</v>
      </c>
      <c r="H56" s="679"/>
      <c r="I56" s="685">
        <f>SUM(I52:I55)</f>
        <v>342065.16</v>
      </c>
      <c r="J56" s="679"/>
      <c r="K56" s="685">
        <f>SUM(K52:K55)</f>
        <v>331030.8</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104400</v>
      </c>
      <c r="D58" s="679"/>
      <c r="E58" s="679">
        <f>$C$58</f>
        <v>104400</v>
      </c>
      <c r="F58" s="679"/>
      <c r="G58" s="679">
        <f>$C$58</f>
        <v>104400</v>
      </c>
      <c r="H58" s="679"/>
      <c r="I58" s="679">
        <f>$C$58</f>
        <v>104400</v>
      </c>
      <c r="J58" s="679"/>
      <c r="K58" s="679">
        <f>$C$58</f>
        <v>104400</v>
      </c>
      <c r="L58" s="680"/>
      <c r="M58" s="27"/>
      <c r="N58" s="27"/>
    </row>
    <row r="59" spans="1:14" s="610" customFormat="1" ht="18.75" customHeight="1">
      <c r="B59" s="678" t="s">
        <v>2928</v>
      </c>
      <c r="C59" s="679">
        <f>+'Part VI-Revenues &amp; Expenses'!F246</f>
        <v>27000</v>
      </c>
      <c r="D59" s="679"/>
      <c r="E59" s="679">
        <f>$C$59</f>
        <v>27000</v>
      </c>
      <c r="F59" s="679"/>
      <c r="G59" s="679">
        <f>$C$59</f>
        <v>27000</v>
      </c>
      <c r="H59" s="679"/>
      <c r="I59" s="679">
        <f>$C$59</f>
        <v>27000</v>
      </c>
      <c r="J59" s="679"/>
      <c r="K59" s="679">
        <f>$C$59*(1+$L$59)</f>
        <v>28080</v>
      </c>
      <c r="L59" s="687">
        <v>0.04</v>
      </c>
      <c r="M59" s="27"/>
      <c r="N59" s="27"/>
    </row>
    <row r="60" spans="1:14" s="610" customFormat="1" ht="18.75" customHeight="1">
      <c r="B60" s="678" t="s">
        <v>1348</v>
      </c>
      <c r="C60" s="679">
        <f>+'Part VI-Revenues &amp; Expenses'!L239</f>
        <v>60000</v>
      </c>
      <c r="D60" s="679"/>
      <c r="E60" s="679">
        <f>$C$60</f>
        <v>60000</v>
      </c>
      <c r="F60" s="679"/>
      <c r="G60" s="679">
        <f>$C$60</f>
        <v>60000</v>
      </c>
      <c r="H60" s="679"/>
      <c r="I60" s="679">
        <f>$C$60*(1+$J$50)</f>
        <v>61800</v>
      </c>
      <c r="J60" s="681"/>
      <c r="K60" s="679">
        <f>$C$60*(1+$J$50)</f>
        <v>61800</v>
      </c>
      <c r="L60" s="682">
        <v>0.03</v>
      </c>
      <c r="M60" s="27"/>
      <c r="N60" s="27"/>
    </row>
    <row r="61" spans="1:14" s="610" customFormat="1" ht="18.75" customHeight="1">
      <c r="B61" s="678" t="s">
        <v>1349</v>
      </c>
      <c r="C61" s="679">
        <f>+'Part VI-Revenues &amp; Expenses'!L246</f>
        <v>24000</v>
      </c>
      <c r="D61" s="679"/>
      <c r="E61" s="679">
        <f>$C$61</f>
        <v>24000</v>
      </c>
      <c r="F61" s="679"/>
      <c r="G61" s="679">
        <f>$C$61*(1+H50)</f>
        <v>25200</v>
      </c>
      <c r="H61" s="681"/>
      <c r="I61" s="679">
        <f>$C$61</f>
        <v>24000</v>
      </c>
      <c r="J61" s="679"/>
      <c r="K61" s="679">
        <f>$C$61*(1+$L$61)</f>
        <v>25200</v>
      </c>
      <c r="L61" s="682">
        <v>0.05</v>
      </c>
      <c r="M61" s="27"/>
      <c r="N61" s="27"/>
    </row>
    <row r="62" spans="1:14" s="610" customFormat="1" ht="18.75" customHeight="1">
      <c r="B62" s="684" t="s">
        <v>2929</v>
      </c>
      <c r="C62" s="685">
        <f>SUM(C58:C61)</f>
        <v>215400</v>
      </c>
      <c r="D62" s="679"/>
      <c r="E62" s="685">
        <f>SUM(E58:E61)</f>
        <v>215400</v>
      </c>
      <c r="F62" s="679"/>
      <c r="G62" s="685">
        <f>SUM(G58:G61)</f>
        <v>216600</v>
      </c>
      <c r="H62" s="679"/>
      <c r="I62" s="685">
        <f>SUM(I58:I61)</f>
        <v>217200</v>
      </c>
      <c r="J62" s="679"/>
      <c r="K62" s="685">
        <f>SUM(K58:K61)</f>
        <v>219480</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126665.15999999997</v>
      </c>
      <c r="D64" s="691"/>
      <c r="E64" s="691">
        <f>E56-E62</f>
        <v>115630.79999999999</v>
      </c>
      <c r="F64" s="691"/>
      <c r="G64" s="691">
        <f>G56-G62</f>
        <v>125465.15999999997</v>
      </c>
      <c r="H64" s="691"/>
      <c r="I64" s="691">
        <f>I56-I62</f>
        <v>124865.15999999997</v>
      </c>
      <c r="J64" s="691"/>
      <c r="K64" s="691">
        <f>K56-K62</f>
        <v>111550.79999999999</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19980</v>
      </c>
      <c r="D66" s="686"/>
      <c r="E66" s="686">
        <f>$C$66</f>
        <v>19980</v>
      </c>
      <c r="F66" s="686"/>
      <c r="G66" s="686">
        <f>$C$66</f>
        <v>19980</v>
      </c>
      <c r="H66" s="686"/>
      <c r="I66" s="686">
        <f>$C$66</f>
        <v>19980</v>
      </c>
      <c r="J66" s="686"/>
      <c r="K66" s="686">
        <f>$C$66</f>
        <v>19980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17103</v>
      </c>
      <c r="D68" s="686"/>
      <c r="E68" s="686">
        <f>$C$68</f>
        <v>17103</v>
      </c>
      <c r="F68" s="686"/>
      <c r="G68" s="686">
        <f>$C$68</f>
        <v>17103</v>
      </c>
      <c r="H68" s="686"/>
      <c r="I68" s="686">
        <f>$C$68</f>
        <v>17103</v>
      </c>
      <c r="J68" s="686"/>
      <c r="K68" s="686">
        <f>$C$68</f>
        <v>17103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89582.159999999974</v>
      </c>
      <c r="D70" s="695"/>
      <c r="E70" s="694">
        <f>E64-E66-E68</f>
        <v>78547.799999999988</v>
      </c>
      <c r="F70" s="695"/>
      <c r="G70" s="694">
        <f>G64-G66-G68</f>
        <v>88382.159999999974</v>
      </c>
      <c r="H70" s="695"/>
      <c r="I70" s="694">
        <f>I64-I66-I68</f>
        <v>87782.159999999974</v>
      </c>
      <c r="J70" s="695"/>
      <c r="K70" s="694">
        <f>K64-K66-K68</f>
        <v>74467.799999999988</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2935</v>
      </c>
      <c r="C73" s="1214">
        <f>C76/C62</f>
        <v>0.4158874651810584</v>
      </c>
      <c r="D73" s="699"/>
      <c r="E73" s="1214">
        <f>E76/E62</f>
        <v>0.36466016713091914</v>
      </c>
      <c r="F73" s="699"/>
      <c r="G73" s="1214">
        <f>G76/G62</f>
        <v>0.40804321329639875</v>
      </c>
      <c r="H73" s="699"/>
      <c r="I73" s="1214">
        <f>I76/I62</f>
        <v>0.40415359116022087</v>
      </c>
      <c r="J73" s="699"/>
      <c r="K73" s="1214">
        <f>K76/K62</f>
        <v>0.33929196282121371</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89582.159999999974</v>
      </c>
      <c r="D76" s="679"/>
      <c r="E76" s="679">
        <f>E70+E75</f>
        <v>78547.799999999988</v>
      </c>
      <c r="F76" s="679"/>
      <c r="G76" s="679">
        <f>G70+G75</f>
        <v>88382.159999999974</v>
      </c>
      <c r="H76" s="679"/>
      <c r="I76" s="679">
        <f>I70+I75</f>
        <v>87782.159999999974</v>
      </c>
      <c r="J76" s="679"/>
      <c r="K76" s="679">
        <f>K70+K75</f>
        <v>74467.799999999988</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3845</v>
      </c>
    </row>
    <row r="3" spans="1:7" ht="3" customHeight="1"/>
    <row r="4" spans="1:7">
      <c r="A4" s="1150" t="s">
        <v>3846</v>
      </c>
      <c r="B4" s="1151">
        <f>+'Part IV-A-Uses of Funds'!$G$132</f>
        <v>9105000</v>
      </c>
    </row>
    <row r="5" spans="1:7">
      <c r="A5" s="1150" t="s">
        <v>3877</v>
      </c>
      <c r="B5" s="1151">
        <f>+B18+B26+B38</f>
        <v>1215563</v>
      </c>
    </row>
    <row r="6" spans="1:7">
      <c r="A6" s="1150" t="s">
        <v>3847</v>
      </c>
      <c r="B6" s="1152">
        <f>+B5-B4</f>
        <v>-7889437</v>
      </c>
    </row>
    <row r="7" spans="1:7">
      <c r="A7" s="1150" t="s">
        <v>3848</v>
      </c>
      <c r="B7" s="1153">
        <f>+B6/B4</f>
        <v>-0.86649500274574409</v>
      </c>
    </row>
    <row r="8" spans="1:7" ht="9" customHeight="1"/>
    <row r="9" spans="1:7">
      <c r="A9" s="1150" t="s">
        <v>3849</v>
      </c>
      <c r="B9" s="1151">
        <f>+B18+B26+B33</f>
        <v>0</v>
      </c>
    </row>
    <row r="10" spans="1:7">
      <c r="A10" s="1150" t="s">
        <v>3847</v>
      </c>
      <c r="B10" s="1152">
        <f>+B9-B4</f>
        <v>-9105000</v>
      </c>
    </row>
    <row r="11" spans="1:7">
      <c r="A11" s="1150" t="s">
        <v>3848</v>
      </c>
      <c r="B11" s="1153">
        <f>+B10/B4</f>
        <v>-1</v>
      </c>
    </row>
    <row r="12" spans="1:7" ht="24" customHeight="1"/>
    <row r="13" spans="1:7">
      <c r="A13" s="1149" t="s">
        <v>3850</v>
      </c>
      <c r="D13" s="1219" t="s">
        <v>4106</v>
      </c>
      <c r="E13" s="1220"/>
    </row>
    <row r="14" spans="1:7">
      <c r="A14" s="1150" t="s">
        <v>3851</v>
      </c>
      <c r="B14" s="1154">
        <f>+SUM('Part III-Sources of Funds'!L49:M50)</f>
        <v>7812500</v>
      </c>
      <c r="D14" s="1220"/>
      <c r="E14" s="1220"/>
    </row>
    <row r="15" spans="1:7">
      <c r="A15" s="1150" t="s">
        <v>3852</v>
      </c>
      <c r="B15" s="1155">
        <f>+'Part IV-A-Uses of Funds'!J173</f>
        <v>788943.7</v>
      </c>
      <c r="D15" s="1220" t="s">
        <v>1996</v>
      </c>
      <c r="G15" s="1221">
        <f>'Part IV-A-Uses of Funds'!J155</f>
        <v>1303953</v>
      </c>
    </row>
    <row r="16" spans="1:7" ht="12.75" customHeight="1">
      <c r="D16" s="1220" t="s">
        <v>4107</v>
      </c>
      <c r="G16" s="1225">
        <v>3.2800000000000003E-2</v>
      </c>
    </row>
    <row r="17" spans="1:7" ht="12.75" customHeight="1">
      <c r="A17" s="1150" t="s">
        <v>3853</v>
      </c>
      <c r="B17" s="1224">
        <v>1.45</v>
      </c>
      <c r="D17" s="1220" t="s">
        <v>4108</v>
      </c>
      <c r="G17" s="1226">
        <v>1.45</v>
      </c>
    </row>
    <row r="18" spans="1:7" ht="12.75" customHeight="1">
      <c r="A18" s="1150" t="s">
        <v>3854</v>
      </c>
      <c r="B18" s="1156">
        <f>+'Part IV-A-Uses of Funds'!J183*B17*10</f>
        <v>0</v>
      </c>
      <c r="D18" s="1220" t="s">
        <v>4109</v>
      </c>
      <c r="G18" s="1226">
        <v>3.28</v>
      </c>
    </row>
    <row r="19" spans="1:7" ht="12.75" customHeight="1">
      <c r="D19" s="1220" t="s">
        <v>4110</v>
      </c>
      <c r="G19" s="1222">
        <f>+G15*G16*G17*10</f>
        <v>620160.04680000001</v>
      </c>
    </row>
    <row r="20" spans="1:7">
      <c r="A20" s="1150" t="s">
        <v>3855</v>
      </c>
      <c r="B20" s="1154">
        <f>+B18-B14</f>
        <v>-7812500</v>
      </c>
      <c r="D20" s="1220" t="s">
        <v>4111</v>
      </c>
      <c r="G20" s="1223">
        <f>+B14-G19</f>
        <v>7192339.9532000003</v>
      </c>
    </row>
    <row r="21" spans="1:7">
      <c r="A21" s="1150" t="s">
        <v>3856</v>
      </c>
      <c r="B21" s="1153">
        <f>+B20/B14</f>
        <v>-1</v>
      </c>
      <c r="D21" s="1220" t="s">
        <v>4112</v>
      </c>
      <c r="G21" s="1220" t="str">
        <f>+IF(G20&gt;(B28+B35),"No","Yes")</f>
        <v>No</v>
      </c>
    </row>
    <row r="22" spans="1:7" ht="24" customHeight="1"/>
    <row r="23" spans="1:7">
      <c r="A23" s="1149" t="s">
        <v>3857</v>
      </c>
    </row>
    <row r="24" spans="1:7">
      <c r="A24" s="1150" t="s">
        <v>3858</v>
      </c>
      <c r="B24" s="1157">
        <f>+SUM('Part III-Sources of Funds'!I38:J41)</f>
        <v>0</v>
      </c>
    </row>
    <row r="25" spans="1:7">
      <c r="A25" s="1150" t="s">
        <v>3859</v>
      </c>
      <c r="B25" s="1158">
        <f>IF('Part III-Sources of Funds'!E5="Yes","N/A",MAX(B46:P46))</f>
        <v>-67701.682242395167</v>
      </c>
    </row>
    <row r="26" spans="1:7">
      <c r="A26" s="1150" t="s">
        <v>3860</v>
      </c>
      <c r="B26" s="1148">
        <f>IFERROR(PV('Part III-Sources of Funds'!K38,'Part III-Sources of Funds'!L38,B25+B45),B24)</f>
        <v>0</v>
      </c>
    </row>
    <row r="27" spans="1:7" ht="9" customHeight="1">
      <c r="B27" s="1148"/>
    </row>
    <row r="28" spans="1:7">
      <c r="A28" s="1150" t="s">
        <v>3861</v>
      </c>
      <c r="B28" s="1159">
        <f>+B26-B24</f>
        <v>0</v>
      </c>
      <c r="C28" s="1160"/>
    </row>
    <row r="29" spans="1:7">
      <c r="A29" s="1150" t="s">
        <v>3856</v>
      </c>
      <c r="B29" s="1161" t="e">
        <f>+B28/B24</f>
        <v>#DIV/0!</v>
      </c>
    </row>
    <row r="30" spans="1:7" ht="24" customHeight="1"/>
    <row r="31" spans="1:7">
      <c r="A31" s="1149" t="s">
        <v>3770</v>
      </c>
    </row>
    <row r="32" spans="1:7">
      <c r="A32" s="1150" t="s">
        <v>3862</v>
      </c>
      <c r="B32" s="1162">
        <f>+'Part III-Sources of Funds'!I43</f>
        <v>76937</v>
      </c>
    </row>
    <row r="33" spans="1:11">
      <c r="A33" s="1150" t="s">
        <v>3863</v>
      </c>
      <c r="B33" s="1148"/>
    </row>
    <row r="34" spans="1:11" ht="9" customHeight="1">
      <c r="B34" s="1148"/>
    </row>
    <row r="35" spans="1:11">
      <c r="A35" s="1150" t="s">
        <v>3864</v>
      </c>
      <c r="B35" s="1162">
        <f>+B33-B32</f>
        <v>-76937</v>
      </c>
    </row>
    <row r="36" spans="1:11">
      <c r="A36" s="1150" t="s">
        <v>3865</v>
      </c>
      <c r="B36" s="1147">
        <f>+B35/B32</f>
        <v>-1</v>
      </c>
    </row>
    <row r="37" spans="1:11" ht="24" customHeight="1">
      <c r="B37" s="1148"/>
    </row>
    <row r="38" spans="1:11">
      <c r="A38" s="1149" t="s">
        <v>3866</v>
      </c>
      <c r="B38" s="1148">
        <f>+SUM('Part III-Sources of Funds'!I42,'Part III-Sources of Funds'!I47,'Part III-Sources of Funds'!I48,'Part III-Sources of Funds'!I51:I57)</f>
        <v>1215563</v>
      </c>
    </row>
    <row r="39" spans="1:11">
      <c r="B39" s="1148"/>
    </row>
    <row r="40" spans="1:11">
      <c r="B40" s="1148"/>
    </row>
    <row r="41" spans="1:11">
      <c r="B41" s="1148"/>
    </row>
    <row r="42" spans="1:11">
      <c r="A42" s="1149" t="s">
        <v>3867</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89582.159999999974</v>
      </c>
      <c r="C44" s="1151">
        <f>+'Part VII-Pro Forma'!C24</f>
        <v>89020.063200000004</v>
      </c>
      <c r="D44" s="1151">
        <f>+'Part VII-Pro Forma'!D24</f>
        <v>88375.950463999994</v>
      </c>
      <c r="E44" s="1151">
        <f>+'Part VII-Pro Forma'!E24</f>
        <v>87646.203053279954</v>
      </c>
      <c r="F44" s="1151">
        <f>+'Part VII-Pro Forma'!F24</f>
        <v>86827.066301745595</v>
      </c>
      <c r="G44" s="1151">
        <f>+'Part VII-Pro Forma'!G24</f>
        <v>85914.644990802553</v>
      </c>
      <c r="H44" s="1151">
        <f>+'Part VII-Pro Forma'!H24</f>
        <v>84903.898574531253</v>
      </c>
      <c r="I44" s="1151">
        <f>+'Part VII-Pro Forma'!I24</f>
        <v>83791.63625045176</v>
      </c>
      <c r="J44" s="1151">
        <f>+'Part VII-Pro Forma'!J24</f>
        <v>82572.511871023831</v>
      </c>
      <c r="K44" s="1151">
        <f>+'Part VII-Pro Forma'!K24</f>
        <v>81242.018690874189</v>
      </c>
    </row>
    <row r="45" spans="1:11">
      <c r="A45" s="1150" t="s">
        <v>3868</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3869</v>
      </c>
      <c r="B46" s="1152">
        <f t="shared" ref="B46:K46" si="0">-B44/B48-B45</f>
        <v>-74651.799999999988</v>
      </c>
      <c r="C46" s="1152">
        <f t="shared" si="0"/>
        <v>-74183.386000000013</v>
      </c>
      <c r="D46" s="1152">
        <f t="shared" si="0"/>
        <v>-73646.625386666667</v>
      </c>
      <c r="E46" s="1152">
        <f t="shared" si="0"/>
        <v>-73038.502544399962</v>
      </c>
      <c r="F46" s="1152">
        <f t="shared" si="0"/>
        <v>-72355.888584788001</v>
      </c>
      <c r="G46" s="1152">
        <f t="shared" si="0"/>
        <v>-71595.537492335468</v>
      </c>
      <c r="H46" s="1152">
        <f t="shared" si="0"/>
        <v>-70753.248812109377</v>
      </c>
      <c r="I46" s="1152">
        <f t="shared" si="0"/>
        <v>-69826.363542043138</v>
      </c>
      <c r="J46" s="1152">
        <f t="shared" si="0"/>
        <v>-68810.426559186526</v>
      </c>
      <c r="K46" s="1152">
        <f t="shared" si="0"/>
        <v>-67701.682242395167</v>
      </c>
    </row>
    <row r="48" spans="1:11">
      <c r="A48" s="1150" t="s">
        <v>3870</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89582.159999999974</v>
      </c>
      <c r="C51" s="1152">
        <f t="shared" ref="C51:K51" si="2">+C44</f>
        <v>89020.063200000004</v>
      </c>
      <c r="D51" s="1152">
        <f t="shared" si="2"/>
        <v>88375.950463999994</v>
      </c>
      <c r="E51" s="1152">
        <f t="shared" si="2"/>
        <v>87646.203053279954</v>
      </c>
      <c r="F51" s="1152">
        <f t="shared" si="2"/>
        <v>86827.066301745595</v>
      </c>
      <c r="G51" s="1152">
        <f t="shared" si="2"/>
        <v>85914.644990802553</v>
      </c>
      <c r="H51" s="1152">
        <f t="shared" si="2"/>
        <v>84903.898574531253</v>
      </c>
      <c r="I51" s="1152">
        <f t="shared" si="2"/>
        <v>83791.63625045176</v>
      </c>
      <c r="J51" s="1152">
        <f t="shared" si="2"/>
        <v>82572.511871023831</v>
      </c>
      <c r="K51" s="1152">
        <f t="shared" si="2"/>
        <v>81242.018690874189</v>
      </c>
    </row>
    <row r="52" spans="1:17">
      <c r="A52" s="1150" t="s">
        <v>3871</v>
      </c>
      <c r="B52" s="1152">
        <f>IF($B$25="N/A",B45,B45+$B$25)</f>
        <v>-67701.682242395167</v>
      </c>
      <c r="C52" s="1152">
        <f t="shared" ref="C52:K52" si="3">IF($B$25="N/A",C45,C45+$B$25)</f>
        <v>-67701.682242395167</v>
      </c>
      <c r="D52" s="1152">
        <f t="shared" si="3"/>
        <v>-67701.682242395167</v>
      </c>
      <c r="E52" s="1152">
        <f t="shared" si="3"/>
        <v>-67701.682242395167</v>
      </c>
      <c r="F52" s="1152">
        <f t="shared" si="3"/>
        <v>-67701.682242395167</v>
      </c>
      <c r="G52" s="1152">
        <f t="shared" si="3"/>
        <v>-67701.682242395167</v>
      </c>
      <c r="H52" s="1152">
        <f t="shared" si="3"/>
        <v>-67701.682242395167</v>
      </c>
      <c r="I52" s="1152">
        <f t="shared" si="3"/>
        <v>-67701.682242395167</v>
      </c>
      <c r="J52" s="1152">
        <f t="shared" si="3"/>
        <v>-67701.682242395167</v>
      </c>
      <c r="K52" s="1152">
        <f t="shared" si="3"/>
        <v>-67701.682242395167</v>
      </c>
    </row>
    <row r="53" spans="1:17">
      <c r="A53" s="1150" t="s">
        <v>3872</v>
      </c>
      <c r="B53" s="1151">
        <f>+'Part VII-Pro Forma'!B30</f>
        <v>-5000</v>
      </c>
      <c r="C53" s="1151">
        <f>+'Part VII-Pro Forma'!C30</f>
        <v>-5150</v>
      </c>
      <c r="D53" s="1151">
        <f>+'Part VII-Pro Forma'!D30</f>
        <v>-5304.5</v>
      </c>
      <c r="E53" s="1151">
        <f>+'Part VII-Pro Forma'!E30</f>
        <v>-5463.6350000000002</v>
      </c>
      <c r="F53" s="1151">
        <f>+'Part VII-Pro Forma'!F30</f>
        <v>-5627.5440500000004</v>
      </c>
      <c r="G53" s="1151">
        <f>+'Part VII-Pro Forma'!G30</f>
        <v>-5796.3703715000001</v>
      </c>
      <c r="H53" s="1151">
        <f>+'Part VII-Pro Forma'!H30</f>
        <v>-5970.2614826449999</v>
      </c>
      <c r="I53" s="1151">
        <f>+'Part VII-Pro Forma'!I30</f>
        <v>-6149.3693271243501</v>
      </c>
      <c r="J53" s="1151">
        <f>+'Part VII-Pro Forma'!J30</f>
        <v>-6333.8504069380806</v>
      </c>
      <c r="K53" s="1151">
        <f>+'Part VII-Pro Forma'!K30</f>
        <v>-6523.865919146223</v>
      </c>
    </row>
    <row r="54" spans="1:17">
      <c r="A54" s="1150" t="s">
        <v>3873</v>
      </c>
      <c r="B54" s="1152">
        <f>+SUM(B51:B53)</f>
        <v>16880.477757604807</v>
      </c>
      <c r="C54" s="1152">
        <f t="shared" ref="C54:K54" si="4">+SUM(C51:C53)</f>
        <v>16168.380957604837</v>
      </c>
      <c r="D54" s="1152">
        <f t="shared" si="4"/>
        <v>15369.768221604827</v>
      </c>
      <c r="E54" s="1152">
        <f t="shared" si="4"/>
        <v>14480.885810884787</v>
      </c>
      <c r="F54" s="1152">
        <f t="shared" si="4"/>
        <v>13497.840009350428</v>
      </c>
      <c r="G54" s="1152">
        <f t="shared" si="4"/>
        <v>12416.592376907385</v>
      </c>
      <c r="H54" s="1152">
        <f t="shared" si="4"/>
        <v>11231.954849491085</v>
      </c>
      <c r="I54" s="1152">
        <f t="shared" si="4"/>
        <v>9940.5846809322429</v>
      </c>
      <c r="J54" s="1152">
        <f t="shared" si="4"/>
        <v>8536.9792216905844</v>
      </c>
      <c r="K54" s="1152">
        <f t="shared" si="4"/>
        <v>7016.4705293327988</v>
      </c>
    </row>
    <row r="55" spans="1:17">
      <c r="A55" s="1150" t="s">
        <v>3770</v>
      </c>
      <c r="B55" s="1152">
        <f>-B54</f>
        <v>-16880.477757604807</v>
      </c>
      <c r="C55" s="1152">
        <f t="shared" ref="C55:K55" si="5">-C54</f>
        <v>-16168.380957604837</v>
      </c>
      <c r="D55" s="1152">
        <f t="shared" si="5"/>
        <v>-15369.768221604827</v>
      </c>
      <c r="E55" s="1152">
        <f t="shared" si="5"/>
        <v>-14480.885810884787</v>
      </c>
      <c r="F55" s="1152">
        <f t="shared" si="5"/>
        <v>-13497.840009350428</v>
      </c>
      <c r="G55" s="1152">
        <f t="shared" si="5"/>
        <v>-12416.592376907385</v>
      </c>
      <c r="H55" s="1152">
        <f t="shared" si="5"/>
        <v>-11231.954849491085</v>
      </c>
      <c r="I55" s="1152">
        <f t="shared" si="5"/>
        <v>-9940.5846809322429</v>
      </c>
      <c r="J55" s="1152">
        <f t="shared" si="5"/>
        <v>-8536.9792216905844</v>
      </c>
      <c r="K55" s="1152">
        <f t="shared" si="5"/>
        <v>-7016.4705293327988</v>
      </c>
    </row>
    <row r="56" spans="1:17">
      <c r="A56" s="1150" t="s">
        <v>3874</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3875</v>
      </c>
      <c r="B58" s="1151">
        <f>IF($B$26="","",-FV('Part III-Sources of Funds'!$K$38/12,12,B52/12,B26))</f>
        <v>-67701.682242395167</v>
      </c>
      <c r="C58" s="1151">
        <f>IF($B$26="","",-FV('Part III-Sources of Funds'!$K$38/12,12,C52/12,B58))</f>
        <v>-135403.36448479033</v>
      </c>
      <c r="D58" s="1151">
        <f>IF($B$26="","",-FV('Part III-Sources of Funds'!$K$38/12,12,D52/12,C58))</f>
        <v>-203105.04672718549</v>
      </c>
      <c r="E58" s="1151">
        <f>IF($B$26="","",-FV('Part III-Sources of Funds'!$K$38/12,12,E52/12,D58))</f>
        <v>-270806.72896958067</v>
      </c>
      <c r="F58" s="1151">
        <f>IF($B$26="","",-FV('Part III-Sources of Funds'!$K$38/12,12,F52/12,E58))</f>
        <v>-338508.41121197585</v>
      </c>
      <c r="G58" s="1151">
        <f>IF($B$26="","",-FV('Part III-Sources of Funds'!$K$38/12,12,G52/12,F58))</f>
        <v>-406210.09345437103</v>
      </c>
      <c r="H58" s="1151">
        <f>IF($B$26="","",-FV('Part III-Sources of Funds'!$K$38/12,12,H52/12,G58))</f>
        <v>-473911.77569676621</v>
      </c>
      <c r="I58" s="1151">
        <f>IF($B$26="","",-FV('Part III-Sources of Funds'!$K$38/12,12,I52/12,H58))</f>
        <v>-541613.45793916134</v>
      </c>
      <c r="J58" s="1151">
        <f>IF($B$26="","",-FV('Part III-Sources of Funds'!$K$38/12,12,J52/12,I58))</f>
        <v>-609315.14018155646</v>
      </c>
      <c r="K58" s="1151">
        <f>IF($B$26="","",-FV('Part III-Sources of Funds'!$K$38/12,12,K52/12,J58))</f>
        <v>-677016.82242395158</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3867</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79795.483944594438</v>
      </c>
      <c r="C64" s="1151">
        <f>+'Part VII-Pro Forma'!C56</f>
        <v>78228.063249786006</v>
      </c>
      <c r="D64" s="1151">
        <f>+'Part VII-Pro Forma'!D56</f>
        <v>76534.734829870635</v>
      </c>
      <c r="E64" s="1151">
        <f>+'Part VII-Pro Forma'!E56</f>
        <v>74709.293551009527</v>
      </c>
      <c r="F64" s="1151">
        <f>+'Part VII-Pro Forma'!F56</f>
        <v>72747.344767307412</v>
      </c>
      <c r="G64" s="1151">
        <f>+'Part VII-Pro Forma'!G56</f>
        <v>70641.297968289495</v>
      </c>
      <c r="H64" s="1151">
        <f>+'Part VII-Pro Forma'!H56</f>
        <v>68387.360222460542</v>
      </c>
      <c r="I64" s="1151">
        <f>+'Part VII-Pro Forma'!I56</f>
        <v>65977.529410559044</v>
      </c>
      <c r="J64" s="1151">
        <f>+'Part VII-Pro Forma'!J56</f>
        <v>63406.58724192893</v>
      </c>
      <c r="K64" s="1151">
        <f>+'Part VII-Pro Forma'!K56</f>
        <v>60668.092047220998</v>
      </c>
    </row>
    <row r="65" spans="1:11">
      <c r="A65" s="1150" t="s">
        <v>3868</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3869</v>
      </c>
      <c r="B66" s="1152">
        <f t="shared" ref="B66:K66" si="7">-B64/B68-B65</f>
        <v>-66496.236620495372</v>
      </c>
      <c r="C66" s="1152">
        <f t="shared" si="7"/>
        <v>-65190.05270815501</v>
      </c>
      <c r="D66" s="1152">
        <f t="shared" si="7"/>
        <v>-63778.945691558867</v>
      </c>
      <c r="E66" s="1152">
        <f t="shared" si="7"/>
        <v>-62257.744625841275</v>
      </c>
      <c r="F66" s="1152">
        <f t="shared" si="7"/>
        <v>-60622.787306089514</v>
      </c>
      <c r="G66" s="1152">
        <f t="shared" si="7"/>
        <v>-58867.748306907917</v>
      </c>
      <c r="H66" s="1152">
        <f t="shared" si="7"/>
        <v>-56989.466852050457</v>
      </c>
      <c r="I66" s="1152">
        <f t="shared" si="7"/>
        <v>-54981.274508799208</v>
      </c>
      <c r="J66" s="1152">
        <f t="shared" si="7"/>
        <v>-52838.822701607445</v>
      </c>
      <c r="K66" s="1152">
        <f t="shared" si="7"/>
        <v>-50556.74337268417</v>
      </c>
    </row>
    <row r="68" spans="1:11">
      <c r="A68" s="1150" t="s">
        <v>3870</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79795.483944594438</v>
      </c>
      <c r="C71" s="1152">
        <f t="shared" si="9"/>
        <v>78228.063249786006</v>
      </c>
      <c r="D71" s="1152">
        <f t="shared" si="9"/>
        <v>76534.734829870635</v>
      </c>
      <c r="E71" s="1152">
        <f t="shared" si="9"/>
        <v>74709.293551009527</v>
      </c>
      <c r="F71" s="1152">
        <f t="shared" si="9"/>
        <v>72747.344767307412</v>
      </c>
      <c r="G71" s="1152">
        <f t="shared" si="9"/>
        <v>70641.297968289495</v>
      </c>
      <c r="H71" s="1152">
        <f>+H64</f>
        <v>68387.360222460542</v>
      </c>
      <c r="I71" s="1152">
        <f>+I64</f>
        <v>65977.529410559044</v>
      </c>
      <c r="J71" s="1152">
        <f>+J64</f>
        <v>63406.58724192893</v>
      </c>
      <c r="K71" s="1152">
        <f>+K64</f>
        <v>60668.092047220998</v>
      </c>
    </row>
    <row r="72" spans="1:11">
      <c r="A72" s="1150" t="s">
        <v>3871</v>
      </c>
      <c r="B72" s="1152">
        <f t="shared" ref="B72:G72" si="10">IF($B$25="N/A",B65,B65+$B$25)</f>
        <v>-67701.682242395167</v>
      </c>
      <c r="C72" s="1152">
        <f t="shared" si="10"/>
        <v>-67701.682242395167</v>
      </c>
      <c r="D72" s="1152">
        <f t="shared" si="10"/>
        <v>-67701.682242395167</v>
      </c>
      <c r="E72" s="1152">
        <f t="shared" si="10"/>
        <v>-67701.682242395167</v>
      </c>
      <c r="F72" s="1152">
        <f t="shared" si="10"/>
        <v>-67701.682242395167</v>
      </c>
      <c r="G72" s="1152">
        <f t="shared" si="10"/>
        <v>-67701.682242395167</v>
      </c>
      <c r="H72" s="1152">
        <f>IF($B$25="N/A",H65,H65+$B$25)</f>
        <v>-67701.682242395167</v>
      </c>
      <c r="I72" s="1152">
        <f>IF($B$25="N/A",I65,I65+$B$25)</f>
        <v>-67701.682242395167</v>
      </c>
      <c r="J72" s="1152">
        <f>IF($B$25="N/A",J65,J65+$B$25)</f>
        <v>-67701.682242395167</v>
      </c>
      <c r="K72" s="1152">
        <f>IF($B$25="N/A",K65,K65+$B$25)</f>
        <v>-67701.682242395167</v>
      </c>
    </row>
    <row r="73" spans="1:11">
      <c r="A73" s="1150" t="s">
        <v>3872</v>
      </c>
      <c r="B73" s="1151">
        <f>+'Part VII-Pro Forma'!B62</f>
        <v>-6719.5818967206096</v>
      </c>
      <c r="C73" s="1151">
        <f>+'Part VII-Pro Forma'!C62</f>
        <v>-6921.1693536222283</v>
      </c>
      <c r="D73" s="1151">
        <f>+'Part VII-Pro Forma'!D62</f>
        <v>-7128.8044342308949</v>
      </c>
      <c r="E73" s="1151">
        <f>+'Part VII-Pro Forma'!E62</f>
        <v>-7342.6685672578224</v>
      </c>
      <c r="F73" s="1151">
        <f>+'Part VII-Pro Forma'!F62</f>
        <v>-7562.9486242755574</v>
      </c>
      <c r="G73" s="1151">
        <f>+'Part VII-Pro Forma'!G62</f>
        <v>-7562.9486242755574</v>
      </c>
      <c r="H73" s="1151">
        <f>+'Part VII-Pro Forma'!H62</f>
        <v>-7562.9486242755574</v>
      </c>
      <c r="I73" s="1151">
        <f>+'Part VII-Pro Forma'!I62</f>
        <v>-7562.9486242755574</v>
      </c>
      <c r="J73" s="1151">
        <f>+'Part VII-Pro Forma'!J62</f>
        <v>0</v>
      </c>
      <c r="K73" s="1151">
        <f>+'Part VII-Pro Forma'!K62</f>
        <v>0</v>
      </c>
    </row>
    <row r="74" spans="1:11">
      <c r="A74" s="1150" t="s">
        <v>3873</v>
      </c>
      <c r="B74" s="1152">
        <f t="shared" ref="B74:G74" si="11">+SUM(B71:B73)</f>
        <v>5374.2198054786613</v>
      </c>
      <c r="C74" s="1152">
        <f t="shared" si="11"/>
        <v>3605.2116537686106</v>
      </c>
      <c r="D74" s="1152">
        <f t="shared" si="11"/>
        <v>1704.2481532445727</v>
      </c>
      <c r="E74" s="1152">
        <f t="shared" si="11"/>
        <v>-335.05725864346277</v>
      </c>
      <c r="F74" s="1152">
        <f t="shared" si="11"/>
        <v>-2517.286099363313</v>
      </c>
      <c r="G74" s="1152">
        <f t="shared" si="11"/>
        <v>-4623.3328983812298</v>
      </c>
      <c r="H74" s="1152">
        <f>+SUM(H71:H73)</f>
        <v>-6877.2706442101826</v>
      </c>
      <c r="I74" s="1152">
        <f>+SUM(I71:I73)</f>
        <v>-9287.1014561116808</v>
      </c>
      <c r="J74" s="1152">
        <f>+SUM(J71:J73)</f>
        <v>-4295.0950004662373</v>
      </c>
      <c r="K74" s="1152">
        <f>+SUM(K71:K73)</f>
        <v>-7033.5901951741689</v>
      </c>
    </row>
    <row r="75" spans="1:11">
      <c r="A75" s="1150" t="s">
        <v>3770</v>
      </c>
      <c r="B75" s="1152">
        <f t="shared" ref="B75:G75" si="12">-B74</f>
        <v>-5374.2198054786613</v>
      </c>
      <c r="C75" s="1152">
        <f t="shared" si="12"/>
        <v>-3605.2116537686106</v>
      </c>
      <c r="D75" s="1152">
        <f t="shared" si="12"/>
        <v>-1704.2481532445727</v>
      </c>
      <c r="E75" s="1152">
        <f t="shared" si="12"/>
        <v>335.05725864346277</v>
      </c>
      <c r="F75" s="1152">
        <f t="shared" si="12"/>
        <v>2517.286099363313</v>
      </c>
      <c r="G75" s="1152">
        <f t="shared" si="12"/>
        <v>4623.3328983812298</v>
      </c>
      <c r="H75" s="1152">
        <f>-H74</f>
        <v>6877.2706442101826</v>
      </c>
      <c r="I75" s="1152">
        <f>-I74</f>
        <v>9287.1014561116808</v>
      </c>
      <c r="J75" s="1152">
        <f>-J74</f>
        <v>4295.0950004662373</v>
      </c>
      <c r="K75" s="1152">
        <f>-K74</f>
        <v>7033.5901951741689</v>
      </c>
    </row>
    <row r="76" spans="1:11">
      <c r="A76" s="1150" t="s">
        <v>3874</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3875</v>
      </c>
      <c r="B78" s="1151">
        <f>IF($B$26="","",-FV('Part III-Sources of Funds'!$K$38/12,12,B72/12,K58))</f>
        <v>-744718.50466634671</v>
      </c>
      <c r="C78" s="1151">
        <f>IF($B$26="","",-FV('Part III-Sources of Funds'!$K$38/12,12,C72/12,B78))</f>
        <v>-812420.18690874183</v>
      </c>
      <c r="D78" s="1151">
        <f>IF($B$26="","",-FV('Part III-Sources of Funds'!$K$38/12,12,D72/12,C78))</f>
        <v>-880121.86915113695</v>
      </c>
      <c r="E78" s="1151">
        <f>IF($B$26="","",-FV('Part III-Sources of Funds'!$K$38/12,12,E72/12,D78))</f>
        <v>-947823.55139353208</v>
      </c>
      <c r="F78" s="1151">
        <f>IF($B$26="","",-FV('Part III-Sources of Funds'!$K$38/12,12,F72/12,E78))</f>
        <v>-1015525.2336359272</v>
      </c>
      <c r="G78" s="1151">
        <f>IF($B$26="","",-FV('Part III-Sources of Funds'!$K$38/12,12,G72/12,F78))</f>
        <v>-1083226.9158783224</v>
      </c>
      <c r="H78" s="1151">
        <f>IF($B$26="","",-FV('Part III-Sources of Funds'!$K$38/12,12,H72/12,G78))</f>
        <v>-1150928.5981207176</v>
      </c>
      <c r="I78" s="1151">
        <f>IF($B$26="","",-FV('Part III-Sources of Funds'!$K$38/12,12,I72/12,H78))</f>
        <v>-1218630.2803631127</v>
      </c>
      <c r="J78" s="1151">
        <f>IF($B$26="","",-FV('Part III-Sources of Funds'!$K$38/12,12,J72/12,I78))</f>
        <v>-1286331.9626055078</v>
      </c>
      <c r="K78" s="1151">
        <f>IF($B$26="","",-FV('Part III-Sources of Funds'!$K$38/12,12,K72/12,J78))</f>
        <v>-1354033.6448479029</v>
      </c>
    </row>
    <row r="79" spans="1:11">
      <c r="A79" s="1150" t="s">
        <v>3771</v>
      </c>
    </row>
    <row r="82" spans="1:2">
      <c r="A82" s="1150" t="s">
        <v>3876</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Freedom's Path at Dublin</v>
      </c>
    </row>
    <row r="2" spans="1:15" ht="13.5" customHeight="1"/>
    <row r="3" spans="1:15" ht="13.5" customHeight="1">
      <c r="A3" s="620" t="s">
        <v>2942</v>
      </c>
      <c r="C3" s="619" t="s">
        <v>2943</v>
      </c>
      <c r="E3" s="705">
        <f>SUM('Part IV-A-Uses of Funds'!J149,'Part IV-A-Uses of Funds'!M149,'Part IV-A-Uses of Funds'!P149)</f>
        <v>8703500</v>
      </c>
      <c r="F3" s="1238" t="s">
        <v>2944</v>
      </c>
      <c r="H3" s="1215">
        <v>27.5</v>
      </c>
      <c r="I3" s="619" t="s">
        <v>2404</v>
      </c>
      <c r="K3" s="624" t="s">
        <v>2965</v>
      </c>
      <c r="M3" s="1238"/>
      <c r="O3" s="706"/>
    </row>
    <row r="4" spans="1:15" ht="13.5" customHeight="1">
      <c r="C4" s="619" t="s">
        <v>3424</v>
      </c>
      <c r="E4" s="705">
        <f>SUM('Part IV-A-Uses of Funds'!G85:H89)</f>
        <v>10000</v>
      </c>
      <c r="F4" s="1238" t="s">
        <v>4098</v>
      </c>
      <c r="H4" s="620">
        <f>'Part III-Sources of Funds'!M38</f>
        <v>0</v>
      </c>
      <c r="I4" s="619" t="s">
        <v>2404</v>
      </c>
      <c r="K4" s="707" t="s">
        <v>3208</v>
      </c>
      <c r="M4" s="1238"/>
    </row>
    <row r="5" spans="1:15" ht="13.5" customHeight="1">
      <c r="C5" s="619" t="s">
        <v>3425</v>
      </c>
      <c r="E5" s="705">
        <f>SUM('Part IV-A-Uses of Funds'!G96:H102)</f>
        <v>110500</v>
      </c>
      <c r="F5" s="1238" t="s">
        <v>4097</v>
      </c>
      <c r="H5" s="1215">
        <v>15</v>
      </c>
      <c r="I5" s="619" t="s">
        <v>2404</v>
      </c>
      <c r="K5" s="706">
        <f>-E6</f>
        <v>-7812500</v>
      </c>
    </row>
    <row r="6" spans="1:15" ht="13.5" customHeight="1">
      <c r="C6" s="619" t="s">
        <v>2945</v>
      </c>
      <c r="E6" s="708">
        <f>'Part III-Sources of Funds'!$I$49+'Part III-Sources of Funds'!$I$50</f>
        <v>7812500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42826.334526826693</v>
      </c>
      <c r="D9" s="713">
        <f>'Part VII-Pro Forma'!C32</f>
        <v>42114.237726826723</v>
      </c>
      <c r="E9" s="713">
        <f>'Part VII-Pro Forma'!D32</f>
        <v>83071.450463999994</v>
      </c>
      <c r="F9" s="713">
        <f>'Part VII-Pro Forma'!E32</f>
        <v>82182.56805327996</v>
      </c>
      <c r="G9" s="713">
        <f>'Part VII-Pro Forma'!F32</f>
        <v>81199.522251745599</v>
      </c>
      <c r="H9" s="713">
        <f>'Part VII-Pro Forma'!G32</f>
        <v>80118.274619302552</v>
      </c>
      <c r="I9" s="713">
        <f>'Part VII-Pro Forma'!H32</f>
        <v>78933.637091886252</v>
      </c>
      <c r="K9" s="706" t="e">
        <f>F24</f>
        <v>#VALUE!</v>
      </c>
      <c r="N9" s="714" t="s">
        <v>2951</v>
      </c>
    </row>
    <row r="10" spans="1:15" ht="13.5" customHeight="1">
      <c r="A10" s="619" t="s">
        <v>2950</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-19980</v>
      </c>
      <c r="D13" s="1176">
        <f>'Part VII-Pro Forma'!C22</f>
        <v>-20579.400000000001</v>
      </c>
      <c r="E13" s="1176">
        <f>'Part VII-Pro Forma'!D22</f>
        <v>-21196.781999999999</v>
      </c>
      <c r="F13" s="1176">
        <f>'Part VII-Pro Forma'!E22</f>
        <v>-21832.685460000001</v>
      </c>
      <c r="G13" s="1176">
        <f>'Part VII-Pro Forma'!F22</f>
        <v>-22487.666023799997</v>
      </c>
      <c r="H13" s="1176">
        <f>'Part VII-Pro Forma'!G22</f>
        <v>-23162.296004513995</v>
      </c>
      <c r="I13" s="1176">
        <f>'Part VII-Pro Forma'!H22</f>
        <v>-23857.164884649417</v>
      </c>
      <c r="K13" s="706" t="e">
        <f>C44</f>
        <v>#VALUE!</v>
      </c>
      <c r="O13" s="711"/>
    </row>
    <row r="14" spans="1:15" ht="13.5" customHeight="1">
      <c r="A14" s="717" t="s">
        <v>3427</v>
      </c>
      <c r="B14" s="718"/>
      <c r="C14" s="1176">
        <f>'Part VII-Pro Forma'!B31</f>
        <v>-41755.825473173281</v>
      </c>
      <c r="D14" s="1176">
        <f>'Part VII-Pro Forma'!C31</f>
        <v>-41755.825473173281</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316490.90909090912</v>
      </c>
      <c r="D15" s="720">
        <f t="shared" si="0"/>
        <v>316490.90909090912</v>
      </c>
      <c r="E15" s="720">
        <f t="shared" si="0"/>
        <v>316490.90909090912</v>
      </c>
      <c r="F15" s="720">
        <f t="shared" si="0"/>
        <v>316490.90909090912</v>
      </c>
      <c r="G15" s="720">
        <f t="shared" si="0"/>
        <v>316490.90909090912</v>
      </c>
      <c r="H15" s="720">
        <f t="shared" si="0"/>
        <v>316490.90909090912</v>
      </c>
      <c r="I15" s="720">
        <f t="shared" si="0"/>
        <v>316490.90909090912</v>
      </c>
      <c r="K15" s="706" t="e">
        <f>E44</f>
        <v>#VALUE!</v>
      </c>
      <c r="O15" s="711"/>
    </row>
    <row r="16" spans="1:15" ht="13.5" customHeight="1">
      <c r="A16" s="719" t="s">
        <v>2955</v>
      </c>
      <c r="C16" s="720">
        <f>IF(C$8&lt;=$H$4,($E$4/$H$4),0)+IF(C$8&lt;=$H$5,($E$5/$H$5),0)</f>
        <v>7366.666666666667</v>
      </c>
      <c r="D16" s="720">
        <f t="shared" ref="D16:I16" si="1">IF(D$8&lt;=$H$4,($E$4/$H$4),0)+IF(D$8&lt;=$H$5,($E$5/$H$5),0)</f>
        <v>7366.666666666667</v>
      </c>
      <c r="E16" s="720">
        <f t="shared" si="1"/>
        <v>7366.666666666667</v>
      </c>
      <c r="F16" s="720">
        <f t="shared" si="1"/>
        <v>7366.666666666667</v>
      </c>
      <c r="G16" s="720">
        <f t="shared" si="1"/>
        <v>7366.666666666667</v>
      </c>
      <c r="H16" s="720">
        <f t="shared" si="1"/>
        <v>7366.666666666667</v>
      </c>
      <c r="I16" s="720">
        <f t="shared" si="1"/>
        <v>7366.666666666667</v>
      </c>
      <c r="K16" s="706" t="e">
        <f>F44</f>
        <v>#VALUE!</v>
      </c>
      <c r="M16" s="619" t="s">
        <v>2959</v>
      </c>
      <c r="O16" s="711">
        <f>E3</f>
        <v>8703500</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6329818.1818181826</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2373681.8181818174</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625000</v>
      </c>
      <c r="D21" s="721">
        <f t="shared" ref="D21:I21" si="5">C21</f>
        <v>625000</v>
      </c>
      <c r="E21" s="721">
        <f t="shared" si="5"/>
        <v>625000</v>
      </c>
      <c r="F21" s="721">
        <f t="shared" si="5"/>
        <v>625000</v>
      </c>
      <c r="G21" s="721">
        <f t="shared" si="5"/>
        <v>625000</v>
      </c>
      <c r="H21" s="721">
        <f t="shared" si="5"/>
        <v>625000</v>
      </c>
      <c r="I21" s="721">
        <f t="shared" si="5"/>
        <v>625000</v>
      </c>
      <c r="J21" s="619" t="s">
        <v>238</v>
      </c>
      <c r="K21" s="706" t="e">
        <f>D64</f>
        <v>#VALUE!</v>
      </c>
      <c r="O21" s="711"/>
    </row>
    <row r="22" spans="1:17" ht="13.5" customHeight="1">
      <c r="A22" s="619" t="s">
        <v>2962</v>
      </c>
      <c r="C22" s="721">
        <f>C21</f>
        <v>625000</v>
      </c>
      <c r="D22" s="721">
        <f t="shared" ref="D22:I22" si="6">D21</f>
        <v>625000</v>
      </c>
      <c r="E22" s="721">
        <f t="shared" si="6"/>
        <v>625000</v>
      </c>
      <c r="F22" s="721">
        <f t="shared" si="6"/>
        <v>625000</v>
      </c>
      <c r="G22" s="721">
        <f t="shared" si="6"/>
        <v>625000</v>
      </c>
      <c r="H22" s="721">
        <f t="shared" si="6"/>
        <v>625000</v>
      </c>
      <c r="I22" s="721">
        <f t="shared" si="6"/>
        <v>625000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2373681.8181818174</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-2373681.8181818174</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77642.266923327406</v>
      </c>
      <c r="D29" s="713">
        <f>'Part VII-Pro Forma'!J32</f>
        <v>76238.661464085744</v>
      </c>
      <c r="E29" s="713">
        <f>'Part VII-Pro Forma'!K32</f>
        <v>74718.152771727968</v>
      </c>
      <c r="F29" s="713">
        <f>'Part VII-Pro Forma'!B64</f>
        <v>73075.902047873824</v>
      </c>
      <c r="G29" s="713">
        <f>'Part VII-Pro Forma'!C64</f>
        <v>71306.893896163776</v>
      </c>
      <c r="H29" s="713">
        <f>'Part VII-Pro Forma'!D64</f>
        <v>69405.930395639734</v>
      </c>
      <c r="I29" s="713">
        <f>'Part VII-Pro Forma'!E64</f>
        <v>67366.62498375171</v>
      </c>
      <c r="N29" s="724"/>
      <c r="O29" s="724"/>
    </row>
    <row r="30" spans="1:17" ht="13.5" customHeight="1">
      <c r="A30" s="619" t="s">
        <v>2950</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-474736.36363636353</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-24572.879831188904</v>
      </c>
      <c r="D33" s="1176">
        <f>'Part VII-Pro Forma'!J22</f>
        <v>-25310.066226124567</v>
      </c>
      <c r="E33" s="1176">
        <f>'Part VII-Pro Forma'!K22</f>
        <v>-26069.368212908303</v>
      </c>
      <c r="F33" s="1176">
        <f>'Part VII-Pro Forma'!B54</f>
        <v>-26851.449259295554</v>
      </c>
      <c r="G33" s="1176">
        <f>'Part VII-Pro Forma'!C54</f>
        <v>-27656.992737074419</v>
      </c>
      <c r="H33" s="1176">
        <f>'Part VII-Pro Forma'!D54</f>
        <v>-28486.702519186649</v>
      </c>
      <c r="I33" s="1176">
        <f>'Part VII-Pro Forma'!E54</f>
        <v>-29341.303594762248</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316490.90909090912</v>
      </c>
      <c r="D35" s="720">
        <f t="shared" si="8"/>
        <v>316490.90909090912</v>
      </c>
      <c r="E35" s="720">
        <f t="shared" si="8"/>
        <v>316490.90909090912</v>
      </c>
      <c r="F35" s="720">
        <f t="shared" si="8"/>
        <v>316490.90909090912</v>
      </c>
      <c r="G35" s="720">
        <f t="shared" si="8"/>
        <v>316490.90909090912</v>
      </c>
      <c r="H35" s="720">
        <f t="shared" si="8"/>
        <v>316490.90909090912</v>
      </c>
      <c r="I35" s="720">
        <f t="shared" si="8"/>
        <v>316490.90909090912</v>
      </c>
    </row>
    <row r="36" spans="1:15" ht="13.5" customHeight="1">
      <c r="A36" s="719" t="s">
        <v>2955</v>
      </c>
      <c r="C36" s="713">
        <f>IF(C$28&lt;=$H$4,($E$4/$H$4),0)+IF(C$28&lt;=$H$5,($E$5/$H$5),0)</f>
        <v>7366.666666666667</v>
      </c>
      <c r="D36" s="713">
        <f t="shared" ref="D36:I36" si="9">IF(D$28&lt;=$H$4,($E$4/$H$4),0)+IF(D$28&lt;=$H$5,($E$5/$H$5),0)</f>
        <v>7366.666666666667</v>
      </c>
      <c r="E36" s="713">
        <f t="shared" si="9"/>
        <v>7366.666666666667</v>
      </c>
      <c r="F36" s="713">
        <f t="shared" si="9"/>
        <v>7366.666666666667</v>
      </c>
      <c r="G36" s="713">
        <f t="shared" si="9"/>
        <v>7366.666666666667</v>
      </c>
      <c r="H36" s="713">
        <f t="shared" si="9"/>
        <v>7366.666666666667</v>
      </c>
      <c r="I36" s="713">
        <f t="shared" si="9"/>
        <v>7366.666666666667</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625000</v>
      </c>
      <c r="D41" s="721">
        <f>C41</f>
        <v>625000</v>
      </c>
      <c r="E41" s="721">
        <f>D41</f>
        <v>625000</v>
      </c>
      <c r="F41" s="721">
        <v>0</v>
      </c>
      <c r="G41" s="721">
        <v>0</v>
      </c>
      <c r="H41" s="721">
        <v>0</v>
      </c>
      <c r="I41" s="721">
        <v>0</v>
      </c>
    </row>
    <row r="42" spans="1:15" ht="13.5" customHeight="1">
      <c r="A42" s="619" t="s">
        <v>2962</v>
      </c>
      <c r="C42" s="721">
        <f>C22</f>
        <v>625000</v>
      </c>
      <c r="D42" s="721">
        <f>C42</f>
        <v>625000</v>
      </c>
      <c r="E42" s="721">
        <f>D42</f>
        <v>625000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65184.396143031852</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-30221.542702605118</v>
      </c>
      <c r="D53" s="1176">
        <f>'Part VII-Pro Forma'!G54</f>
        <v>-31128.188983683274</v>
      </c>
      <c r="E53" s="1176">
        <f>'Part VII-Pro Forma'!H54</f>
        <v>-32062.034653193765</v>
      </c>
      <c r="F53" s="1176">
        <f>'Part VII-Pro Forma'!I54</f>
        <v>-33023.895692789578</v>
      </c>
      <c r="G53" s="1176">
        <f>'Part VII-Pro Forma'!J54</f>
        <v>-34014.612563573268</v>
      </c>
      <c r="H53" s="1176">
        <f>'Part VII-Pro Forma'!K54</f>
        <v>-35035.050940480462</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316490.90909090912</v>
      </c>
      <c r="D55" s="720">
        <f t="shared" si="14"/>
        <v>316490.90909090912</v>
      </c>
      <c r="E55" s="720">
        <f t="shared" si="14"/>
        <v>316490.90909090912</v>
      </c>
      <c r="F55" s="720">
        <f t="shared" si="14"/>
        <v>316490.90909090912</v>
      </c>
      <c r="G55" s="720">
        <f t="shared" si="14"/>
        <v>316490.90909090912</v>
      </c>
      <c r="H55" s="720">
        <f t="shared" si="14"/>
        <v>316490.90909090912</v>
      </c>
    </row>
    <row r="56" spans="1:10" ht="13.5" customHeight="1">
      <c r="A56" s="719" t="s">
        <v>2955</v>
      </c>
      <c r="C56" s="713">
        <f t="shared" ref="C56:H56" si="15">IF(C$48&lt;=$H$4,($E$4/$H$4),0)+IF(C$48&lt;=$H$5,($E$5/$H$5),0)</f>
        <v>7366.666666666667</v>
      </c>
      <c r="D56" s="713">
        <f t="shared" si="15"/>
        <v>0</v>
      </c>
      <c r="E56" s="713">
        <f t="shared" si="15"/>
        <v>0</v>
      </c>
      <c r="F56" s="713">
        <f t="shared" si="15"/>
        <v>0</v>
      </c>
      <c r="G56" s="713">
        <f t="shared" si="15"/>
        <v>0</v>
      </c>
      <c r="H56" s="713">
        <f t="shared" si="15"/>
        <v>0</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48" t="e">
        <f>IRR(K5:K25)</f>
        <v>#VALUE!</v>
      </c>
      <c r="H66" s="3249"/>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1" t="str">
        <f>'Sensitivity Analysis'!C8</f>
        <v>Freedom's Path at Dublin</v>
      </c>
      <c r="B1" s="3251"/>
      <c r="C1" s="3251"/>
      <c r="D1" s="3251"/>
      <c r="E1" s="3251"/>
      <c r="F1" s="3251"/>
      <c r="G1" s="3251"/>
      <c r="H1" s="3251"/>
    </row>
    <row r="2" spans="1:8" s="2005" customFormat="1" ht="17.399999999999999" customHeight="1">
      <c r="A2" s="3250" t="s">
        <v>2972</v>
      </c>
      <c r="B2" s="3250"/>
      <c r="C2" s="3250"/>
      <c r="D2" s="3250"/>
      <c r="E2" s="3250"/>
      <c r="F2" s="3250"/>
      <c r="G2" s="3250"/>
      <c r="H2" s="3250"/>
    </row>
    <row r="3" spans="1:8" ht="9" customHeight="1">
      <c r="A3" s="2004"/>
      <c r="B3" s="2004"/>
      <c r="C3" s="2004"/>
      <c r="D3" s="2004"/>
      <c r="E3" s="2004"/>
      <c r="G3" s="2004"/>
      <c r="H3" s="2004"/>
    </row>
    <row r="4" spans="1:8" ht="12.6" customHeight="1">
      <c r="A4" s="3252" t="s">
        <v>6832</v>
      </c>
      <c r="B4" s="3252"/>
      <c r="C4" s="2006"/>
      <c r="D4" s="3252" t="s">
        <v>6833</v>
      </c>
      <c r="E4" s="3252"/>
      <c r="F4" s="2007"/>
      <c r="G4" s="3252" t="s">
        <v>6834</v>
      </c>
      <c r="H4" s="3252"/>
    </row>
    <row r="5" spans="1:8" ht="25.95" customHeight="1">
      <c r="A5" s="3253">
        <f>'Part III-Sources of Funds'!E38</f>
        <v>0</v>
      </c>
      <c r="B5" s="3254"/>
      <c r="C5" s="2005"/>
      <c r="D5" s="3253">
        <f>'Part III-Sources of Funds'!E39</f>
        <v>0</v>
      </c>
      <c r="E5" s="3254"/>
      <c r="F5" s="2008"/>
      <c r="G5" s="3253">
        <f>'Part III-Sources of Funds'!E40</f>
        <v>0</v>
      </c>
      <c r="H5" s="3254"/>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- 2020-042 Freedom's Path at Dublin, Dublin, Laurens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6980</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5" t="s">
        <v>2303</v>
      </c>
      <c r="F5" s="294"/>
      <c r="G5" s="269" t="s">
        <v>4324</v>
      </c>
      <c r="L5" s="841"/>
      <c r="P5" s="1030" t="s">
        <v>3648</v>
      </c>
    </row>
    <row r="6" spans="1:16" s="293" customFormat="1" ht="12" customHeight="1" thickBot="1">
      <c r="B6" s="2418" t="s">
        <v>6984</v>
      </c>
      <c r="C6" s="2418"/>
      <c r="D6" s="2418"/>
      <c r="E6" s="1208"/>
      <c r="F6" s="296"/>
      <c r="G6" s="269" t="s">
        <v>4323</v>
      </c>
      <c r="H6" s="2354"/>
      <c r="I6" s="2354"/>
      <c r="J6" s="2354"/>
      <c r="O6" s="3458" t="s">
        <v>7174</v>
      </c>
      <c r="P6" s="3459"/>
    </row>
    <row r="7" spans="1:16" s="293" customFormat="1" ht="12" customHeight="1">
      <c r="B7" s="2418"/>
      <c r="C7" s="2418"/>
      <c r="D7" s="2418"/>
      <c r="E7" s="1208"/>
      <c r="F7" s="511"/>
      <c r="G7" s="172" t="s">
        <v>3212</v>
      </c>
      <c r="H7" s="2354"/>
      <c r="I7" s="2354"/>
      <c r="J7" s="2354"/>
    </row>
    <row r="8" spans="1:16" s="293" customFormat="1" ht="6" customHeight="1">
      <c r="A8" s="471"/>
      <c r="B8" s="2418"/>
      <c r="C8" s="2418"/>
      <c r="D8" s="2418"/>
      <c r="E8" s="2354"/>
      <c r="H8" s="2354"/>
      <c r="I8" s="2354"/>
      <c r="M8" s="2354"/>
    </row>
    <row r="9" spans="1:16" s="293" customFormat="1" ht="13.35" customHeight="1">
      <c r="A9" s="295" t="s">
        <v>598</v>
      </c>
      <c r="B9" s="295" t="s">
        <v>2314</v>
      </c>
      <c r="D9" s="270"/>
      <c r="E9" s="297"/>
      <c r="F9" s="2343" t="s">
        <v>3603</v>
      </c>
      <c r="I9" s="2413">
        <f>'Part IV-A-Uses of Funds'!$J$184</f>
        <v>625000</v>
      </c>
      <c r="J9" s="2414"/>
      <c r="L9" s="293" t="s">
        <v>3604</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60" t="s">
        <v>6986</v>
      </c>
      <c r="G11" s="3461"/>
      <c r="H11" s="3462"/>
      <c r="I11" s="3463" t="s">
        <v>3534</v>
      </c>
      <c r="J11" s="492" t="s">
        <v>4792</v>
      </c>
      <c r="K11" s="303"/>
      <c r="L11" s="2354"/>
      <c r="O11" s="3464" t="s">
        <v>6985</v>
      </c>
      <c r="P11" s="3465"/>
    </row>
    <row r="12" spans="1:16" s="293" customFormat="1" ht="12.75" customHeight="1">
      <c r="A12" s="471"/>
      <c r="B12" s="1519"/>
      <c r="C12" s="1519"/>
      <c r="D12" s="1519"/>
      <c r="E12" s="1519"/>
      <c r="H12" s="2354"/>
      <c r="J12" s="1140" t="s">
        <v>4460</v>
      </c>
      <c r="K12" s="2345"/>
      <c r="M12" s="2354"/>
      <c r="O12" s="3466" t="s">
        <v>2888</v>
      </c>
      <c r="P12" s="3467"/>
    </row>
    <row r="13" spans="1:16" s="293" customFormat="1" ht="3" customHeight="1">
      <c r="A13" s="471"/>
      <c r="B13" s="1519"/>
      <c r="C13" s="1519"/>
      <c r="D13" s="1519"/>
      <c r="E13" s="1519"/>
      <c r="H13" s="2354"/>
      <c r="J13" s="493"/>
      <c r="K13" s="2345"/>
      <c r="M13" s="2354"/>
    </row>
    <row r="14" spans="1:16" s="293" customFormat="1" ht="12.75" customHeight="1">
      <c r="A14" s="471"/>
      <c r="B14" s="1519" t="s">
        <v>4817</v>
      </c>
      <c r="C14" s="1519"/>
      <c r="D14" s="1519"/>
      <c r="E14" s="1519"/>
      <c r="F14" s="3468" t="s">
        <v>2888</v>
      </c>
      <c r="G14" s="2346" t="s">
        <v>4818</v>
      </c>
      <c r="N14" s="3460" t="s">
        <v>4461</v>
      </c>
      <c r="O14" s="3461"/>
      <c r="P14" s="3462"/>
    </row>
    <row r="15" spans="1:16" s="293" customFormat="1" ht="12.75" customHeight="1">
      <c r="A15" s="471"/>
      <c r="B15" s="293" t="s">
        <v>4800</v>
      </c>
      <c r="D15" s="303"/>
      <c r="F15" s="3469"/>
      <c r="G15" s="3470"/>
      <c r="H15" s="3470"/>
      <c r="I15" s="3471"/>
      <c r="J15" s="293" t="s">
        <v>4514</v>
      </c>
      <c r="L15" s="3472"/>
      <c r="M15" s="3473"/>
      <c r="N15" s="293" t="s">
        <v>4513</v>
      </c>
      <c r="P15" s="3474"/>
    </row>
    <row r="16" spans="1:16" s="293" customFormat="1" ht="12.75" customHeight="1">
      <c r="A16" s="471"/>
      <c r="B16" s="293" t="s">
        <v>3602</v>
      </c>
      <c r="F16" s="3468"/>
      <c r="G16" s="293" t="s">
        <v>4451</v>
      </c>
      <c r="H16" s="2354"/>
      <c r="I16" s="172"/>
      <c r="J16" s="493"/>
      <c r="N16" s="3475" t="s">
        <v>2782</v>
      </c>
      <c r="O16" s="3476"/>
      <c r="P16" s="3477"/>
    </row>
    <row r="17" spans="1:16" s="293" customFormat="1" ht="6" customHeight="1">
      <c r="I17" s="270"/>
      <c r="J17" s="270"/>
      <c r="K17" s="270"/>
      <c r="L17" s="270"/>
      <c r="M17" s="270"/>
      <c r="N17" s="270"/>
      <c r="O17" s="270"/>
      <c r="P17" s="270"/>
    </row>
    <row r="18" spans="1:16" s="293" customFormat="1" ht="13.35" customHeight="1">
      <c r="A18" s="298" t="s">
        <v>724</v>
      </c>
      <c r="B18" s="295" t="s">
        <v>4114</v>
      </c>
      <c r="D18" s="2343"/>
      <c r="E18" s="297"/>
      <c r="G18" s="300"/>
      <c r="H18" s="300"/>
      <c r="I18" s="300"/>
      <c r="L18" s="299"/>
    </row>
    <row r="19" spans="1:16" s="293" customFormat="1" ht="1.5" customHeight="1">
      <c r="A19" s="298"/>
      <c r="B19" s="297"/>
      <c r="C19" s="295"/>
      <c r="D19" s="2343"/>
      <c r="E19" s="297"/>
      <c r="G19" s="300"/>
      <c r="H19" s="300"/>
      <c r="I19" s="300"/>
      <c r="K19" s="299"/>
      <c r="L19" s="299"/>
      <c r="O19" s="841"/>
    </row>
    <row r="20" spans="1:16" s="293" customFormat="1" ht="13.35" customHeight="1">
      <c r="B20" s="293" t="s">
        <v>3655</v>
      </c>
      <c r="F20" s="3478" t="s">
        <v>6991</v>
      </c>
      <c r="G20" s="3479"/>
      <c r="H20" s="3480"/>
      <c r="I20" s="1402" t="s">
        <v>1753</v>
      </c>
      <c r="J20" s="3478" t="s">
        <v>6992</v>
      </c>
      <c r="K20" s="3479"/>
      <c r="L20" s="3480"/>
      <c r="M20" s="325" t="s">
        <v>1932</v>
      </c>
      <c r="N20" s="3472" t="s">
        <v>6993</v>
      </c>
      <c r="O20" s="3481"/>
      <c r="P20" s="3473"/>
    </row>
    <row r="21" spans="1:16" s="293" customFormat="1" ht="13.35" customHeight="1">
      <c r="B21" s="2343" t="s">
        <v>1933</v>
      </c>
      <c r="F21" s="3482" t="s">
        <v>6994</v>
      </c>
      <c r="G21" s="3483"/>
      <c r="H21" s="3483"/>
      <c r="I21" s="3484"/>
      <c r="J21" s="3483"/>
      <c r="K21" s="3485"/>
      <c r="L21" s="3486"/>
      <c r="M21" s="2402" t="s">
        <v>3654</v>
      </c>
      <c r="N21" s="2403"/>
      <c r="O21" s="2403"/>
      <c r="P21" s="2403"/>
    </row>
    <row r="22" spans="1:16" s="293" customFormat="1" ht="13.35" customHeight="1">
      <c r="B22" s="2343" t="s">
        <v>600</v>
      </c>
      <c r="F22" s="3482" t="s">
        <v>6995</v>
      </c>
      <c r="G22" s="3483"/>
      <c r="H22" s="3487"/>
      <c r="I22" s="2343" t="s">
        <v>1754</v>
      </c>
      <c r="J22" s="3488" t="s">
        <v>827</v>
      </c>
      <c r="M22" s="2402"/>
      <c r="N22" s="2402"/>
      <c r="O22" s="2402"/>
      <c r="P22" s="2402"/>
    </row>
    <row r="23" spans="1:16" s="293" customFormat="1" ht="13.35" customHeight="1">
      <c r="B23" s="2346" t="s">
        <v>2172</v>
      </c>
      <c r="F23" s="3489">
        <v>342365559</v>
      </c>
      <c r="G23" s="3490"/>
      <c r="H23" s="3491"/>
      <c r="I23" s="2343" t="s">
        <v>1678</v>
      </c>
      <c r="J23" s="3492">
        <v>9419291270</v>
      </c>
      <c r="K23" s="3493"/>
      <c r="L23" s="2360" t="s">
        <v>1677</v>
      </c>
      <c r="M23" s="3494">
        <v>110</v>
      </c>
      <c r="N23" s="2346" t="s">
        <v>1679</v>
      </c>
      <c r="O23" s="3495">
        <v>9412282185</v>
      </c>
      <c r="P23" s="3493"/>
    </row>
    <row r="24" spans="1:16" s="293" customFormat="1" ht="13.35" customHeight="1">
      <c r="B24" s="2346" t="s">
        <v>1936</v>
      </c>
      <c r="F24" s="3496" t="s">
        <v>7016</v>
      </c>
      <c r="G24" s="3484"/>
      <c r="H24" s="3484"/>
      <c r="I24" s="3481"/>
      <c r="J24" s="3484"/>
      <c r="K24" s="3497"/>
      <c r="N24" s="2346" t="s">
        <v>1931</v>
      </c>
      <c r="O24" s="3495">
        <v>9412282185</v>
      </c>
      <c r="P24" s="3493"/>
    </row>
    <row r="25" spans="1:16" s="293" customFormat="1" ht="13.5" customHeight="1">
      <c r="A25" s="471"/>
      <c r="B25" s="295" t="s">
        <v>4113</v>
      </c>
      <c r="C25" s="301"/>
      <c r="D25" s="2351"/>
      <c r="E25" s="2351"/>
      <c r="F25" s="2351"/>
      <c r="H25" s="2354"/>
      <c r="I25" s="2351"/>
      <c r="J25" s="301"/>
      <c r="K25" s="2351"/>
      <c r="P25" s="302"/>
    </row>
    <row r="26" spans="1:16" s="293" customFormat="1" ht="13.35" customHeight="1">
      <c r="B26" s="293" t="s">
        <v>3655</v>
      </c>
      <c r="F26" s="3478" t="s">
        <v>6998</v>
      </c>
      <c r="G26" s="3479"/>
      <c r="H26" s="3480"/>
      <c r="I26" s="1402" t="s">
        <v>1753</v>
      </c>
      <c r="J26" s="3478" t="s">
        <v>6997</v>
      </c>
      <c r="K26" s="3479"/>
      <c r="L26" s="3480"/>
      <c r="M26" s="325" t="s">
        <v>1932</v>
      </c>
      <c r="N26" s="3472" t="s">
        <v>1803</v>
      </c>
      <c r="O26" s="3481"/>
      <c r="P26" s="3473"/>
    </row>
    <row r="27" spans="1:16" s="293" customFormat="1" ht="13.35" customHeight="1">
      <c r="B27" s="2343" t="s">
        <v>1933</v>
      </c>
      <c r="F27" s="3482" t="s">
        <v>7063</v>
      </c>
      <c r="G27" s="3483"/>
      <c r="H27" s="3483"/>
      <c r="I27" s="3484"/>
      <c r="J27" s="3483"/>
      <c r="K27" s="3485"/>
      <c r="L27" s="3486"/>
      <c r="M27" s="2402" t="s">
        <v>3654</v>
      </c>
      <c r="N27" s="2403"/>
      <c r="O27" s="2403"/>
      <c r="P27" s="2403"/>
    </row>
    <row r="28" spans="1:16" s="293" customFormat="1" ht="13.35" customHeight="1">
      <c r="B28" s="2343" t="s">
        <v>600</v>
      </c>
      <c r="F28" s="3482" t="s">
        <v>462</v>
      </c>
      <c r="G28" s="3483"/>
      <c r="H28" s="3487"/>
      <c r="I28" s="2343" t="s">
        <v>1754</v>
      </c>
      <c r="J28" s="3488" t="s">
        <v>828</v>
      </c>
      <c r="M28" s="2402"/>
      <c r="N28" s="2402"/>
      <c r="O28" s="2402"/>
      <c r="P28" s="2402"/>
    </row>
    <row r="29" spans="1:16" s="293" customFormat="1" ht="13.35" customHeight="1">
      <c r="B29" s="2346" t="s">
        <v>2172</v>
      </c>
      <c r="F29" s="3489">
        <v>301440000</v>
      </c>
      <c r="G29" s="3490"/>
      <c r="H29" s="3491"/>
      <c r="I29" s="2343" t="s">
        <v>1678</v>
      </c>
      <c r="J29" s="3492">
        <v>4046108389</v>
      </c>
      <c r="K29" s="3493"/>
      <c r="L29" s="2360" t="s">
        <v>1677</v>
      </c>
      <c r="M29" s="3494"/>
      <c r="N29" s="2346" t="s">
        <v>1679</v>
      </c>
      <c r="O29" s="3492">
        <v>4046108389</v>
      </c>
      <c r="P29" s="3493"/>
    </row>
    <row r="30" spans="1:16" s="293" customFormat="1" ht="13.35" customHeight="1">
      <c r="B30" s="2346" t="s">
        <v>1936</v>
      </c>
      <c r="F30" s="3496" t="s">
        <v>6999</v>
      </c>
      <c r="G30" s="3484"/>
      <c r="H30" s="3484"/>
      <c r="I30" s="3481"/>
      <c r="J30" s="3484"/>
      <c r="K30" s="3497"/>
      <c r="N30" s="2346" t="s">
        <v>1931</v>
      </c>
      <c r="O30" s="3492">
        <v>4046108389</v>
      </c>
      <c r="P30" s="3493"/>
    </row>
    <row r="31" spans="1:16" s="293" customFormat="1" ht="6" customHeight="1">
      <c r="A31" s="471"/>
      <c r="B31" s="471"/>
      <c r="C31" s="301"/>
      <c r="D31" s="2351"/>
      <c r="E31" s="2351"/>
      <c r="F31" s="2351"/>
      <c r="H31" s="2354"/>
      <c r="I31" s="2351"/>
      <c r="J31" s="301"/>
      <c r="K31" s="2351"/>
      <c r="P31" s="302"/>
    </row>
    <row r="32" spans="1:16" s="293" customFormat="1" ht="13.35" customHeight="1">
      <c r="A32" s="298" t="s">
        <v>1748</v>
      </c>
      <c r="B32" s="295" t="s">
        <v>1443</v>
      </c>
      <c r="D32" s="270"/>
      <c r="E32" s="297"/>
      <c r="F32" s="297"/>
      <c r="G32" s="2343"/>
      <c r="H32" s="297"/>
      <c r="I32" s="297"/>
      <c r="J32" s="300"/>
      <c r="L32" s="299"/>
      <c r="M32" s="299"/>
    </row>
    <row r="33" spans="1:16" s="293" customFormat="1" ht="1.5" customHeight="1">
      <c r="A33" s="298"/>
      <c r="B33" s="295"/>
      <c r="D33" s="270"/>
      <c r="E33" s="297"/>
      <c r="F33" s="297"/>
      <c r="G33" s="2343"/>
      <c r="H33" s="297"/>
      <c r="I33" s="297"/>
      <c r="J33" s="300"/>
      <c r="L33" s="299"/>
    </row>
    <row r="34" spans="1:16" s="293" customFormat="1" ht="13.35" customHeight="1">
      <c r="A34" s="295"/>
      <c r="B34" s="293" t="s">
        <v>599</v>
      </c>
      <c r="D34" s="303"/>
      <c r="F34" s="3498" t="s">
        <v>6987</v>
      </c>
      <c r="G34" s="3499"/>
      <c r="H34" s="3499"/>
      <c r="I34" s="3499"/>
      <c r="J34" s="3499"/>
      <c r="K34" s="3500"/>
      <c r="L34" s="2346" t="s">
        <v>2141</v>
      </c>
      <c r="O34" s="3478" t="s">
        <v>2888</v>
      </c>
      <c r="P34" s="3480"/>
    </row>
    <row r="35" spans="1:16" s="293" customFormat="1" ht="13.35" customHeight="1">
      <c r="A35" s="304"/>
      <c r="B35" s="293" t="s">
        <v>2619</v>
      </c>
      <c r="D35" s="305"/>
      <c r="F35" s="3501" t="s">
        <v>6988</v>
      </c>
      <c r="G35" s="3502"/>
      <c r="H35" s="3502"/>
      <c r="I35" s="3502"/>
      <c r="J35" s="3502"/>
      <c r="K35" s="3503"/>
      <c r="L35" s="293" t="s">
        <v>3506</v>
      </c>
      <c r="O35" s="3504"/>
      <c r="P35" s="3487"/>
    </row>
    <row r="36" spans="1:16" s="293" customFormat="1" ht="13.35" customHeight="1">
      <c r="A36" s="304"/>
      <c r="B36" s="293" t="s">
        <v>2648</v>
      </c>
      <c r="D36" s="305"/>
      <c r="F36" s="3504"/>
      <c r="G36" s="3483"/>
      <c r="H36" s="3483"/>
      <c r="I36" s="3485"/>
      <c r="J36" s="3483"/>
      <c r="K36" s="3487"/>
      <c r="L36" s="2346" t="s">
        <v>2001</v>
      </c>
      <c r="N36" s="3494" t="s">
        <v>2888</v>
      </c>
      <c r="O36" s="2354" t="s">
        <v>3505</v>
      </c>
      <c r="P36" s="3505"/>
    </row>
    <row r="37" spans="1:16" s="293" customFormat="1" ht="13.35" customHeight="1">
      <c r="A37" s="304"/>
      <c r="B37" s="293" t="s">
        <v>3552</v>
      </c>
      <c r="D37" s="305"/>
      <c r="F37" s="293" t="s">
        <v>3535</v>
      </c>
      <c r="G37" s="3506">
        <v>32.538440000000001</v>
      </c>
      <c r="H37" s="3507"/>
      <c r="I37" s="2360" t="s">
        <v>3536</v>
      </c>
      <c r="J37" s="3506">
        <v>-82.945049999999995</v>
      </c>
      <c r="K37" s="3507"/>
      <c r="L37" s="2346" t="s">
        <v>2224</v>
      </c>
      <c r="O37" s="3508">
        <v>4.33</v>
      </c>
      <c r="P37" s="3509"/>
    </row>
    <row r="38" spans="1:16" s="293" customFormat="1" ht="13.35" customHeight="1">
      <c r="A38" s="471"/>
      <c r="B38" s="293" t="s">
        <v>600</v>
      </c>
      <c r="F38" s="3478" t="s">
        <v>1880</v>
      </c>
      <c r="G38" s="3510"/>
      <c r="H38" s="3511"/>
      <c r="I38" s="309" t="s">
        <v>2620</v>
      </c>
      <c r="J38" s="3489">
        <v>310213620</v>
      </c>
      <c r="K38" s="3491"/>
      <c r="L38" s="363" t="str">
        <f>IF(AND(NOT(F34=""),NOT(F38="Select from list"),J38=""),"Enter Zip!","")</f>
        <v/>
      </c>
      <c r="M38" s="307" t="s">
        <v>2802</v>
      </c>
      <c r="O38" s="3512" t="s">
        <v>6990</v>
      </c>
      <c r="P38" s="3513"/>
    </row>
    <row r="39" spans="1:16" s="293" customFormat="1" ht="13.35" customHeight="1">
      <c r="A39" s="471"/>
      <c r="B39" s="2351" t="s">
        <v>4489</v>
      </c>
      <c r="D39" s="2351"/>
      <c r="F39" s="3504" t="s">
        <v>6989</v>
      </c>
      <c r="G39" s="3485"/>
      <c r="H39" s="3486"/>
      <c r="I39" s="306" t="s">
        <v>601</v>
      </c>
      <c r="J39" s="3514" t="str">
        <f>IF(F38="","",VLOOKUP(F38,'DCA Underwriting Assumptions'!$T$173:$U$801,2,FALSE))</f>
        <v>Laurens</v>
      </c>
      <c r="K39" s="3515"/>
      <c r="M39" s="2346" t="s">
        <v>442</v>
      </c>
      <c r="N39" s="3516" t="s">
        <v>2888</v>
      </c>
      <c r="O39" s="2354" t="s">
        <v>443</v>
      </c>
      <c r="P39" s="3474" t="s">
        <v>2888</v>
      </c>
    </row>
    <row r="40" spans="1:16" s="293" customFormat="1" ht="13.35" customHeight="1">
      <c r="A40" s="471"/>
      <c r="B40" s="295"/>
      <c r="C40" s="293" t="s">
        <v>1525</v>
      </c>
      <c r="F40" s="3517" t="s">
        <v>2885</v>
      </c>
      <c r="G40" s="2406" t="s">
        <v>2689</v>
      </c>
      <c r="H40" s="2407"/>
      <c r="I40" s="499" t="str">
        <f>IF($J$39="","",IF(VLOOKUP($J$39,'DCA Underwriting Assumptions'!G173:M332,7,FALSE)="Rural","Yes",IF(VLOOKUP($J$39,'DCA Underwriting Assumptions'!G173:M332,7,FALSE)="Urban","No","")))</f>
        <v>Yes</v>
      </c>
      <c r="J40" s="2360" t="s">
        <v>2707</v>
      </c>
      <c r="K40" s="1557" t="str">
        <f>IF(OR(F40="Yes",I40="Yes"),"Rural","Urban")</f>
        <v>Rural</v>
      </c>
      <c r="M40" s="2346" t="s">
        <v>2543</v>
      </c>
      <c r="N40" s="1558" t="str">
        <f>VLOOKUP($J$39,'DCA Underwriting Assumptions'!$G$173:$J$332,4)</f>
        <v>Non-MSA</v>
      </c>
      <c r="O40" s="3518" t="str">
        <f>IF($F$38="","",VLOOKUP($J$39,'DCA Underwriting Assumptions'!$G$173:$L$332,3,FALSE))</f>
        <v>Laurens Co.</v>
      </c>
      <c r="P40" s="3519"/>
    </row>
    <row r="41" spans="1:16" s="293" customFormat="1" ht="6" customHeight="1">
      <c r="A41" s="471"/>
      <c r="B41" s="295"/>
      <c r="C41" s="295"/>
      <c r="I41" s="2343"/>
      <c r="J41" s="2351"/>
      <c r="L41" s="2363"/>
      <c r="M41" s="2363"/>
      <c r="N41" s="2363"/>
      <c r="O41" s="2363"/>
      <c r="P41" s="2363"/>
    </row>
    <row r="42" spans="1:16" s="293" customFormat="1" ht="13.35" customHeight="1">
      <c r="A42" s="471"/>
      <c r="C42" s="293" t="s">
        <v>2657</v>
      </c>
      <c r="F42" s="2408" t="s">
        <v>2672</v>
      </c>
      <c r="G42" s="2408"/>
      <c r="H42" s="2409" t="s">
        <v>718</v>
      </c>
      <c r="I42" s="2409"/>
      <c r="J42" s="2409" t="s">
        <v>719</v>
      </c>
      <c r="K42" s="2409"/>
      <c r="L42" s="486" t="s">
        <v>4379</v>
      </c>
    </row>
    <row r="43" spans="1:16" s="293" customFormat="1" ht="13.35" customHeight="1">
      <c r="A43" s="471"/>
      <c r="B43" s="293" t="s">
        <v>2671</v>
      </c>
      <c r="D43" s="295"/>
      <c r="F43" s="3520">
        <v>12</v>
      </c>
      <c r="G43" s="3521"/>
      <c r="H43" s="3520">
        <v>20</v>
      </c>
      <c r="I43" s="3521"/>
      <c r="J43" s="3520">
        <v>150</v>
      </c>
      <c r="K43" s="3521"/>
      <c r="L43" s="482" t="s">
        <v>1257</v>
      </c>
      <c r="N43" s="2404" t="s">
        <v>1258</v>
      </c>
      <c r="O43" s="2404"/>
      <c r="P43" s="2404"/>
    </row>
    <row r="44" spans="1:16" s="293" customFormat="1" ht="12.75" customHeight="1">
      <c r="A44" s="471"/>
      <c r="B44" s="2343" t="s">
        <v>720</v>
      </c>
      <c r="F44" s="3522"/>
      <c r="G44" s="3523"/>
      <c r="H44" s="3522"/>
      <c r="I44" s="3523"/>
      <c r="J44" s="3522"/>
      <c r="K44" s="3523"/>
      <c r="L44" s="482" t="s">
        <v>2670</v>
      </c>
      <c r="N44" s="2405" t="s">
        <v>2669</v>
      </c>
      <c r="O44" s="2405"/>
    </row>
    <row r="45" spans="1:16" s="293" customFormat="1" ht="3" customHeight="1">
      <c r="A45" s="471"/>
      <c r="I45" s="2363"/>
      <c r="J45" s="2363"/>
      <c r="K45" s="2363"/>
      <c r="L45" s="2351"/>
      <c r="M45" s="2351"/>
      <c r="N45" s="2351"/>
      <c r="O45" s="2351"/>
      <c r="P45" s="2351"/>
    </row>
    <row r="46" spans="1:16" s="293" customFormat="1" ht="13.35" customHeight="1">
      <c r="A46" s="471"/>
      <c r="B46" s="295" t="s">
        <v>619</v>
      </c>
      <c r="F46" s="3524" t="s">
        <v>7000</v>
      </c>
      <c r="G46" s="3525"/>
      <c r="H46" s="3525"/>
      <c r="I46" s="3526"/>
      <c r="J46" s="3525"/>
      <c r="K46" s="3527"/>
      <c r="L46" s="840" t="s">
        <v>2624</v>
      </c>
      <c r="M46" s="3472" t="s">
        <v>7003</v>
      </c>
      <c r="N46" s="3481"/>
      <c r="O46" s="3481"/>
      <c r="P46" s="3473"/>
    </row>
    <row r="47" spans="1:16" s="293" customFormat="1" ht="13.35" customHeight="1">
      <c r="A47" s="471"/>
      <c r="B47" s="293" t="s">
        <v>620</v>
      </c>
      <c r="F47" s="3528" t="s">
        <v>7001</v>
      </c>
      <c r="G47" s="3529"/>
      <c r="H47" s="3530"/>
      <c r="I47" s="1007" t="s">
        <v>1932</v>
      </c>
      <c r="J47" s="3501" t="s">
        <v>7002</v>
      </c>
      <c r="K47" s="3503"/>
      <c r="L47" s="840"/>
    </row>
    <row r="48" spans="1:16" s="293" customFormat="1" ht="13.35" customHeight="1">
      <c r="A48" s="471"/>
      <c r="B48" s="293" t="s">
        <v>1933</v>
      </c>
      <c r="F48" s="3531" t="s">
        <v>7004</v>
      </c>
      <c r="G48" s="3532"/>
      <c r="H48" s="3533"/>
      <c r="I48" s="3525"/>
      <c r="J48" s="3532"/>
      <c r="K48" s="3534"/>
      <c r="L48" s="2344" t="s">
        <v>600</v>
      </c>
      <c r="M48" s="3535" t="s">
        <v>1880</v>
      </c>
      <c r="N48" s="3536"/>
      <c r="O48" s="3536"/>
      <c r="P48" s="3537"/>
    </row>
    <row r="49" spans="1:19" s="293" customFormat="1" ht="13.35" customHeight="1">
      <c r="A49" s="471"/>
      <c r="B49" s="2346" t="s">
        <v>2172</v>
      </c>
      <c r="F49" s="3538">
        <v>310215277</v>
      </c>
      <c r="G49" s="3539"/>
      <c r="H49" s="2360" t="s">
        <v>1934</v>
      </c>
      <c r="I49" s="3540">
        <v>4782721620</v>
      </c>
      <c r="J49" s="3541"/>
      <c r="K49" s="3542"/>
      <c r="L49" s="2343" t="s">
        <v>1755</v>
      </c>
      <c r="M49" s="3543" t="s">
        <v>7005</v>
      </c>
      <c r="N49" s="3544"/>
      <c r="O49" s="3544"/>
      <c r="P49" s="3545"/>
    </row>
    <row r="50" spans="1:19" s="293" customFormat="1" ht="6" customHeight="1">
      <c r="A50" s="471"/>
      <c r="B50" s="471"/>
      <c r="C50" s="308"/>
      <c r="D50" s="309"/>
      <c r="E50" s="309"/>
      <c r="F50" s="2354"/>
      <c r="G50" s="2354"/>
      <c r="H50" s="2354"/>
      <c r="I50" s="2354"/>
      <c r="J50" s="309"/>
      <c r="K50" s="2354"/>
      <c r="L50" s="2354"/>
      <c r="N50" s="2351"/>
      <c r="O50" s="2351"/>
      <c r="P50" s="302"/>
    </row>
    <row r="51" spans="1:19" s="293" customFormat="1" ht="12" customHeight="1">
      <c r="A51" s="298" t="s">
        <v>1750</v>
      </c>
      <c r="B51" s="295" t="s">
        <v>1444</v>
      </c>
      <c r="F51" s="310"/>
      <c r="I51" s="2346"/>
      <c r="J51" s="2351"/>
      <c r="K51" s="2351"/>
      <c r="L51" s="2351"/>
      <c r="M51" s="2351"/>
    </row>
    <row r="52" spans="1:19" s="293" customFormat="1" ht="1.5" customHeight="1">
      <c r="A52" s="471"/>
      <c r="B52" s="295"/>
      <c r="C52" s="295"/>
      <c r="I52" s="2346"/>
      <c r="J52" s="2351"/>
      <c r="K52" s="2351"/>
      <c r="L52" s="2351"/>
      <c r="M52" s="2351"/>
      <c r="N52" s="2351"/>
      <c r="O52" s="2351"/>
      <c r="P52" s="2351"/>
      <c r="Q52" s="2351"/>
    </row>
    <row r="53" spans="1:19" s="293" customFormat="1">
      <c r="A53" s="471"/>
      <c r="B53" s="471" t="s">
        <v>1935</v>
      </c>
      <c r="C53" s="295" t="s">
        <v>700</v>
      </c>
      <c r="I53" s="2351"/>
      <c r="J53" s="2351"/>
      <c r="K53" s="483"/>
      <c r="L53" s="2351"/>
      <c r="M53" s="485"/>
      <c r="N53" s="485"/>
      <c r="O53" s="485"/>
      <c r="P53" s="485"/>
      <c r="Q53" s="2354"/>
    </row>
    <row r="54" spans="1:19" ht="13.35" customHeight="1">
      <c r="B54" s="471"/>
      <c r="C54" s="293" t="s">
        <v>2236</v>
      </c>
      <c r="D54" s="293"/>
      <c r="E54" s="293"/>
      <c r="H54" s="1024">
        <f>'Part VI-Revenues &amp; Expenses'!$P$115</f>
        <v>6</v>
      </c>
      <c r="K54" s="2343" t="s">
        <v>3498</v>
      </c>
      <c r="L54" s="293"/>
      <c r="M54" s="883" t="s">
        <v>3497</v>
      </c>
      <c r="N54" s="312">
        <f>'Part VI-Revenues &amp; Expenses'!$P$122</f>
        <v>0</v>
      </c>
      <c r="O54" s="884" t="s">
        <v>3250</v>
      </c>
      <c r="P54" s="312">
        <f>'Part VI-Revenues &amp; Expenses'!$P$123</f>
        <v>44</v>
      </c>
      <c r="Q54" s="2354"/>
    </row>
    <row r="55" spans="1:19" s="293" customFormat="1">
      <c r="A55" s="471"/>
      <c r="B55" s="471"/>
      <c r="C55" s="313" t="s">
        <v>342</v>
      </c>
      <c r="H55" s="1025">
        <f>'Part VI-Revenues &amp; Expenses'!$P$121</f>
        <v>44</v>
      </c>
      <c r="K55" s="313" t="s">
        <v>360</v>
      </c>
      <c r="P55" s="312">
        <f>'Part VI-Revenues &amp; Expenses'!$P$125</f>
        <v>44</v>
      </c>
    </row>
    <row r="56" spans="1:19" s="293" customFormat="1" ht="13.35" customHeight="1">
      <c r="B56" s="471"/>
      <c r="C56" s="2343" t="s">
        <v>341</v>
      </c>
      <c r="D56" s="2351"/>
      <c r="H56" s="1026">
        <f>'Part VI-Revenues &amp; Expenses'!$P$118</f>
        <v>0</v>
      </c>
      <c r="I56" s="472" t="s">
        <v>2806</v>
      </c>
      <c r="K56" s="293" t="s">
        <v>343</v>
      </c>
      <c r="P56" s="3546">
        <v>16618</v>
      </c>
      <c r="Q56" s="2354"/>
    </row>
    <row r="57" spans="1:19" s="293" customFormat="1" ht="3.6" customHeight="1">
      <c r="A57" s="471"/>
      <c r="P57" s="2351"/>
    </row>
    <row r="58" spans="1:19" s="293" customFormat="1">
      <c r="A58" s="471"/>
      <c r="B58" s="471" t="s">
        <v>1937</v>
      </c>
      <c r="C58" s="295" t="s">
        <v>2237</v>
      </c>
      <c r="H58" s="3547" t="s">
        <v>2888</v>
      </c>
      <c r="K58" s="2351"/>
      <c r="L58" s="2351"/>
      <c r="M58" s="2351"/>
      <c r="N58" s="2351"/>
      <c r="O58" s="485"/>
      <c r="P58" s="483"/>
      <c r="Q58" s="2351"/>
    </row>
    <row r="59" spans="1:19" s="293" customFormat="1" ht="3" customHeight="1">
      <c r="A59" s="471"/>
      <c r="I59" s="2351"/>
      <c r="J59" s="483"/>
      <c r="K59" s="484"/>
      <c r="L59" s="483"/>
      <c r="M59" s="484"/>
      <c r="N59" s="484"/>
      <c r="O59" s="484"/>
      <c r="P59" s="484"/>
      <c r="Q59" s="2351"/>
    </row>
    <row r="60" spans="1:19" s="293" customFormat="1" ht="13.35" customHeight="1">
      <c r="A60" s="471"/>
      <c r="B60" s="304" t="s">
        <v>731</v>
      </c>
      <c r="C60" s="303" t="s">
        <v>2217</v>
      </c>
      <c r="D60" s="2351"/>
      <c r="I60" s="2355" t="s">
        <v>3432</v>
      </c>
      <c r="J60" s="304" t="s">
        <v>2064</v>
      </c>
      <c r="K60" s="314" t="s">
        <v>2242</v>
      </c>
      <c r="M60" s="2351"/>
      <c r="N60" s="2351"/>
      <c r="O60" s="2351"/>
      <c r="P60" s="2354"/>
      <c r="Q60" s="2354"/>
      <c r="R60" s="2354"/>
      <c r="S60" s="2351"/>
    </row>
    <row r="61" spans="1:19" s="293" customFormat="1" ht="13.35" customHeight="1">
      <c r="A61" s="471"/>
      <c r="B61" s="2347"/>
      <c r="C61" s="301" t="s">
        <v>2218</v>
      </c>
      <c r="D61" s="2351"/>
      <c r="E61" s="2351"/>
      <c r="H61" s="605">
        <f>SUM(H62:H68)</f>
        <v>50</v>
      </c>
      <c r="I61" s="605">
        <f>SUM(I62:I68)</f>
        <v>0</v>
      </c>
      <c r="J61" s="471"/>
      <c r="K61" s="301" t="s">
        <v>2681</v>
      </c>
      <c r="M61" s="2351"/>
      <c r="N61" s="2351"/>
      <c r="O61" s="2351"/>
      <c r="P61" s="1346">
        <f>SUM(P62:P68)</f>
        <v>30920</v>
      </c>
    </row>
    <row r="62" spans="1:19" s="293" customFormat="1" ht="13.35" customHeight="1">
      <c r="A62" s="471"/>
      <c r="B62" s="2347"/>
      <c r="C62" s="301"/>
      <c r="D62" s="316" t="s">
        <v>4215</v>
      </c>
      <c r="E62" s="2351"/>
      <c r="H62" s="818">
        <f>'Part VI-Revenues &amp; Expenses'!$P$56</f>
        <v>5</v>
      </c>
      <c r="I62" s="818">
        <f>'Part VI-Revenues &amp; Expenses'!$P$93</f>
        <v>0</v>
      </c>
      <c r="J62" s="471"/>
      <c r="K62" s="301"/>
      <c r="L62" s="316" t="s">
        <v>4215</v>
      </c>
      <c r="M62" s="2351"/>
      <c r="N62" s="2351"/>
      <c r="O62" s="2351"/>
      <c r="P62" s="818">
        <f>'Part VI-Revenues &amp; Expenses'!$P$159</f>
        <v>3220</v>
      </c>
    </row>
    <row r="63" spans="1:19" s="293" customFormat="1" ht="13.35" customHeight="1">
      <c r="A63" s="471"/>
      <c r="B63" s="2347"/>
      <c r="C63" s="301"/>
      <c r="D63" s="316" t="s">
        <v>4216</v>
      </c>
      <c r="E63" s="2351"/>
      <c r="H63" s="1348">
        <f>'Part VI-Revenues &amp; Expenses'!$P$57</f>
        <v>0</v>
      </c>
      <c r="I63" s="1348">
        <f>'Part VI-Revenues &amp; Expenses'!$P$94</f>
        <v>0</v>
      </c>
      <c r="J63" s="471"/>
      <c r="K63" s="301"/>
      <c r="L63" s="316" t="s">
        <v>4216</v>
      </c>
      <c r="M63" s="2351"/>
      <c r="N63" s="2351"/>
      <c r="O63" s="2351"/>
      <c r="P63" s="1348">
        <f>'Part VI-Revenues &amp; Expenses'!$P$160</f>
        <v>0</v>
      </c>
    </row>
    <row r="64" spans="1:19" s="293" customFormat="1" ht="13.35" customHeight="1">
      <c r="A64" s="471"/>
      <c r="B64" s="311"/>
      <c r="D64" s="316" t="s">
        <v>4213</v>
      </c>
      <c r="E64" s="316"/>
      <c r="H64" s="1348">
        <f>'Part VI-Revenues &amp; Expenses'!$P$58</f>
        <v>20</v>
      </c>
      <c r="I64" s="1348">
        <f>'Part VI-Revenues &amp; Expenses'!$P$95</f>
        <v>0</v>
      </c>
      <c r="L64" s="316" t="s">
        <v>4213</v>
      </c>
      <c r="O64" s="2351"/>
      <c r="P64" s="1348">
        <f>'Part VI-Revenues &amp; Expenses'!$P$161</f>
        <v>12240</v>
      </c>
    </row>
    <row r="65" spans="1:16" s="293" customFormat="1" ht="13.35" customHeight="1">
      <c r="A65" s="471"/>
      <c r="D65" s="316" t="s">
        <v>4214</v>
      </c>
      <c r="E65" s="2351"/>
      <c r="H65" s="1348">
        <f>'Part VI-Revenues &amp; Expenses'!$P$59</f>
        <v>25</v>
      </c>
      <c r="I65" s="1348">
        <f>'Part VI-Revenues &amp; Expenses'!$P$96</f>
        <v>0</v>
      </c>
      <c r="L65" s="316" t="s">
        <v>4214</v>
      </c>
      <c r="O65" s="2351"/>
      <c r="P65" s="1348">
        <f>'Part VI-Revenues &amp; Expenses'!$P$162</f>
        <v>15460</v>
      </c>
    </row>
    <row r="66" spans="1:16" s="293" customFormat="1" ht="13.35" customHeight="1">
      <c r="A66" s="471"/>
      <c r="D66" s="316" t="s">
        <v>4217</v>
      </c>
      <c r="E66" s="316"/>
      <c r="H66" s="1348">
        <f>'Part VI-Revenues &amp; Expenses'!$P$60</f>
        <v>0</v>
      </c>
      <c r="I66" s="1348">
        <f>'Part VI-Revenues &amp; Expenses'!$P$97</f>
        <v>0</v>
      </c>
      <c r="L66" s="316" t="s">
        <v>4217</v>
      </c>
      <c r="O66" s="2351"/>
      <c r="P66" s="1348">
        <f>'Part VI-Revenues &amp; Expenses'!$P$163</f>
        <v>0</v>
      </c>
    </row>
    <row r="67" spans="1:16" s="293" customFormat="1" ht="13.35" customHeight="1">
      <c r="A67" s="471"/>
      <c r="D67" s="316" t="s">
        <v>4218</v>
      </c>
      <c r="E67" s="316"/>
      <c r="H67" s="1348">
        <f>'Part VI-Revenues &amp; Expenses'!$P$61</f>
        <v>0</v>
      </c>
      <c r="I67" s="1348">
        <f>'Part VI-Revenues &amp; Expenses'!$P$98</f>
        <v>0</v>
      </c>
      <c r="L67" s="316" t="s">
        <v>4218</v>
      </c>
      <c r="O67" s="2351"/>
      <c r="P67" s="1348">
        <f>'Part VI-Revenues &amp; Expenses'!$P$164</f>
        <v>0</v>
      </c>
    </row>
    <row r="68" spans="1:16" s="293" customFormat="1" ht="13.35" customHeight="1">
      <c r="A68" s="471"/>
      <c r="D68" s="316" t="s">
        <v>4219</v>
      </c>
      <c r="E68" s="316"/>
      <c r="H68" s="819">
        <f>'Part VI-Revenues &amp; Expenses'!$P$62</f>
        <v>0</v>
      </c>
      <c r="I68" s="819">
        <f>'Part VI-Revenues &amp; Expenses'!$P$99</f>
        <v>0</v>
      </c>
      <c r="L68" s="316" t="s">
        <v>4219</v>
      </c>
      <c r="O68" s="2351"/>
      <c r="P68" s="819">
        <f>'Part VI-Revenues &amp; Expenses'!$P$165</f>
        <v>0</v>
      </c>
    </row>
    <row r="69" spans="1:16" s="293" customFormat="1" ht="13.35" customHeight="1">
      <c r="A69" s="471"/>
      <c r="C69" s="301" t="s">
        <v>248</v>
      </c>
      <c r="D69" s="2351"/>
      <c r="E69" s="2351"/>
      <c r="H69" s="1347">
        <f>'Part VI-Revenues &amp; Expenses'!$P$64</f>
        <v>0</v>
      </c>
      <c r="J69" s="471"/>
      <c r="K69" s="301" t="s">
        <v>2682</v>
      </c>
      <c r="M69" s="2351"/>
      <c r="N69" s="2351"/>
      <c r="O69" s="2351"/>
      <c r="P69" s="1349">
        <f>'Part VI-Revenues &amp; Expenses'!$P$167</f>
        <v>0</v>
      </c>
    </row>
    <row r="70" spans="1:16" s="293" customFormat="1" ht="13.35" customHeight="1">
      <c r="A70" s="471"/>
      <c r="C70" s="301" t="s">
        <v>2344</v>
      </c>
      <c r="D70" s="2351"/>
      <c r="E70" s="2351"/>
      <c r="H70" s="818">
        <f>H61+H69</f>
        <v>50</v>
      </c>
      <c r="J70" s="471"/>
      <c r="K70" s="301" t="s">
        <v>2683</v>
      </c>
      <c r="M70" s="2351"/>
      <c r="N70" s="2351"/>
      <c r="O70" s="2351"/>
      <c r="P70" s="818">
        <f>P61+P69</f>
        <v>30920</v>
      </c>
    </row>
    <row r="71" spans="1:16" s="293" customFormat="1" ht="13.35" customHeight="1">
      <c r="A71" s="471"/>
      <c r="C71" s="301" t="s">
        <v>2345</v>
      </c>
      <c r="D71" s="2351"/>
      <c r="E71" s="2351"/>
      <c r="H71" s="819">
        <f>'Part VI-Revenues &amp; Expenses'!$P$66</f>
        <v>0</v>
      </c>
      <c r="J71" s="471"/>
      <c r="K71" s="301" t="s">
        <v>2684</v>
      </c>
      <c r="M71" s="2351"/>
      <c r="N71" s="2351"/>
      <c r="O71" s="2351"/>
      <c r="P71" s="819">
        <f>'Part VI-Revenues &amp; Expenses'!$P$169</f>
        <v>0</v>
      </c>
    </row>
    <row r="72" spans="1:16" s="293" customFormat="1" ht="13.35" customHeight="1">
      <c r="A72" s="471"/>
      <c r="C72" s="301" t="s">
        <v>1749</v>
      </c>
      <c r="D72" s="2351"/>
      <c r="E72" s="2351"/>
      <c r="H72" s="315">
        <f>+H70+H71</f>
        <v>50</v>
      </c>
      <c r="J72" s="2351"/>
      <c r="K72" s="301" t="s">
        <v>1392</v>
      </c>
      <c r="M72" s="2351"/>
      <c r="N72" s="2351"/>
      <c r="O72" s="2351"/>
      <c r="P72" s="315">
        <f>+P70+P71</f>
        <v>30920</v>
      </c>
    </row>
    <row r="73" spans="1:16" s="293" customFormat="1" ht="3" customHeight="1">
      <c r="A73" s="471"/>
      <c r="I73" s="2354"/>
      <c r="L73" s="2354"/>
      <c r="M73" s="2354"/>
      <c r="N73" s="2351"/>
      <c r="P73" s="302"/>
    </row>
    <row r="74" spans="1:16" s="293" customFormat="1" ht="13.35" customHeight="1">
      <c r="A74" s="471"/>
      <c r="B74" s="471" t="s">
        <v>1692</v>
      </c>
      <c r="C74" s="303" t="s">
        <v>2238</v>
      </c>
      <c r="D74" s="316" t="s">
        <v>1948</v>
      </c>
      <c r="G74" s="2351"/>
      <c r="H74" s="3548">
        <v>3</v>
      </c>
      <c r="K74" s="301" t="s">
        <v>4443</v>
      </c>
      <c r="O74" s="2351"/>
      <c r="P74" s="3549">
        <v>9725</v>
      </c>
    </row>
    <row r="75" spans="1:16" s="293" customFormat="1" ht="13.35" customHeight="1">
      <c r="A75" s="471"/>
      <c r="B75" s="471"/>
      <c r="D75" s="2347" t="s">
        <v>1949</v>
      </c>
      <c r="H75" s="3550">
        <v>0</v>
      </c>
      <c r="I75" s="2351"/>
      <c r="K75" s="301" t="s">
        <v>247</v>
      </c>
      <c r="O75" s="2351"/>
      <c r="P75" s="315">
        <f>+P72+P74</f>
        <v>40645</v>
      </c>
    </row>
    <row r="76" spans="1:16" s="293" customFormat="1" ht="13.35" customHeight="1">
      <c r="A76" s="471"/>
      <c r="B76" s="471"/>
      <c r="D76" s="2347" t="s">
        <v>1950</v>
      </c>
      <c r="H76" s="315">
        <f>+H74+H75</f>
        <v>3</v>
      </c>
      <c r="I76" s="2351"/>
    </row>
    <row r="77" spans="1:16" s="293" customFormat="1" ht="3" customHeight="1">
      <c r="A77" s="471"/>
      <c r="B77" s="471"/>
      <c r="C77" s="2351"/>
      <c r="D77" s="2351"/>
      <c r="E77" s="2351"/>
      <c r="F77" s="2351"/>
      <c r="G77" s="2354"/>
      <c r="I77" s="301"/>
      <c r="J77" s="2351"/>
      <c r="P77" s="302"/>
    </row>
    <row r="78" spans="1:16" s="293" customFormat="1" ht="13.35" customHeight="1">
      <c r="A78" s="471"/>
      <c r="B78" s="471" t="s">
        <v>1693</v>
      </c>
      <c r="C78" s="303" t="s">
        <v>2742</v>
      </c>
      <c r="D78" s="2351"/>
      <c r="E78" s="2351"/>
      <c r="F78" s="2351"/>
      <c r="G78" s="2351"/>
      <c r="H78" s="3549">
        <v>37</v>
      </c>
      <c r="K78" s="2420" t="s">
        <v>3635</v>
      </c>
      <c r="L78" s="2420"/>
      <c r="M78" s="2420"/>
      <c r="N78" s="2420"/>
      <c r="O78" s="2420"/>
      <c r="P78" s="2420"/>
    </row>
    <row r="79" spans="1:16" s="293" customFormat="1" ht="6" customHeight="1">
      <c r="A79" s="471"/>
      <c r="B79" s="471"/>
      <c r="C79" s="301"/>
      <c r="D79" s="2351"/>
      <c r="E79" s="2351"/>
      <c r="F79" s="2351"/>
      <c r="G79" s="2354"/>
      <c r="H79" s="2351"/>
      <c r="I79" s="301"/>
      <c r="J79" s="301"/>
      <c r="K79" s="2420"/>
      <c r="L79" s="2420"/>
      <c r="M79" s="2420"/>
      <c r="N79" s="2420"/>
      <c r="O79" s="2420"/>
      <c r="P79" s="2420"/>
    </row>
    <row r="80" spans="1:16" s="293" customFormat="1" ht="13.35" customHeight="1">
      <c r="A80" s="471" t="s">
        <v>516</v>
      </c>
      <c r="B80" s="317" t="s">
        <v>1166</v>
      </c>
      <c r="D80" s="317"/>
      <c r="E80" s="317"/>
      <c r="F80" s="2351"/>
      <c r="G80" s="2354"/>
      <c r="H80" s="497"/>
      <c r="K80" s="2420"/>
      <c r="L80" s="2420"/>
      <c r="M80" s="2420"/>
      <c r="N80" s="2420"/>
      <c r="O80" s="2420"/>
      <c r="P80" s="2420"/>
    </row>
    <row r="81" spans="1:16" s="293" customFormat="1" ht="3" customHeight="1">
      <c r="A81" s="471"/>
      <c r="C81" s="1481"/>
      <c r="D81" s="1481"/>
      <c r="E81" s="1481"/>
      <c r="F81" s="2351"/>
      <c r="G81" s="2354"/>
      <c r="K81" s="2351"/>
      <c r="P81" s="302"/>
    </row>
    <row r="82" spans="1:16" s="293" customFormat="1" ht="13.35" customHeight="1">
      <c r="A82" s="471"/>
      <c r="B82" s="471" t="s">
        <v>1935</v>
      </c>
      <c r="C82" s="2345" t="s">
        <v>2612</v>
      </c>
      <c r="D82" s="1481"/>
      <c r="E82" s="1481"/>
      <c r="F82" s="2351"/>
      <c r="G82" s="2354"/>
      <c r="H82" s="3551" t="s">
        <v>2807</v>
      </c>
      <c r="I82" s="3552"/>
      <c r="K82" s="2419" t="s">
        <v>1728</v>
      </c>
      <c r="L82" s="2419"/>
      <c r="M82" s="3472" t="s">
        <v>7006</v>
      </c>
      <c r="N82" s="3481"/>
      <c r="O82" s="3481"/>
      <c r="P82" s="3473"/>
    </row>
    <row r="83" spans="1:16" s="293" customFormat="1" ht="3" customHeight="1">
      <c r="A83" s="471"/>
      <c r="B83" s="471"/>
      <c r="D83" s="2347"/>
      <c r="E83" s="2347"/>
      <c r="F83" s="2347"/>
      <c r="G83" s="2347"/>
      <c r="I83" s="2354"/>
      <c r="K83" s="2346"/>
      <c r="L83" s="2346"/>
      <c r="M83" s="2354"/>
      <c r="N83" s="2351"/>
      <c r="P83" s="302"/>
    </row>
    <row r="84" spans="1:16" s="293" customFormat="1">
      <c r="A84" s="471"/>
      <c r="B84" s="471"/>
      <c r="E84" s="1481"/>
      <c r="K84" s="2423" t="s">
        <v>4391</v>
      </c>
      <c r="L84" s="318" t="s">
        <v>2807</v>
      </c>
      <c r="M84" s="3553">
        <v>50</v>
      </c>
      <c r="N84" s="318" t="s">
        <v>2808</v>
      </c>
      <c r="O84" s="3553"/>
      <c r="P84" s="2343" t="s">
        <v>4390</v>
      </c>
    </row>
    <row r="85" spans="1:16" s="293" customFormat="1">
      <c r="A85" s="471"/>
      <c r="B85" s="471"/>
      <c r="D85" s="2346"/>
      <c r="E85" s="1481"/>
      <c r="J85" s="1479"/>
      <c r="K85" s="2423"/>
      <c r="L85" s="305" t="s">
        <v>2809</v>
      </c>
      <c r="M85" s="3550"/>
      <c r="N85" s="305" t="s">
        <v>3651</v>
      </c>
      <c r="O85" s="3550"/>
      <c r="P85" s="3554"/>
    </row>
    <row r="86" spans="1:16" s="293" customFormat="1" ht="9" customHeight="1">
      <c r="A86" s="471"/>
      <c r="B86" s="471"/>
      <c r="D86" s="2347"/>
      <c r="E86" s="2347"/>
      <c r="F86" s="2347"/>
      <c r="G86" s="2347"/>
      <c r="I86" s="2354"/>
      <c r="K86" s="2346"/>
      <c r="L86" s="2346"/>
      <c r="M86" s="2354"/>
      <c r="N86" s="2351"/>
      <c r="P86" s="302"/>
    </row>
    <row r="87" spans="1:16" s="293" customFormat="1">
      <c r="A87" s="471"/>
      <c r="B87" s="471" t="s">
        <v>1937</v>
      </c>
      <c r="C87" s="303" t="s">
        <v>1384</v>
      </c>
      <c r="D87" s="2351"/>
      <c r="E87" s="316"/>
      <c r="F87" s="2347" t="s">
        <v>776</v>
      </c>
      <c r="H87" s="605">
        <f>'Part VIII-Threshold Criteria'!K305</f>
        <v>6</v>
      </c>
      <c r="K87" s="2419" t="s">
        <v>506</v>
      </c>
      <c r="L87" s="2419"/>
      <c r="N87" s="1559">
        <f>IF('Part VI-Revenues &amp; Expenses'!$P$67=0,0,H87/'Part VI-Revenues &amp; Expenses'!$P$67)</f>
        <v>0.12</v>
      </c>
      <c r="O87" s="305" t="s">
        <v>3517</v>
      </c>
      <c r="P87" s="895">
        <f>'DCA Underwriting Assumptions'!$Q$154</f>
        <v>0.05</v>
      </c>
    </row>
    <row r="88" spans="1:16" s="293" customFormat="1">
      <c r="A88" s="471"/>
      <c r="B88" s="471"/>
      <c r="D88" s="2347" t="s">
        <v>2740</v>
      </c>
      <c r="E88" s="2347"/>
      <c r="F88" s="2347" t="s">
        <v>776</v>
      </c>
      <c r="H88" s="605">
        <f>'Part VIII-Threshold Criteria'!K306</f>
        <v>6</v>
      </c>
      <c r="K88" s="2351" t="s">
        <v>2741</v>
      </c>
      <c r="L88" s="2351"/>
      <c r="N88" s="1559">
        <f>IF(H87=0,0,H88/H87)</f>
        <v>1</v>
      </c>
      <c r="O88" s="305" t="s">
        <v>3517</v>
      </c>
      <c r="P88" s="895">
        <f>'DCA Underwriting Assumptions'!$Q$155</f>
        <v>0.4</v>
      </c>
    </row>
    <row r="89" spans="1:16" s="293" customFormat="1" ht="9" customHeight="1">
      <c r="A89" s="471"/>
      <c r="B89" s="471"/>
      <c r="D89" s="2347"/>
      <c r="E89" s="2347"/>
      <c r="F89" s="2347"/>
      <c r="I89" s="2354"/>
      <c r="K89" s="2346"/>
      <c r="L89" s="2346"/>
      <c r="M89" s="2354"/>
      <c r="N89" s="2354"/>
      <c r="P89" s="2360"/>
    </row>
    <row r="90" spans="1:16" s="293" customFormat="1">
      <c r="A90" s="471"/>
      <c r="B90" s="471" t="s">
        <v>731</v>
      </c>
      <c r="C90" s="303" t="s">
        <v>1797</v>
      </c>
      <c r="D90" s="316"/>
      <c r="E90" s="316"/>
      <c r="F90" s="2347" t="s">
        <v>776</v>
      </c>
      <c r="H90" s="605">
        <f>'Part VIII-Threshold Criteria'!K308</f>
        <v>2</v>
      </c>
      <c r="K90" s="2419" t="s">
        <v>506</v>
      </c>
      <c r="L90" s="2419"/>
      <c r="N90" s="1559">
        <f>IF('Part VI-Revenues &amp; Expenses'!$P$67=0,0,H90/'Part VI-Revenues &amp; Expenses'!$P$67)</f>
        <v>0.04</v>
      </c>
      <c r="O90" s="305" t="s">
        <v>3517</v>
      </c>
      <c r="P90" s="895">
        <f>'DCA Underwriting Assumptions'!$Q$156</f>
        <v>0.02</v>
      </c>
    </row>
    <row r="91" spans="1:16" s="293" customFormat="1">
      <c r="A91" s="471"/>
      <c r="B91" s="471"/>
      <c r="D91" s="2347"/>
      <c r="E91" s="2347"/>
      <c r="F91" s="2347"/>
      <c r="G91" s="2347"/>
      <c r="I91" s="2354"/>
      <c r="J91" s="2354"/>
      <c r="K91" s="2354"/>
      <c r="L91" s="2354"/>
      <c r="M91" s="2354"/>
      <c r="N91" s="2351"/>
      <c r="P91" s="302"/>
    </row>
    <row r="92" spans="1:16" s="293" customFormat="1" ht="13.35" customHeight="1">
      <c r="A92" s="319" t="s">
        <v>754</v>
      </c>
      <c r="B92" s="1481" t="s">
        <v>4325</v>
      </c>
      <c r="D92" s="2347"/>
      <c r="E92" s="2347"/>
      <c r="F92" s="2347"/>
      <c r="G92" s="2347"/>
      <c r="H92" s="2347"/>
      <c r="I92" s="2354"/>
      <c r="M92" s="2354"/>
      <c r="N92" s="2351"/>
      <c r="P92" s="302"/>
    </row>
    <row r="93" spans="1:16" s="293" customFormat="1" ht="1.5" customHeight="1">
      <c r="A93" s="471"/>
      <c r="B93" s="471"/>
      <c r="C93" s="1481"/>
      <c r="D93" s="2347"/>
      <c r="E93" s="2347"/>
      <c r="F93" s="2347"/>
      <c r="L93" s="2354"/>
      <c r="M93" s="2354"/>
      <c r="N93" s="2351"/>
    </row>
    <row r="94" spans="1:16" s="293" customFormat="1" ht="13.35" customHeight="1">
      <c r="A94" s="471"/>
      <c r="B94" s="471" t="s">
        <v>1935</v>
      </c>
      <c r="C94" s="2345" t="s">
        <v>2315</v>
      </c>
      <c r="D94" s="2347"/>
      <c r="F94" s="2346"/>
      <c r="K94" s="3555" t="s">
        <v>4293</v>
      </c>
      <c r="L94" s="3556"/>
      <c r="M94" s="3557"/>
      <c r="N94" s="2351"/>
    </row>
    <row r="95" spans="1:16" s="293" customFormat="1" ht="1.5" customHeight="1">
      <c r="A95" s="471"/>
      <c r="B95" s="471"/>
      <c r="D95" s="2347"/>
      <c r="F95" s="2347"/>
      <c r="G95" s="2347"/>
      <c r="H95" s="472" t="s">
        <v>4485</v>
      </c>
      <c r="L95" s="2354"/>
      <c r="M95" s="2354"/>
    </row>
    <row r="96" spans="1:16" s="293" customFormat="1" ht="13.35" customHeight="1">
      <c r="B96" s="471" t="s">
        <v>1937</v>
      </c>
      <c r="C96" s="295" t="s">
        <v>1502</v>
      </c>
      <c r="K96" s="2343" t="s">
        <v>4374</v>
      </c>
      <c r="N96" s="320"/>
      <c r="P96" s="3558" t="s">
        <v>7056</v>
      </c>
    </row>
    <row r="97" spans="1:16" s="293" customFormat="1" ht="4.5" customHeight="1">
      <c r="A97" s="471"/>
      <c r="B97" s="471"/>
      <c r="C97" s="295"/>
      <c r="D97" s="2347"/>
      <c r="E97" s="2347"/>
      <c r="F97" s="2347"/>
      <c r="G97" s="2347"/>
      <c r="I97" s="2354"/>
      <c r="J97" s="2354"/>
      <c r="K97" s="2354"/>
      <c r="L97" s="2354"/>
      <c r="M97" s="2354"/>
      <c r="N97" s="2351"/>
      <c r="P97" s="302"/>
    </row>
    <row r="98" spans="1:16" s="293" customFormat="1" ht="13.35" customHeight="1">
      <c r="A98" s="319" t="s">
        <v>287</v>
      </c>
      <c r="B98" s="1481" t="s">
        <v>1992</v>
      </c>
      <c r="D98" s="2347"/>
    </row>
    <row r="99" spans="1:16" s="293" customFormat="1" ht="1.5" customHeight="1">
      <c r="A99" s="471"/>
      <c r="B99" s="471"/>
      <c r="D99" s="2347"/>
      <c r="N99" s="2351"/>
      <c r="P99" s="302"/>
    </row>
    <row r="100" spans="1:16" s="293" customFormat="1" ht="13.35" customHeight="1">
      <c r="A100" s="319"/>
      <c r="B100" s="471" t="s">
        <v>1935</v>
      </c>
      <c r="C100" s="295" t="s">
        <v>2627</v>
      </c>
      <c r="F100" s="316" t="s">
        <v>2532</v>
      </c>
      <c r="H100" s="3559" t="s">
        <v>2888</v>
      </c>
      <c r="K100" s="2346" t="s">
        <v>3665</v>
      </c>
      <c r="P100" s="3559" t="s">
        <v>2888</v>
      </c>
    </row>
    <row r="101" spans="1:16" s="293" customFormat="1" ht="13.35" customHeight="1">
      <c r="A101" s="319"/>
      <c r="B101" s="471"/>
      <c r="C101" s="295"/>
      <c r="F101" s="2347" t="s">
        <v>3669</v>
      </c>
      <c r="H101" s="3560" t="s">
        <v>2888</v>
      </c>
      <c r="K101" s="2346" t="s">
        <v>4228</v>
      </c>
      <c r="P101" s="3560" t="s">
        <v>2888</v>
      </c>
    </row>
    <row r="102" spans="1:16" s="293" customFormat="1" ht="1.5" customHeight="1">
      <c r="A102" s="471"/>
      <c r="B102" s="471"/>
      <c r="C102" s="1481"/>
      <c r="F102" s="2347"/>
      <c r="H102" s="2347"/>
      <c r="J102" s="2354"/>
      <c r="K102" s="2354"/>
      <c r="L102" s="2354"/>
      <c r="M102" s="2354"/>
      <c r="N102" s="2354"/>
      <c r="P102" s="302"/>
    </row>
    <row r="103" spans="1:16" s="293" customFormat="1" ht="13.35" customHeight="1">
      <c r="A103" s="319"/>
      <c r="B103" s="471" t="s">
        <v>1937</v>
      </c>
      <c r="C103" s="295" t="s">
        <v>2628</v>
      </c>
      <c r="F103" s="2346" t="s">
        <v>2602</v>
      </c>
      <c r="H103" s="3547" t="s">
        <v>2888</v>
      </c>
      <c r="J103" s="2354"/>
      <c r="K103" s="466" t="s">
        <v>2629</v>
      </c>
      <c r="L103" s="2354"/>
    </row>
    <row r="104" spans="1:16" s="293" customFormat="1" ht="4.5" customHeight="1">
      <c r="A104" s="471"/>
      <c r="B104" s="471"/>
      <c r="C104" s="295"/>
      <c r="D104" s="2347"/>
      <c r="E104" s="2347"/>
      <c r="F104" s="2347"/>
      <c r="G104" s="2347"/>
      <c r="I104" s="2354"/>
      <c r="J104" s="2354"/>
      <c r="K104" s="2354"/>
      <c r="L104" s="2354"/>
      <c r="M104" s="2354"/>
      <c r="N104" s="2351"/>
      <c r="P104" s="302"/>
    </row>
    <row r="105" spans="1:16" s="293" customFormat="1" ht="13.35" customHeight="1">
      <c r="A105" s="319" t="s">
        <v>418</v>
      </c>
      <c r="B105" s="1481" t="s">
        <v>2691</v>
      </c>
      <c r="D105" s="2347"/>
      <c r="H105" s="3555" t="s">
        <v>2531</v>
      </c>
      <c r="I105" s="3557"/>
      <c r="J105" s="2354"/>
    </row>
    <row r="106" spans="1:16" s="293" customFormat="1" ht="4.5" customHeight="1">
      <c r="A106" s="471"/>
      <c r="D106" s="309"/>
      <c r="E106" s="2351"/>
      <c r="I106" s="309"/>
      <c r="J106" s="301"/>
      <c r="K106" s="2351"/>
      <c r="P106" s="302"/>
    </row>
    <row r="107" spans="1:16" s="293" customFormat="1" ht="13.35" customHeight="1">
      <c r="A107" s="319" t="s">
        <v>356</v>
      </c>
      <c r="B107" s="314" t="s">
        <v>1164</v>
      </c>
      <c r="D107" s="2351"/>
      <c r="E107" s="2351"/>
      <c r="F107" s="2351"/>
      <c r="G107" s="2351"/>
      <c r="H107" s="2351"/>
      <c r="I107" s="309"/>
      <c r="J107" s="301"/>
      <c r="K107" s="2351"/>
      <c r="P107" s="302"/>
    </row>
    <row r="108" spans="1:16" s="293" customFormat="1" ht="3" customHeight="1">
      <c r="A108" s="319"/>
      <c r="B108" s="471"/>
      <c r="C108" s="314"/>
      <c r="D108" s="2351"/>
      <c r="E108" s="2351"/>
      <c r="F108" s="2351"/>
      <c r="G108" s="2351"/>
      <c r="H108" s="2351"/>
      <c r="I108" s="309"/>
      <c r="J108" s="301"/>
      <c r="K108" s="2351"/>
    </row>
    <row r="109" spans="1:16" s="293" customFormat="1" ht="13.35" customHeight="1">
      <c r="A109" s="471"/>
      <c r="B109" s="471"/>
      <c r="C109" s="301" t="s">
        <v>536</v>
      </c>
      <c r="D109" s="2351"/>
      <c r="E109" s="3478"/>
      <c r="F109" s="3479"/>
      <c r="G109" s="3479"/>
      <c r="H109" s="3479"/>
      <c r="I109" s="3479"/>
      <c r="J109" s="3479"/>
      <c r="K109" s="3479"/>
      <c r="L109" s="3480"/>
      <c r="M109" s="2421" t="s">
        <v>537</v>
      </c>
      <c r="N109" s="2421"/>
      <c r="O109" s="3561"/>
      <c r="P109" s="3562"/>
    </row>
    <row r="110" spans="1:16" s="293" customFormat="1" ht="13.35" customHeight="1">
      <c r="C110" s="2343" t="s">
        <v>999</v>
      </c>
      <c r="D110" s="305"/>
      <c r="E110" s="3482"/>
      <c r="F110" s="3483"/>
      <c r="G110" s="3483"/>
      <c r="H110" s="3485"/>
      <c r="I110" s="3483"/>
      <c r="J110" s="3485"/>
      <c r="K110" s="3483"/>
      <c r="L110" s="3487"/>
      <c r="M110" s="2421" t="s">
        <v>788</v>
      </c>
      <c r="N110" s="2421"/>
      <c r="O110" s="3563"/>
      <c r="P110" s="3564"/>
    </row>
    <row r="111" spans="1:16" s="293" customFormat="1" ht="13.35" customHeight="1">
      <c r="C111" s="2343" t="s">
        <v>600</v>
      </c>
      <c r="E111" s="3501"/>
      <c r="F111" s="3565"/>
      <c r="G111" s="3566"/>
      <c r="H111" s="2360" t="s">
        <v>1754</v>
      </c>
      <c r="I111" s="3567"/>
      <c r="J111" s="321" t="s">
        <v>2172</v>
      </c>
      <c r="K111" s="3568"/>
      <c r="L111" s="3569"/>
      <c r="M111" s="270" t="s">
        <v>3488</v>
      </c>
      <c r="N111" s="270"/>
      <c r="O111" s="3570"/>
      <c r="P111" s="3571"/>
    </row>
    <row r="112" spans="1:16" s="293" customFormat="1" ht="13.35" customHeight="1">
      <c r="C112" s="293" t="s">
        <v>2143</v>
      </c>
      <c r="E112" s="3501"/>
      <c r="F112" s="3565"/>
      <c r="G112" s="3566"/>
      <c r="H112" s="928" t="s">
        <v>1932</v>
      </c>
      <c r="I112" s="3572"/>
      <c r="J112" s="3573"/>
      <c r="K112" s="3574"/>
      <c r="L112" s="2362" t="s">
        <v>1936</v>
      </c>
      <c r="M112" s="3478"/>
      <c r="N112" s="3575"/>
      <c r="O112" s="3576"/>
      <c r="P112" s="3577"/>
    </row>
    <row r="113" spans="1:16" s="293" customFormat="1" ht="13.35" customHeight="1">
      <c r="C113" s="2343" t="s">
        <v>2142</v>
      </c>
      <c r="E113" s="3578"/>
      <c r="F113" s="3579"/>
      <c r="G113" s="3580"/>
      <c r="H113" s="928" t="s">
        <v>1756</v>
      </c>
      <c r="I113" s="3578"/>
      <c r="J113" s="3581"/>
      <c r="K113" s="2360" t="s">
        <v>2624</v>
      </c>
      <c r="L113" s="3469"/>
      <c r="M113" s="3582"/>
      <c r="N113" s="3582"/>
      <c r="O113" s="3582"/>
      <c r="P113" s="3583"/>
    </row>
    <row r="114" spans="1:16" s="293" customFormat="1" ht="3" customHeight="1">
      <c r="A114" s="471"/>
      <c r="B114" s="471"/>
      <c r="G114" s="309"/>
      <c r="H114" s="2354"/>
      <c r="I114" s="2354"/>
      <c r="M114" s="302"/>
    </row>
    <row r="115" spans="1:16" s="293" customFormat="1" ht="13.35" customHeight="1">
      <c r="A115" s="319" t="s">
        <v>357</v>
      </c>
      <c r="B115" s="1481" t="s">
        <v>1630</v>
      </c>
      <c r="D115" s="309"/>
      <c r="E115" s="309"/>
      <c r="F115" s="2354"/>
      <c r="G115" s="2354"/>
      <c r="H115" s="2354"/>
      <c r="N115" s="2351"/>
      <c r="O115" s="2351"/>
      <c r="P115" s="302"/>
    </row>
    <row r="116" spans="1:16" s="293" customFormat="1" ht="1.5" customHeight="1">
      <c r="A116" s="319"/>
      <c r="B116" s="1481"/>
      <c r="D116" s="309"/>
      <c r="E116" s="309"/>
      <c r="F116" s="2354"/>
      <c r="G116" s="2354"/>
      <c r="H116" s="2354"/>
      <c r="I116" s="2354"/>
      <c r="J116" s="309"/>
      <c r="K116" s="2354"/>
      <c r="L116" s="2354"/>
      <c r="N116" s="2351"/>
      <c r="O116" s="2351"/>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7"/>
      <c r="E119" s="2347"/>
      <c r="F119" s="2354"/>
      <c r="G119" s="2354"/>
      <c r="H119" s="3584">
        <v>1</v>
      </c>
      <c r="N119" s="2351"/>
      <c r="O119" s="235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7"/>
      <c r="E121" s="2347"/>
      <c r="F121" s="2354"/>
      <c r="G121" s="2354"/>
      <c r="H121" s="3585">
        <v>625000</v>
      </c>
      <c r="J121" s="309"/>
      <c r="K121" s="2346"/>
      <c r="N121" s="235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4"/>
      <c r="G123" s="2354"/>
      <c r="H123" s="2354"/>
      <c r="I123" s="2354"/>
      <c r="J123" s="309"/>
      <c r="K123" s="2354"/>
      <c r="L123" s="2354"/>
      <c r="N123" s="2351"/>
      <c r="O123" s="2351"/>
    </row>
    <row r="124" spans="1:16" s="293" customFormat="1" ht="13.35" customHeight="1">
      <c r="B124" s="471"/>
      <c r="C124" s="2347" t="s">
        <v>2084</v>
      </c>
      <c r="D124" s="2347"/>
      <c r="F124" s="2347" t="s">
        <v>1112</v>
      </c>
      <c r="G124" s="2354"/>
      <c r="H124" s="2354"/>
      <c r="I124" s="2354" t="s">
        <v>1268</v>
      </c>
      <c r="J124" s="2347" t="s">
        <v>2084</v>
      </c>
      <c r="K124" s="2347"/>
      <c r="M124" s="2347" t="s">
        <v>1112</v>
      </c>
      <c r="N124" s="2354"/>
      <c r="O124" s="2354"/>
      <c r="P124" s="2354" t="s">
        <v>1268</v>
      </c>
    </row>
    <row r="125" spans="1:16" s="293" customFormat="1" ht="13.35" customHeight="1">
      <c r="A125" s="471"/>
      <c r="B125" s="471"/>
      <c r="C125" s="3586" t="s">
        <v>7009</v>
      </c>
      <c r="D125" s="3587"/>
      <c r="E125" s="3587"/>
      <c r="F125" s="3588" t="s">
        <v>6987</v>
      </c>
      <c r="G125" s="3589"/>
      <c r="H125" s="3590"/>
      <c r="I125" s="3591" t="s">
        <v>7007</v>
      </c>
      <c r="J125" s="3586">
        <v>7</v>
      </c>
      <c r="K125" s="3587"/>
      <c r="L125" s="3587"/>
      <c r="M125" s="3588"/>
      <c r="N125" s="3589"/>
      <c r="O125" s="3590"/>
      <c r="P125" s="3591"/>
    </row>
    <row r="126" spans="1:16" s="293" customFormat="1" ht="13.35" customHeight="1">
      <c r="A126" s="471"/>
      <c r="B126" s="471"/>
      <c r="C126" s="3592" t="s">
        <v>7010</v>
      </c>
      <c r="D126" s="3593"/>
      <c r="E126" s="3593"/>
      <c r="F126" s="3588" t="s">
        <v>6987</v>
      </c>
      <c r="G126" s="3589"/>
      <c r="H126" s="3590"/>
      <c r="I126" s="3594" t="s">
        <v>7007</v>
      </c>
      <c r="J126" s="3592">
        <v>8</v>
      </c>
      <c r="K126" s="3593"/>
      <c r="L126" s="3593"/>
      <c r="M126" s="3595"/>
      <c r="N126" s="3596"/>
      <c r="O126" s="3597"/>
      <c r="P126" s="3594"/>
    </row>
    <row r="127" spans="1:16" s="293" customFormat="1" ht="13.35" customHeight="1">
      <c r="A127" s="471"/>
      <c r="B127" s="471"/>
      <c r="C127" s="3592" t="s">
        <v>7008</v>
      </c>
      <c r="D127" s="3593"/>
      <c r="E127" s="3593"/>
      <c r="F127" s="3588" t="s">
        <v>6987</v>
      </c>
      <c r="G127" s="3589"/>
      <c r="H127" s="3590"/>
      <c r="I127" s="3594" t="s">
        <v>7007</v>
      </c>
      <c r="J127" s="3592">
        <v>9</v>
      </c>
      <c r="K127" s="3593"/>
      <c r="L127" s="3593"/>
      <c r="M127" s="3595"/>
      <c r="N127" s="3596"/>
      <c r="O127" s="3597"/>
      <c r="P127" s="3594"/>
    </row>
    <row r="128" spans="1:16" s="293" customFormat="1" ht="13.35" customHeight="1">
      <c r="A128" s="471"/>
      <c r="B128" s="471"/>
      <c r="C128" s="3592">
        <v>4</v>
      </c>
      <c r="D128" s="3593"/>
      <c r="E128" s="3593"/>
      <c r="F128" s="3595"/>
      <c r="G128" s="3596"/>
      <c r="H128" s="3597"/>
      <c r="I128" s="3594"/>
      <c r="J128" s="3592">
        <v>10</v>
      </c>
      <c r="K128" s="3593"/>
      <c r="L128" s="3593"/>
      <c r="M128" s="3595"/>
      <c r="N128" s="3596"/>
      <c r="O128" s="3597"/>
      <c r="P128" s="3594"/>
    </row>
    <row r="129" spans="1:16" s="293" customFormat="1" ht="13.35" customHeight="1">
      <c r="A129" s="471"/>
      <c r="B129" s="471"/>
      <c r="C129" s="3592">
        <v>5</v>
      </c>
      <c r="D129" s="3593"/>
      <c r="E129" s="3593"/>
      <c r="F129" s="3595"/>
      <c r="G129" s="3596"/>
      <c r="H129" s="3597"/>
      <c r="I129" s="3594"/>
      <c r="J129" s="3592">
        <v>11</v>
      </c>
      <c r="K129" s="3593"/>
      <c r="L129" s="3593"/>
      <c r="M129" s="3595"/>
      <c r="N129" s="3596"/>
      <c r="O129" s="3597"/>
      <c r="P129" s="3594"/>
    </row>
    <row r="130" spans="1:16" s="293" customFormat="1" ht="13.35" customHeight="1">
      <c r="A130" s="471"/>
      <c r="B130" s="471"/>
      <c r="C130" s="3598">
        <v>6</v>
      </c>
      <c r="D130" s="3599"/>
      <c r="E130" s="3599"/>
      <c r="F130" s="3600"/>
      <c r="G130" s="3601"/>
      <c r="H130" s="3602"/>
      <c r="I130" s="3603"/>
      <c r="J130" s="3598">
        <v>12</v>
      </c>
      <c r="K130" s="3599"/>
      <c r="L130" s="3599"/>
      <c r="M130" s="3600"/>
      <c r="N130" s="3601"/>
      <c r="O130" s="3602"/>
      <c r="P130" s="360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7" t="s">
        <v>2084</v>
      </c>
      <c r="D134" s="2347"/>
      <c r="F134" s="2347" t="s">
        <v>1112</v>
      </c>
      <c r="G134" s="2354"/>
      <c r="H134" s="2354"/>
      <c r="I134" s="2354"/>
      <c r="J134" s="2347" t="s">
        <v>2084</v>
      </c>
      <c r="K134" s="2347"/>
      <c r="M134" s="2347" t="s">
        <v>1112</v>
      </c>
      <c r="N134" s="2354"/>
      <c r="O134" s="2354"/>
      <c r="P134" s="2354"/>
    </row>
    <row r="135" spans="1:16" s="293" customFormat="1" ht="13.35" customHeight="1">
      <c r="A135" s="471"/>
      <c r="B135" s="471"/>
      <c r="C135" s="3586" t="s">
        <v>7011</v>
      </c>
      <c r="D135" s="3587"/>
      <c r="E135" s="3587"/>
      <c r="F135" s="3588" t="s">
        <v>6987</v>
      </c>
      <c r="G135" s="3589"/>
      <c r="H135" s="3589"/>
      <c r="I135" s="3604"/>
      <c r="J135" s="3586">
        <v>7</v>
      </c>
      <c r="K135" s="3587"/>
      <c r="L135" s="3587"/>
      <c r="M135" s="3588"/>
      <c r="N135" s="3589"/>
      <c r="O135" s="3589"/>
      <c r="P135" s="3604"/>
    </row>
    <row r="136" spans="1:16" s="293" customFormat="1" ht="13.35" customHeight="1">
      <c r="A136" s="471"/>
      <c r="B136" s="471"/>
      <c r="C136" s="3592" t="s">
        <v>7008</v>
      </c>
      <c r="D136" s="3593"/>
      <c r="E136" s="3593"/>
      <c r="F136" s="3588" t="s">
        <v>6987</v>
      </c>
      <c r="G136" s="3589"/>
      <c r="H136" s="3589"/>
      <c r="I136" s="3604"/>
      <c r="J136" s="3592">
        <v>8</v>
      </c>
      <c r="K136" s="3593"/>
      <c r="L136" s="3593"/>
      <c r="M136" s="3595"/>
      <c r="N136" s="3596"/>
      <c r="O136" s="3596"/>
      <c r="P136" s="3605"/>
    </row>
    <row r="137" spans="1:16" s="293" customFormat="1" ht="13.35" customHeight="1">
      <c r="A137" s="471"/>
      <c r="B137" s="471"/>
      <c r="C137" s="3592">
        <v>3</v>
      </c>
      <c r="D137" s="3593"/>
      <c r="E137" s="3593"/>
      <c r="F137" s="3595"/>
      <c r="G137" s="3596"/>
      <c r="H137" s="3596"/>
      <c r="I137" s="3605"/>
      <c r="J137" s="3592">
        <v>9</v>
      </c>
      <c r="K137" s="3593"/>
      <c r="L137" s="3593"/>
      <c r="M137" s="3595"/>
      <c r="N137" s="3596"/>
      <c r="O137" s="3596"/>
      <c r="P137" s="3605"/>
    </row>
    <row r="138" spans="1:16" s="293" customFormat="1" ht="13.35" customHeight="1">
      <c r="A138" s="471"/>
      <c r="B138" s="471"/>
      <c r="C138" s="3592">
        <v>4</v>
      </c>
      <c r="D138" s="3593"/>
      <c r="E138" s="3593"/>
      <c r="F138" s="3595"/>
      <c r="G138" s="3596"/>
      <c r="H138" s="3596"/>
      <c r="I138" s="3605"/>
      <c r="J138" s="3592">
        <v>10</v>
      </c>
      <c r="K138" s="3593"/>
      <c r="L138" s="3593"/>
      <c r="M138" s="3595"/>
      <c r="N138" s="3596"/>
      <c r="O138" s="3596"/>
      <c r="P138" s="3605"/>
    </row>
    <row r="139" spans="1:16" s="293" customFormat="1" ht="13.35" customHeight="1">
      <c r="A139" s="471"/>
      <c r="B139" s="471"/>
      <c r="C139" s="3592">
        <v>5</v>
      </c>
      <c r="D139" s="3593"/>
      <c r="E139" s="3593"/>
      <c r="F139" s="3595"/>
      <c r="G139" s="3596"/>
      <c r="H139" s="3596"/>
      <c r="I139" s="3605"/>
      <c r="J139" s="3592">
        <v>11</v>
      </c>
      <c r="K139" s="3593"/>
      <c r="L139" s="3593"/>
      <c r="M139" s="3595"/>
      <c r="N139" s="3596"/>
      <c r="O139" s="3596"/>
      <c r="P139" s="3605"/>
    </row>
    <row r="140" spans="1:16" s="293" customFormat="1" ht="13.35" customHeight="1">
      <c r="A140" s="471"/>
      <c r="B140" s="471"/>
      <c r="C140" s="3598">
        <v>6</v>
      </c>
      <c r="D140" s="3599"/>
      <c r="E140" s="3599"/>
      <c r="F140" s="3600"/>
      <c r="G140" s="3601"/>
      <c r="H140" s="3601"/>
      <c r="I140" s="3606"/>
      <c r="J140" s="3598">
        <v>12</v>
      </c>
      <c r="K140" s="3599"/>
      <c r="L140" s="3599"/>
      <c r="M140" s="3600"/>
      <c r="N140" s="3601"/>
      <c r="O140" s="3601"/>
      <c r="P140" s="3606"/>
    </row>
    <row r="141" spans="1:16" s="293" customFormat="1" ht="3" customHeight="1" thickBot="1">
      <c r="A141" s="471"/>
      <c r="B141" s="471"/>
      <c r="C141" s="2347"/>
      <c r="D141" s="2347"/>
      <c r="E141" s="2347"/>
      <c r="F141" s="2354"/>
      <c r="G141" s="2354"/>
      <c r="H141" s="2354"/>
      <c r="I141" s="2354"/>
      <c r="J141" s="309"/>
      <c r="K141" s="2354"/>
      <c r="L141" s="2354"/>
      <c r="N141" s="2351"/>
      <c r="O141" s="2351"/>
      <c r="P141" s="302"/>
    </row>
    <row r="142" spans="1:16" s="293" customFormat="1" ht="14.4" customHeight="1" thickBot="1">
      <c r="A142" s="295" t="s">
        <v>358</v>
      </c>
      <c r="B142" s="303" t="s">
        <v>4395</v>
      </c>
      <c r="D142" s="303"/>
      <c r="E142" s="303"/>
      <c r="F142" s="303"/>
      <c r="I142" s="3607" t="s">
        <v>2888</v>
      </c>
      <c r="M142" s="2354"/>
      <c r="N142" s="2351"/>
      <c r="O142" s="2351"/>
      <c r="P142" s="302"/>
    </row>
    <row r="143" spans="1:16" s="293" customFormat="1" ht="1.5" customHeight="1">
      <c r="A143" s="319"/>
      <c r="B143" s="471"/>
      <c r="C143" s="1481"/>
      <c r="D143" s="1481"/>
      <c r="E143" s="1481"/>
      <c r="F143" s="1481"/>
      <c r="G143" s="2354"/>
      <c r="M143" s="2354"/>
      <c r="N143" s="2351"/>
      <c r="O143" s="2351"/>
    </row>
    <row r="144" spans="1:16" s="293" customFormat="1" ht="13.35" customHeight="1">
      <c r="A144" s="471"/>
      <c r="B144" s="471" t="s">
        <v>1935</v>
      </c>
      <c r="C144" s="298" t="s">
        <v>1671</v>
      </c>
      <c r="I144" s="3559"/>
      <c r="M144" s="2354"/>
      <c r="N144" s="2351"/>
      <c r="O144" s="2351"/>
      <c r="P144" s="302"/>
    </row>
    <row r="145" spans="1:16" s="293" customFormat="1" ht="13.35" customHeight="1">
      <c r="A145" s="471"/>
      <c r="B145" s="471"/>
      <c r="C145" s="2347" t="s">
        <v>2356</v>
      </c>
      <c r="D145" s="2347"/>
      <c r="E145" s="2347"/>
      <c r="F145" s="2354"/>
      <c r="I145" s="3608"/>
      <c r="N145" s="2351"/>
      <c r="O145" s="2351"/>
      <c r="P145" s="302"/>
    </row>
    <row r="146" spans="1:16" s="293" customFormat="1" ht="13.35" customHeight="1">
      <c r="A146" s="471"/>
      <c r="B146" s="471"/>
      <c r="C146" s="324" t="s">
        <v>1670</v>
      </c>
      <c r="D146" s="2343"/>
      <c r="I146" s="3505"/>
      <c r="P146" s="302"/>
    </row>
    <row r="147" spans="1:16" s="293" customFormat="1" ht="13.35" customHeight="1">
      <c r="A147" s="471"/>
      <c r="B147" s="471"/>
      <c r="C147" s="2347" t="s">
        <v>2357</v>
      </c>
      <c r="D147" s="2347"/>
      <c r="E147" s="1481"/>
      <c r="F147" s="2354"/>
      <c r="I147" s="3608"/>
      <c r="K147" s="270" t="s">
        <v>2187</v>
      </c>
      <c r="O147" s="3478" t="s">
        <v>475</v>
      </c>
      <c r="P147" s="3480"/>
    </row>
    <row r="148" spans="1:16" s="293" customFormat="1" ht="13.35" customHeight="1">
      <c r="A148" s="471"/>
      <c r="B148" s="471"/>
      <c r="C148" s="2347" t="s">
        <v>2355</v>
      </c>
      <c r="F148" s="2354"/>
      <c r="I148" s="3609"/>
      <c r="K148" s="270" t="s">
        <v>2188</v>
      </c>
      <c r="O148" s="3504" t="s">
        <v>475</v>
      </c>
      <c r="P148" s="3486"/>
    </row>
    <row r="149" spans="1:16" s="293" customFormat="1" ht="13.35" customHeight="1">
      <c r="A149" s="471"/>
      <c r="B149" s="471"/>
      <c r="C149" s="2347" t="s">
        <v>2115</v>
      </c>
      <c r="D149" s="2347"/>
      <c r="E149" s="2347"/>
      <c r="F149" s="2354"/>
      <c r="I149" s="3610"/>
      <c r="J149" s="3611"/>
      <c r="N149" s="2351"/>
      <c r="O149" s="2351"/>
      <c r="P149" s="302"/>
    </row>
    <row r="150" spans="1:16" s="293" customFormat="1" ht="1.5" customHeight="1">
      <c r="A150" s="471"/>
      <c r="B150" s="471"/>
      <c r="C150" s="2347"/>
      <c r="D150" s="2347"/>
      <c r="E150" s="2347"/>
      <c r="F150" s="2354"/>
      <c r="G150" s="2354"/>
      <c r="M150" s="2354"/>
      <c r="N150" s="2351"/>
      <c r="O150" s="2351"/>
      <c r="P150" s="302"/>
    </row>
    <row r="151" spans="1:16" s="293" customFormat="1" ht="13.35" customHeight="1">
      <c r="A151" s="471"/>
      <c r="B151" s="471" t="s">
        <v>1937</v>
      </c>
      <c r="C151" s="1520" t="s">
        <v>2621</v>
      </c>
      <c r="D151" s="2347"/>
      <c r="E151" s="316" t="s">
        <v>4463</v>
      </c>
      <c r="F151" s="316"/>
      <c r="G151" s="316"/>
      <c r="I151" s="3612" t="s">
        <v>2888</v>
      </c>
      <c r="K151" s="316" t="s">
        <v>4465</v>
      </c>
      <c r="L151" s="316"/>
      <c r="M151" s="316"/>
      <c r="O151" s="3613"/>
      <c r="P151" s="302"/>
    </row>
    <row r="152" spans="1:16" s="293" customFormat="1" ht="13.35" customHeight="1">
      <c r="A152" s="471"/>
      <c r="C152" s="1481"/>
      <c r="D152" s="2347"/>
      <c r="E152" s="316" t="s">
        <v>4464</v>
      </c>
      <c r="F152" s="316"/>
      <c r="G152" s="316"/>
      <c r="I152" s="3614" t="s">
        <v>2888</v>
      </c>
      <c r="K152" s="316"/>
      <c r="L152" s="316"/>
      <c r="M152" s="316"/>
      <c r="P152" s="302"/>
    </row>
    <row r="153" spans="1:16" s="293" customFormat="1" ht="1.5" customHeight="1">
      <c r="A153" s="471"/>
      <c r="B153" s="471"/>
      <c r="C153" s="2347"/>
      <c r="D153" s="2347"/>
      <c r="E153" s="2347"/>
      <c r="F153" s="2354"/>
      <c r="N153" s="2351"/>
      <c r="O153" s="2351"/>
      <c r="P153" s="302"/>
    </row>
    <row r="154" spans="1:16" s="293" customFormat="1" ht="13.35" customHeight="1">
      <c r="A154" s="471"/>
      <c r="B154" s="471" t="s">
        <v>731</v>
      </c>
      <c r="C154" s="1481" t="s">
        <v>4462</v>
      </c>
      <c r="D154" s="2347"/>
      <c r="E154" s="2347"/>
      <c r="F154" s="2354"/>
      <c r="I154" s="3584" t="s">
        <v>2888</v>
      </c>
      <c r="N154" s="2351"/>
      <c r="O154" s="2351"/>
      <c r="P154" s="302"/>
    </row>
    <row r="155" spans="1:16" s="293" customFormat="1" ht="3" customHeight="1">
      <c r="A155" s="471"/>
      <c r="B155" s="471"/>
      <c r="C155" s="2347"/>
      <c r="D155" s="2347"/>
      <c r="E155" s="2347"/>
      <c r="F155" s="2354"/>
      <c r="G155" s="2354"/>
      <c r="H155" s="2354"/>
      <c r="I155" s="2354"/>
      <c r="J155" s="309"/>
      <c r="K155" s="2354"/>
      <c r="L155" s="2354"/>
      <c r="N155" s="2351"/>
      <c r="O155" s="2351"/>
      <c r="P155" s="302"/>
    </row>
    <row r="156" spans="1:16" s="293" customFormat="1" ht="13.35" customHeight="1">
      <c r="A156" s="319" t="s">
        <v>1683</v>
      </c>
      <c r="B156" s="317" t="s">
        <v>1165</v>
      </c>
      <c r="D156" s="317"/>
      <c r="E156" s="317"/>
      <c r="F156" s="317"/>
      <c r="G156" s="2354"/>
      <c r="H156" s="2354"/>
      <c r="I156" s="2354"/>
      <c r="J156" s="309"/>
      <c r="K156" s="2354"/>
      <c r="L156" s="2354"/>
      <c r="N156" s="2351"/>
      <c r="O156" s="2351"/>
      <c r="P156" s="302"/>
    </row>
    <row r="157" spans="1:16" s="293" customFormat="1" ht="2.1" customHeight="1">
      <c r="A157" s="319"/>
      <c r="B157" s="471"/>
      <c r="C157" s="1481"/>
      <c r="D157" s="1481"/>
      <c r="E157" s="1481"/>
      <c r="F157" s="1481"/>
      <c r="G157" s="2354"/>
      <c r="H157" s="2354"/>
      <c r="I157" s="2354"/>
      <c r="J157" s="309"/>
      <c r="K157" s="2354"/>
      <c r="L157" s="2354"/>
      <c r="N157" s="2351"/>
      <c r="O157" s="2351"/>
    </row>
    <row r="158" spans="1:16" s="293" customFormat="1" ht="13.35" customHeight="1">
      <c r="A158" s="471"/>
      <c r="B158" s="471" t="s">
        <v>1935</v>
      </c>
      <c r="C158" s="308" t="s">
        <v>1775</v>
      </c>
      <c r="F158" s="2354"/>
      <c r="G158" s="2354"/>
      <c r="H158" s="2354"/>
      <c r="I158" s="2354"/>
      <c r="J158" s="309"/>
      <c r="K158" s="2354"/>
      <c r="L158" s="2354"/>
      <c r="N158" s="2351"/>
      <c r="O158" s="2351"/>
      <c r="P158" s="302"/>
    </row>
    <row r="159" spans="1:16" s="293" customFormat="1" ht="12.6" customHeight="1">
      <c r="A159" s="471"/>
      <c r="B159" s="471"/>
      <c r="C159" s="316" t="s">
        <v>1495</v>
      </c>
      <c r="D159" s="309"/>
      <c r="E159" s="309"/>
      <c r="F159" s="2354"/>
      <c r="G159" s="2354"/>
      <c r="H159" s="2354"/>
      <c r="I159" s="3615" t="s">
        <v>2888</v>
      </c>
      <c r="N159" s="2351"/>
      <c r="O159" s="2351"/>
      <c r="P159" s="302"/>
    </row>
    <row r="160" spans="1:16" s="293" customFormat="1" ht="12.6" customHeight="1">
      <c r="A160" s="471"/>
      <c r="B160" s="471"/>
      <c r="C160" s="2420" t="s">
        <v>4523</v>
      </c>
      <c r="D160" s="2420"/>
      <c r="E160" s="2420"/>
      <c r="F160" s="2420"/>
      <c r="G160" s="293" t="s">
        <v>4272</v>
      </c>
      <c r="I160" s="3616"/>
      <c r="K160" s="2343" t="s">
        <v>1751</v>
      </c>
      <c r="P160" s="1416">
        <f>IF('Part VI-Revenues &amp; Expenses'!$P$65=0,0,I160/'Part VI-Revenues &amp; Expenses'!$P$65)</f>
        <v>0</v>
      </c>
    </row>
    <row r="161" spans="1:16" s="293" customFormat="1" ht="12.6" customHeight="1">
      <c r="A161" s="471"/>
      <c r="B161" s="471"/>
      <c r="C161" s="2420"/>
      <c r="D161" s="2420"/>
      <c r="E161" s="2420"/>
      <c r="F161" s="2420"/>
      <c r="G161" s="293" t="s">
        <v>4271</v>
      </c>
      <c r="I161" s="3616"/>
      <c r="K161" s="2343" t="s">
        <v>1751</v>
      </c>
      <c r="O161" s="2352"/>
      <c r="P161" s="1417">
        <f>IF('Part VI-Revenues &amp; Expenses'!$P$65=0,0,I161/'Part VI-Revenues &amp; Expenses'!$P$65)</f>
        <v>0</v>
      </c>
    </row>
    <row r="162" spans="1:16" s="293" customFormat="1" ht="12" customHeight="1">
      <c r="A162" s="471"/>
      <c r="B162" s="471"/>
      <c r="C162" s="2343" t="s">
        <v>4273</v>
      </c>
      <c r="I162" s="3550"/>
      <c r="K162" s="2343"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78"/>
      <c r="E164" s="3479"/>
      <c r="F164" s="3479"/>
      <c r="G164" s="3479"/>
      <c r="H164" s="3480"/>
      <c r="I164" s="2343" t="s">
        <v>4226</v>
      </c>
      <c r="N164" s="3495"/>
      <c r="O164" s="3617"/>
      <c r="P164" s="3493"/>
    </row>
    <row r="165" spans="1:16" s="293" customFormat="1" ht="12.6" customHeight="1">
      <c r="A165" s="471"/>
      <c r="B165" s="471"/>
      <c r="C165" s="2343" t="s">
        <v>4227</v>
      </c>
      <c r="D165" s="3501"/>
      <c r="E165" s="3502"/>
      <c r="F165" s="3483"/>
      <c r="G165" s="3502"/>
      <c r="H165" s="3503"/>
      <c r="I165" s="2350" t="s">
        <v>1753</v>
      </c>
      <c r="J165" s="3478"/>
      <c r="K165" s="3479"/>
      <c r="L165" s="3480"/>
      <c r="M165" s="1403" t="s">
        <v>1932</v>
      </c>
      <c r="N165" s="3501"/>
      <c r="O165" s="3502"/>
      <c r="P165" s="3503"/>
    </row>
    <row r="166" spans="1:16" s="293" customFormat="1" ht="12.6" customHeight="1">
      <c r="A166" s="471"/>
      <c r="B166" s="471"/>
      <c r="C166" s="2343" t="s">
        <v>600</v>
      </c>
      <c r="D166" s="3501"/>
      <c r="E166" s="3503"/>
      <c r="F166" s="1401" t="s">
        <v>2172</v>
      </c>
      <c r="G166" s="3618"/>
      <c r="H166" s="3619"/>
      <c r="I166" s="325" t="s">
        <v>1756</v>
      </c>
      <c r="J166" s="3620"/>
      <c r="K166" s="3621"/>
      <c r="L166" s="3622"/>
      <c r="M166" s="1402" t="s">
        <v>1931</v>
      </c>
      <c r="N166" s="3620"/>
      <c r="O166" s="3621"/>
      <c r="P166" s="3622"/>
    </row>
    <row r="167" spans="1:16" s="293" customFormat="1" ht="12.6" customHeight="1">
      <c r="A167" s="471"/>
      <c r="B167" s="471"/>
      <c r="C167" s="293" t="s">
        <v>2624</v>
      </c>
      <c r="D167" s="3496"/>
      <c r="E167" s="3484"/>
      <c r="F167" s="3484"/>
      <c r="G167" s="3484"/>
      <c r="H167" s="3497"/>
      <c r="I167" s="325" t="s">
        <v>1755</v>
      </c>
      <c r="J167" s="3623"/>
      <c r="K167" s="3582"/>
      <c r="L167" s="3582"/>
      <c r="M167" s="3582"/>
      <c r="N167" s="3582"/>
      <c r="O167" s="3582"/>
      <c r="P167" s="3583"/>
    </row>
    <row r="168" spans="1:16" s="293" customFormat="1" ht="12" customHeight="1">
      <c r="A168" s="471"/>
      <c r="B168" s="471"/>
      <c r="C168" s="293" t="s">
        <v>4274</v>
      </c>
      <c r="E168" s="326"/>
      <c r="F168" s="326"/>
      <c r="G168" s="326"/>
      <c r="H168" s="2354"/>
      <c r="I168" s="3613"/>
      <c r="J168" s="2431" t="s">
        <v>743</v>
      </c>
      <c r="K168" s="2432"/>
      <c r="L168" s="3584"/>
      <c r="M168" s="326"/>
      <c r="N168" s="2354"/>
      <c r="O168" s="326"/>
      <c r="P168" s="326"/>
    </row>
    <row r="169" spans="1:16" s="293" customFormat="1" ht="3" customHeight="1">
      <c r="A169" s="471"/>
      <c r="B169" s="471"/>
    </row>
    <row r="170" spans="1:16" s="293" customFormat="1" ht="12.6" customHeight="1">
      <c r="A170" s="471"/>
      <c r="B170" s="471" t="s">
        <v>1937</v>
      </c>
      <c r="C170" s="2345" t="s">
        <v>2622</v>
      </c>
      <c r="D170" s="2345"/>
      <c r="E170" s="2345"/>
      <c r="F170" s="2345"/>
      <c r="G170" s="2345"/>
      <c r="I170" s="3624" t="s">
        <v>2888</v>
      </c>
      <c r="J170" s="2424" t="s">
        <v>743</v>
      </c>
      <c r="K170" s="2425"/>
      <c r="L170" s="3624"/>
      <c r="M170" s="2426" t="s">
        <v>2266</v>
      </c>
      <c r="N170" s="2427"/>
      <c r="O170" s="2428"/>
      <c r="P170" s="3625"/>
    </row>
    <row r="171" spans="1:16" s="293" customFormat="1" ht="12.6" customHeight="1">
      <c r="A171" s="471"/>
      <c r="B171" s="471"/>
      <c r="C171" s="2345" t="s">
        <v>2623</v>
      </c>
      <c r="D171" s="2345"/>
      <c r="E171" s="2345"/>
      <c r="F171" s="2345"/>
      <c r="G171" s="2345"/>
      <c r="I171" s="3560" t="s">
        <v>2885</v>
      </c>
      <c r="J171" s="2424" t="s">
        <v>743</v>
      </c>
      <c r="K171" s="2425"/>
      <c r="L171" s="3560">
        <v>2067</v>
      </c>
      <c r="M171" s="2426" t="s">
        <v>2266</v>
      </c>
      <c r="N171" s="2427"/>
      <c r="O171" s="2428"/>
      <c r="P171" s="3626">
        <v>30</v>
      </c>
    </row>
    <row r="172" spans="1:16" s="293" customFormat="1" ht="1.5" customHeight="1">
      <c r="A172" s="471"/>
      <c r="B172" s="471"/>
      <c r="C172" s="2345"/>
      <c r="D172" s="2345"/>
      <c r="E172" s="295"/>
      <c r="F172" s="2345"/>
      <c r="G172" s="2345"/>
      <c r="J172" s="2351"/>
      <c r="K172" s="368"/>
      <c r="M172" s="2351"/>
      <c r="O172" s="2354"/>
      <c r="P172" s="302"/>
    </row>
    <row r="173" spans="1:16" s="293" customFormat="1" ht="12.6" customHeight="1">
      <c r="A173" s="471"/>
      <c r="B173" s="471" t="s">
        <v>731</v>
      </c>
      <c r="C173" s="2345" t="s">
        <v>1713</v>
      </c>
      <c r="D173" s="2345"/>
      <c r="E173" s="2345"/>
      <c r="F173" s="2345"/>
      <c r="G173" s="2345"/>
      <c r="I173" s="3547" t="s">
        <v>2888</v>
      </c>
      <c r="L173" s="168"/>
      <c r="M173" s="168"/>
      <c r="P173" s="302"/>
    </row>
    <row r="174" spans="1:16" s="293" customFormat="1" ht="1.5" customHeight="1">
      <c r="A174" s="471"/>
      <c r="B174" s="471"/>
      <c r="C174" s="2343"/>
      <c r="E174" s="326"/>
      <c r="F174" s="326"/>
      <c r="G174" s="326"/>
      <c r="I174" s="326"/>
      <c r="J174" s="326"/>
      <c r="K174" s="2354"/>
      <c r="L174" s="326"/>
      <c r="M174" s="326"/>
      <c r="N174" s="2354"/>
      <c r="O174" s="326"/>
      <c r="P174" s="326"/>
    </row>
    <row r="175" spans="1:16" s="293" customFormat="1" ht="12.6" customHeight="1">
      <c r="A175" s="471"/>
      <c r="B175" s="471" t="s">
        <v>2064</v>
      </c>
      <c r="C175" s="2429" t="s">
        <v>1930</v>
      </c>
      <c r="D175" s="2429"/>
      <c r="E175" s="2429"/>
      <c r="F175" s="2429"/>
      <c r="G175" s="2345"/>
      <c r="I175" s="3547" t="s">
        <v>2888</v>
      </c>
      <c r="J175" s="328" t="s">
        <v>2664</v>
      </c>
      <c r="L175" s="2430" t="s">
        <v>3522</v>
      </c>
      <c r="M175" s="2430"/>
      <c r="N175" s="2345"/>
      <c r="O175" s="2345"/>
      <c r="P175" s="3548"/>
    </row>
    <row r="176" spans="1:16" s="293" customFormat="1" ht="12.6" customHeight="1">
      <c r="B176" s="471"/>
      <c r="L176" s="2419" t="s">
        <v>777</v>
      </c>
      <c r="M176" s="2419"/>
      <c r="N176" s="1481"/>
      <c r="O176" s="1481"/>
      <c r="P176" s="3550"/>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5" t="s">
        <v>1576</v>
      </c>
      <c r="D178" s="2347"/>
      <c r="E178" s="2347"/>
      <c r="F178" s="2347"/>
      <c r="G178" s="2347"/>
      <c r="H178" s="2354"/>
      <c r="J178" s="301"/>
      <c r="K178" s="309"/>
      <c r="M178" s="2351"/>
      <c r="O178" s="2354"/>
      <c r="P178" s="302"/>
    </row>
    <row r="179" spans="1:16" s="293" customFormat="1" ht="12.6" customHeight="1">
      <c r="A179" s="471"/>
      <c r="B179" s="471"/>
      <c r="C179" s="2351" t="s">
        <v>2155</v>
      </c>
      <c r="D179" s="303"/>
      <c r="E179" s="2351"/>
      <c r="F179" s="2351"/>
      <c r="I179" s="3615" t="s">
        <v>2888</v>
      </c>
      <c r="L179" s="2351" t="s">
        <v>1577</v>
      </c>
      <c r="M179" s="2351"/>
      <c r="N179" s="2351"/>
      <c r="P179" s="3615" t="s">
        <v>2885</v>
      </c>
    </row>
    <row r="180" spans="1:16" s="293" customFormat="1" ht="12.6" customHeight="1">
      <c r="A180" s="471"/>
      <c r="B180" s="471"/>
      <c r="C180" s="2351" t="s">
        <v>2156</v>
      </c>
      <c r="I180" s="3609" t="s">
        <v>2888</v>
      </c>
      <c r="L180" s="2351" t="s">
        <v>2745</v>
      </c>
      <c r="M180" s="2351"/>
      <c r="N180" s="2351"/>
      <c r="P180" s="3609" t="s">
        <v>2888</v>
      </c>
    </row>
    <row r="181" spans="1:16" s="293" customFormat="1" ht="12.6" customHeight="1">
      <c r="A181" s="471"/>
      <c r="C181" s="2351" t="s">
        <v>2640</v>
      </c>
      <c r="I181" s="3609" t="s">
        <v>2888</v>
      </c>
      <c r="L181" s="2351" t="s">
        <v>2611</v>
      </c>
      <c r="N181" s="3627"/>
      <c r="O181" s="3628"/>
      <c r="P181" s="3609" t="s">
        <v>2888</v>
      </c>
    </row>
    <row r="182" spans="1:16" s="293" customFormat="1" ht="12.6" customHeight="1">
      <c r="A182" s="471"/>
      <c r="B182" s="471"/>
      <c r="C182" s="2351" t="s">
        <v>1259</v>
      </c>
      <c r="D182" s="329"/>
      <c r="I182" s="3609" t="s">
        <v>2888</v>
      </c>
      <c r="K182" s="303"/>
      <c r="L182" s="2351" t="s">
        <v>3361</v>
      </c>
      <c r="M182" s="2351"/>
      <c r="N182" s="2351"/>
      <c r="P182" s="3609" t="s">
        <v>2888</v>
      </c>
    </row>
    <row r="183" spans="1:16" s="293" customFormat="1" ht="12.6" customHeight="1">
      <c r="A183" s="471"/>
      <c r="B183" s="295"/>
      <c r="C183" s="2351" t="s">
        <v>4522</v>
      </c>
      <c r="I183" s="3609" t="s">
        <v>2888</v>
      </c>
      <c r="J183" s="328" t="s">
        <v>2665</v>
      </c>
      <c r="O183" s="3629"/>
      <c r="P183" s="3630"/>
    </row>
    <row r="184" spans="1:16" s="293" customFormat="1" ht="12.6" customHeight="1">
      <c r="A184" s="471"/>
      <c r="B184" s="295"/>
      <c r="C184" s="2351" t="s">
        <v>1761</v>
      </c>
      <c r="I184" s="3609" t="s">
        <v>2888</v>
      </c>
      <c r="J184" s="328" t="s">
        <v>2665</v>
      </c>
      <c r="O184" s="3631"/>
      <c r="P184" s="3632"/>
    </row>
    <row r="185" spans="1:16" s="293" customFormat="1" ht="12.6" customHeight="1">
      <c r="A185" s="471"/>
      <c r="B185" s="471"/>
      <c r="C185" s="2351" t="s">
        <v>2799</v>
      </c>
      <c r="I185" s="3614" t="s">
        <v>2888</v>
      </c>
      <c r="J185" s="328" t="s">
        <v>2665</v>
      </c>
      <c r="O185" s="3633"/>
      <c r="P185" s="3634"/>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3" t="s">
        <v>621</v>
      </c>
      <c r="D188" s="2347"/>
      <c r="E188" s="2347"/>
      <c r="F188" s="2354"/>
      <c r="G188" s="2354"/>
      <c r="H188" s="3561"/>
      <c r="I188" s="3562"/>
      <c r="N188" s="2351"/>
      <c r="O188" s="2351"/>
      <c r="P188" s="302"/>
    </row>
    <row r="189" spans="1:16" s="293" customFormat="1" ht="12.6" customHeight="1">
      <c r="A189" s="471"/>
      <c r="B189" s="471"/>
      <c r="C189" s="2343" t="s">
        <v>271</v>
      </c>
      <c r="D189" s="2347"/>
      <c r="E189" s="2347"/>
      <c r="F189" s="2354"/>
      <c r="G189" s="2354"/>
      <c r="H189" s="3635">
        <v>44865</v>
      </c>
      <c r="I189" s="3636"/>
      <c r="N189" s="2351"/>
      <c r="O189" s="2351"/>
      <c r="P189" s="302"/>
    </row>
    <row r="190" spans="1:16" s="293" customFormat="1" ht="12.6" customHeight="1">
      <c r="A190" s="471"/>
      <c r="B190" s="471"/>
      <c r="C190" s="2343" t="s">
        <v>2236</v>
      </c>
      <c r="D190" s="2347"/>
      <c r="E190" s="2347"/>
      <c r="F190" s="2354"/>
      <c r="G190" s="2354"/>
      <c r="H190" s="3637">
        <v>44865</v>
      </c>
      <c r="I190" s="3638"/>
      <c r="N190" s="2351"/>
      <c r="O190" s="2351"/>
      <c r="P190" s="302"/>
    </row>
    <row r="191" spans="1:16" s="293" customFormat="1" ht="2.25" customHeight="1">
      <c r="B191" s="295"/>
      <c r="C191" s="2351"/>
      <c r="H191" s="2351"/>
      <c r="L191" s="311"/>
      <c r="M191" s="311"/>
      <c r="N191" s="311"/>
      <c r="O191" s="311"/>
      <c r="P191" s="299"/>
    </row>
    <row r="192" spans="1:16" ht="12" customHeight="1">
      <c r="A192" s="319" t="s">
        <v>2690</v>
      </c>
      <c r="C192" s="319" t="s">
        <v>555</v>
      </c>
      <c r="M192" s="319" t="s">
        <v>2193</v>
      </c>
      <c r="N192" s="319" t="s">
        <v>77</v>
      </c>
    </row>
    <row r="193" spans="1:44" ht="409.5" customHeight="1">
      <c r="A193" s="3639"/>
      <c r="B193" s="3640"/>
      <c r="C193" s="3640"/>
      <c r="D193" s="3640"/>
      <c r="E193" s="3640"/>
      <c r="F193" s="3640"/>
      <c r="G193" s="3640"/>
      <c r="H193" s="3640"/>
      <c r="I193" s="3640"/>
      <c r="J193" s="3640"/>
      <c r="K193" s="3640"/>
      <c r="L193" s="3641"/>
      <c r="M193" s="3642"/>
      <c r="N193" s="3643"/>
      <c r="O193" s="3643"/>
      <c r="P193" s="3644"/>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4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4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4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4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4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4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4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4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4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3649</v>
      </c>
      <c r="K223" s="311"/>
      <c r="L223" s="311"/>
      <c r="M223" s="311"/>
      <c r="N223" s="311"/>
      <c r="O223" s="311"/>
      <c r="P223" s="1033"/>
      <c r="Q223" s="364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7"/>
      <c r="Q247" s="3645"/>
      <c r="R247" s="1033"/>
      <c r="S247" s="364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5"/>
      <c r="R248" s="1033"/>
      <c r="S248" s="364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5"/>
      <c r="R249" s="1033"/>
      <c r="S249" s="364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5"/>
      <c r="R250" s="1033"/>
      <c r="S250" s="364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7"/>
      <c r="Q255" s="364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7"/>
      <c r="Q263" s="364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7"/>
      <c r="Q305" s="364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7"/>
      <c r="Q334" s="364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6"/>
      <c r="Q340" s="364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7"/>
      <c r="Q358" s="364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5"/>
      <c r="R360" s="1033"/>
      <c r="S360" s="364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5"/>
      <c r="R361" s="1033"/>
      <c r="S361" s="364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5"/>
      <c r="R362" s="1033"/>
      <c r="S362" s="364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4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7"/>
      <c r="Q364" s="1031"/>
      <c r="R364" s="1033"/>
      <c r="S364" s="364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4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4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4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4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4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4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4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4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8" t="s">
        <v>92</v>
      </c>
      <c r="S620" s="3648" t="s">
        <v>94</v>
      </c>
      <c r="T620" s="364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8" t="s">
        <v>2494</v>
      </c>
      <c r="S621" s="3648" t="s">
        <v>610</v>
      </c>
      <c r="T621" s="3651"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0"/>
      <c r="R622" s="3648" t="s">
        <v>2495</v>
      </c>
      <c r="S622" s="3648" t="s">
        <v>314</v>
      </c>
      <c r="T622" s="3651"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8" t="s">
        <v>2496</v>
      </c>
      <c r="S623" s="3648" t="s">
        <v>2418</v>
      </c>
      <c r="T623" s="3651"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8" t="s">
        <v>2497</v>
      </c>
      <c r="S624" s="3648"/>
      <c r="T624" s="3651"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8" t="s">
        <v>2498</v>
      </c>
      <c r="S625" s="3648" t="s">
        <v>1959</v>
      </c>
      <c r="T625" s="3651"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8" t="s">
        <v>2499</v>
      </c>
      <c r="S626" s="3648" t="s">
        <v>2418</v>
      </c>
      <c r="T626" s="3651"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8" t="s">
        <v>2500</v>
      </c>
      <c r="S627" s="3648" t="s">
        <v>1300</v>
      </c>
      <c r="T627" s="3651"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8" t="s">
        <v>2501</v>
      </c>
      <c r="S628" s="3648" t="s">
        <v>1961</v>
      </c>
      <c r="T628" s="3651"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8" t="s">
        <v>2502</v>
      </c>
      <c r="S629" s="3648" t="s">
        <v>648</v>
      </c>
      <c r="T629" s="3651"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8" t="s">
        <v>2503</v>
      </c>
      <c r="S630" s="3648" t="s">
        <v>610</v>
      </c>
      <c r="T630" s="3651"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8" t="s">
        <v>2504</v>
      </c>
      <c r="S631" s="3648" t="s">
        <v>2121</v>
      </c>
      <c r="T631" s="3651"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8" t="s">
        <v>2505</v>
      </c>
      <c r="S632" s="3648" t="s">
        <v>2464</v>
      </c>
      <c r="T632" s="3651"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8" t="s">
        <v>2186</v>
      </c>
      <c r="S633" s="3648" t="s">
        <v>2461</v>
      </c>
      <c r="T633" s="3651"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8" t="s">
        <v>2506</v>
      </c>
      <c r="S634" s="3648" t="s">
        <v>2121</v>
      </c>
      <c r="T634" s="3651"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8" t="s">
        <v>2507</v>
      </c>
      <c r="S635" s="3648" t="s">
        <v>2421</v>
      </c>
      <c r="T635" s="3651"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49"/>
      <c r="R636" s="3648" t="s">
        <v>2508</v>
      </c>
      <c r="S636" s="3648" t="s">
        <v>1959</v>
      </c>
      <c r="T636" s="3651"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8" t="s">
        <v>1023</v>
      </c>
      <c r="S637" s="3648" t="s">
        <v>1427</v>
      </c>
      <c r="T637" s="3651"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0"/>
      <c r="R638" s="3648" t="s">
        <v>883</v>
      </c>
      <c r="S638" s="3648" t="s">
        <v>1081</v>
      </c>
      <c r="T638" s="3651"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8" t="s">
        <v>1024</v>
      </c>
      <c r="S639" s="3648" t="s">
        <v>610</v>
      </c>
      <c r="T639" s="3651"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8" t="s">
        <v>1025</v>
      </c>
      <c r="S640" s="3648" t="s">
        <v>1863</v>
      </c>
      <c r="T640" s="3651"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0"/>
      <c r="R641" s="3648" t="s">
        <v>1026</v>
      </c>
      <c r="S641" s="3648" t="s">
        <v>1957</v>
      </c>
      <c r="T641" s="3651"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8" t="s">
        <v>1027</v>
      </c>
      <c r="S642" s="3648" t="s">
        <v>1074</v>
      </c>
      <c r="T642" s="3651"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2"/>
      <c r="R643" s="3648" t="s">
        <v>1028</v>
      </c>
      <c r="S643" s="3648" t="s">
        <v>1488</v>
      </c>
      <c r="T643" s="3651"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8" t="s">
        <v>1029</v>
      </c>
      <c r="S644" s="3648" t="s">
        <v>2418</v>
      </c>
      <c r="T644" s="3651"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0"/>
      <c r="R645" s="3648" t="s">
        <v>1030</v>
      </c>
      <c r="S645" s="3648" t="s">
        <v>155</v>
      </c>
      <c r="T645" s="3651"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0"/>
      <c r="R646" s="3648" t="s">
        <v>1031</v>
      </c>
      <c r="S646" s="3648" t="s">
        <v>1307</v>
      </c>
      <c r="T646" s="3651"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8" t="s">
        <v>1032</v>
      </c>
      <c r="S647" s="3648" t="s">
        <v>1488</v>
      </c>
      <c r="T647" s="3651"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8" t="s">
        <v>1033</v>
      </c>
      <c r="S648" s="3648" t="s">
        <v>1088</v>
      </c>
      <c r="T648" s="3651"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8" t="s">
        <v>1034</v>
      </c>
      <c r="S649" s="3648" t="s">
        <v>1957</v>
      </c>
      <c r="T649" s="3651"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1"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8" t="s">
        <v>1035</v>
      </c>
      <c r="S651" s="3648" t="s">
        <v>2421</v>
      </c>
      <c r="T651" s="3651"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8" t="s">
        <v>1574</v>
      </c>
      <c r="S652" s="3648" t="s">
        <v>2461</v>
      </c>
      <c r="T652" s="3651"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8" t="s">
        <v>1036</v>
      </c>
      <c r="S653" s="3648"/>
      <c r="T653" s="3651"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8" t="s">
        <v>180</v>
      </c>
      <c r="S654" s="3648" t="s">
        <v>155</v>
      </c>
      <c r="T654" s="3651"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8" t="s">
        <v>1037</v>
      </c>
      <c r="S655" s="3648" t="s">
        <v>171</v>
      </c>
      <c r="T655" s="3651"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8" t="s">
        <v>2226</v>
      </c>
      <c r="S656" s="3648" t="s">
        <v>1180</v>
      </c>
      <c r="T656" s="3651"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8" t="s">
        <v>1038</v>
      </c>
      <c r="S657" s="3648" t="s">
        <v>610</v>
      </c>
      <c r="T657" s="3651"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8" t="s">
        <v>1039</v>
      </c>
      <c r="S658" s="3648" t="s">
        <v>610</v>
      </c>
      <c r="T658" s="3651"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8" t="s">
        <v>1040</v>
      </c>
      <c r="S659" s="3648" t="s">
        <v>610</v>
      </c>
      <c r="T659" s="3651"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8" t="s">
        <v>1041</v>
      </c>
      <c r="S660" s="3648" t="s">
        <v>610</v>
      </c>
      <c r="T660" s="3651"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8" t="s">
        <v>1042</v>
      </c>
      <c r="S661" s="3648" t="s">
        <v>1629</v>
      </c>
      <c r="T661" s="3651"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8" t="s">
        <v>1043</v>
      </c>
      <c r="S662" s="3648" t="s">
        <v>933</v>
      </c>
      <c r="T662" s="3651"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8" t="s">
        <v>1044</v>
      </c>
      <c r="S663" s="3648" t="s">
        <v>119</v>
      </c>
      <c r="T663" s="3651"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0"/>
      <c r="R664" s="3648" t="s">
        <v>1045</v>
      </c>
      <c r="S664" s="3648" t="s">
        <v>610</v>
      </c>
      <c r="T664" s="3651"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8" t="s">
        <v>1046</v>
      </c>
      <c r="S665" s="3648" t="s">
        <v>311</v>
      </c>
      <c r="T665" s="3651"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8" t="s">
        <v>1047</v>
      </c>
      <c r="S666" s="3648" t="s">
        <v>315</v>
      </c>
      <c r="T666" s="3651"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8" t="s">
        <v>812</v>
      </c>
      <c r="S667" s="3648" t="s">
        <v>1286</v>
      </c>
      <c r="T667" s="3651"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8" t="s">
        <v>1048</v>
      </c>
      <c r="S668" s="3648" t="s">
        <v>648</v>
      </c>
      <c r="T668" s="3651"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8" t="s">
        <v>1049</v>
      </c>
      <c r="S669" s="3648" t="s">
        <v>1488</v>
      </c>
      <c r="T669" s="3651"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8" t="s">
        <v>1050</v>
      </c>
      <c r="S670" s="3648" t="s">
        <v>610</v>
      </c>
      <c r="T670" s="3651"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8" t="s">
        <v>1051</v>
      </c>
      <c r="S671" s="3648" t="s">
        <v>640</v>
      </c>
      <c r="T671" s="3651"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8" t="s">
        <v>1052</v>
      </c>
      <c r="S672" s="3648" t="s">
        <v>155</v>
      </c>
      <c r="T672" s="3651"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49"/>
      <c r="R673" s="3648" t="s">
        <v>1053</v>
      </c>
      <c r="S673" s="3648" t="s">
        <v>1863</v>
      </c>
      <c r="T673" s="3651"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0"/>
      <c r="R674" s="3648" t="s">
        <v>1054</v>
      </c>
      <c r="S674" s="3648" t="s">
        <v>1957</v>
      </c>
      <c r="T674" s="3651"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8" t="s">
        <v>1055</v>
      </c>
      <c r="S675" s="3648" t="s">
        <v>610</v>
      </c>
      <c r="T675" s="3651"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8" t="s">
        <v>1056</v>
      </c>
      <c r="S676" s="3648" t="s">
        <v>1629</v>
      </c>
      <c r="T676" s="3651"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0"/>
      <c r="R677" s="3648" t="s">
        <v>1057</v>
      </c>
      <c r="S677" s="3648" t="s">
        <v>2421</v>
      </c>
      <c r="T677" s="3651"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8" t="s">
        <v>1058</v>
      </c>
      <c r="S678" s="3648" t="s">
        <v>155</v>
      </c>
      <c r="T678" s="3651"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8" t="s">
        <v>1059</v>
      </c>
      <c r="S679" s="3648" t="s">
        <v>155</v>
      </c>
      <c r="T679" s="3651"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4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4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4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lONa0/K2HgTza6giesjJr7MkZbsfRss9F+X4cg9R9gEGnCLryCXfdYsBLALBZlmW69ytSSJ+KH9nV5PUjX4gBA==" saltValue="9tguDRpyfw3KbxJJP6D9W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5" t="s">
        <v>2975</v>
      </c>
      <c r="B1" s="3255"/>
      <c r="C1" s="3255"/>
      <c r="D1" s="3255"/>
      <c r="E1" s="3255"/>
      <c r="F1" s="3255"/>
      <c r="G1" s="3255"/>
      <c r="H1" s="3255"/>
      <c r="I1" s="3255"/>
      <c r="J1" s="3255"/>
      <c r="K1" s="3255"/>
    </row>
    <row r="2" spans="1:11" ht="15.6">
      <c r="A2" s="3269" t="str">
        <f>'Sensitivity Analysis'!C8</f>
        <v>Freedom's Path at Dublin</v>
      </c>
      <c r="B2" s="3269"/>
      <c r="C2" s="3269"/>
      <c r="D2" s="3269"/>
      <c r="E2" s="3269"/>
      <c r="F2" s="3269"/>
      <c r="G2" s="3269"/>
      <c r="H2" s="3269"/>
      <c r="I2" s="3269"/>
      <c r="J2" s="3269"/>
      <c r="K2" s="3269"/>
    </row>
    <row r="3" spans="1:11" ht="9" customHeight="1">
      <c r="A3" s="731"/>
      <c r="B3" s="731"/>
      <c r="C3" s="731"/>
    </row>
    <row r="4" spans="1:11" ht="17.399999999999999">
      <c r="A4" s="732" t="s">
        <v>3421</v>
      </c>
      <c r="B4" s="731"/>
      <c r="C4" s="731"/>
      <c r="K4" s="733"/>
    </row>
    <row r="5" spans="1:11" s="688" customFormat="1" ht="42" customHeight="1">
      <c r="C5" s="3256" t="s">
        <v>4099</v>
      </c>
      <c r="D5" s="3257"/>
      <c r="E5" s="3258"/>
      <c r="F5" s="538"/>
      <c r="G5" s="3256" t="s">
        <v>4100</v>
      </c>
      <c r="H5" s="3257"/>
      <c r="I5" s="3258"/>
      <c r="J5" s="730"/>
      <c r="K5" s="3267" t="s">
        <v>4101</v>
      </c>
    </row>
    <row r="6" spans="1:11" s="735" customFormat="1" ht="15" customHeight="1">
      <c r="A6" s="734" t="s">
        <v>2633</v>
      </c>
      <c r="C6" s="736" t="s">
        <v>3406</v>
      </c>
      <c r="D6" s="736" t="s">
        <v>4102</v>
      </c>
      <c r="E6" s="736" t="s">
        <v>1942</v>
      </c>
      <c r="G6" s="736" t="s">
        <v>3407</v>
      </c>
      <c r="H6" s="736" t="s">
        <v>4103</v>
      </c>
      <c r="I6" s="736" t="s">
        <v>1942</v>
      </c>
      <c r="K6" s="3268"/>
    </row>
    <row r="7" spans="1:11" s="538" customFormat="1" ht="13.5" customHeight="1">
      <c r="A7" s="538" t="s">
        <v>2976</v>
      </c>
      <c r="C7" s="738"/>
      <c r="D7" s="1184">
        <f>'Part VI-Revenues &amp; Expenses'!$K$63</f>
        <v>22</v>
      </c>
      <c r="E7" s="740">
        <f>C7*D7</f>
        <v>0</v>
      </c>
      <c r="G7" s="738"/>
      <c r="H7" s="739">
        <f>'Part VI-Revenues &amp; Expenses'!$K$67</f>
        <v>22</v>
      </c>
      <c r="I7" s="740">
        <f>G7*H7</f>
        <v>0</v>
      </c>
      <c r="K7" s="1191">
        <f>'Part VIII-Threshold Criteria'!$P$50</f>
        <v>0</v>
      </c>
    </row>
    <row r="8" spans="1:11" s="538" customFormat="1" ht="13.5" customHeight="1">
      <c r="A8" s="538" t="s">
        <v>2631</v>
      </c>
      <c r="C8" s="738"/>
      <c r="D8" s="1184">
        <f>'Part VI-Revenues &amp; Expenses'!$L$63</f>
        <v>22</v>
      </c>
      <c r="E8" s="740">
        <f>C8*D8</f>
        <v>0</v>
      </c>
      <c r="G8" s="738"/>
      <c r="H8" s="739">
        <f>'Part VI-Revenues &amp; Expenses'!$L$67</f>
        <v>22</v>
      </c>
      <c r="I8" s="740">
        <f>G8*H8</f>
        <v>0</v>
      </c>
      <c r="K8" s="737" t="s">
        <v>3408</v>
      </c>
    </row>
    <row r="9" spans="1:11" s="538" customFormat="1" ht="13.5" customHeight="1">
      <c r="A9" s="538" t="s">
        <v>2632</v>
      </c>
      <c r="C9" s="738"/>
      <c r="D9" s="1184">
        <f>'Part VI-Revenues &amp; Expenses'!$M$63</f>
        <v>6</v>
      </c>
      <c r="E9" s="740">
        <f>C9*D9</f>
        <v>0</v>
      </c>
      <c r="G9" s="738"/>
      <c r="H9" s="739">
        <f>'Part VI-Revenues &amp; Expenses'!$M$67</f>
        <v>6</v>
      </c>
      <c r="I9" s="740">
        <f>G9*H9</f>
        <v>0</v>
      </c>
      <c r="K9" s="1191">
        <f>'Part IV-A-Uses of Funds'!$G$132</f>
        <v>9105000</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59" t="s">
        <v>3413</v>
      </c>
    </row>
    <row r="12" spans="1:11" ht="13.5" customHeight="1" thickBot="1">
      <c r="A12" s="746" t="s">
        <v>3380</v>
      </c>
      <c r="D12" s="777">
        <f>SUM(D7:D11)</f>
        <v>50</v>
      </c>
      <c r="E12" s="747"/>
      <c r="G12" s="746" t="s">
        <v>1749</v>
      </c>
      <c r="H12" s="1190">
        <f>SUM(H7:H11)</f>
        <v>50</v>
      </c>
      <c r="I12" s="747"/>
      <c r="K12" s="3260"/>
    </row>
    <row r="13" spans="1:11" s="538" customFormat="1" ht="13.5" customHeight="1" thickBot="1">
      <c r="A13" s="746" t="s">
        <v>2977</v>
      </c>
      <c r="B13" s="748"/>
      <c r="E13" s="749">
        <f>SUM(E7:E11)</f>
        <v>0</v>
      </c>
      <c r="G13" s="746" t="s">
        <v>3211</v>
      </c>
      <c r="H13" s="748"/>
      <c r="I13" s="750">
        <f>SUM(I7:I11)</f>
        <v>0</v>
      </c>
      <c r="K13" s="1191">
        <f>'Part VIII-Threshold Criteria'!$P$63</f>
        <v>8964285.0799999982</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3890</v>
      </c>
      <c r="F18" s="1193"/>
      <c r="G18" s="1193"/>
      <c r="H18" s="1193"/>
      <c r="I18" s="1193"/>
      <c r="K18" s="1169">
        <f>'Sensitivity Analysis'!$E$13</f>
        <v>50</v>
      </c>
    </row>
    <row r="19" spans="1:11" s="538" customFormat="1" ht="13.5" customHeight="1">
      <c r="A19" s="538" t="s">
        <v>2978</v>
      </c>
      <c r="E19" s="1187"/>
      <c r="K19" s="606">
        <f>'Sensitivity Analysis'!$C$13</f>
        <v>50</v>
      </c>
    </row>
    <row r="20" spans="1:11" ht="3" customHeight="1">
      <c r="A20" s="752"/>
      <c r="E20" s="1188"/>
    </row>
    <row r="21" spans="1:11" s="538" customFormat="1" ht="13.5" customHeight="1">
      <c r="A21" s="538" t="s">
        <v>2979</v>
      </c>
      <c r="E21" s="1186" t="s">
        <v>3411</v>
      </c>
      <c r="K21" s="753">
        <f>K18/K19</f>
        <v>1</v>
      </c>
    </row>
    <row r="22" spans="1:11" ht="6.75" customHeight="1">
      <c r="E22" s="1188"/>
    </row>
    <row r="23" spans="1:11" s="538" customFormat="1" ht="13.5" customHeight="1">
      <c r="A23" s="538" t="s">
        <v>3379</v>
      </c>
      <c r="C23" s="754"/>
      <c r="E23" s="1186" t="s">
        <v>2982</v>
      </c>
      <c r="K23" s="606">
        <f>K9</f>
        <v>9105000</v>
      </c>
    </row>
    <row r="24" spans="1:11" s="538" customFormat="1" ht="13.5" customHeight="1">
      <c r="A24" s="755" t="s">
        <v>1716</v>
      </c>
      <c r="E24" s="1187"/>
      <c r="K24" s="741">
        <f>'Part IV-A-Uses of Funds'!$G$122</f>
        <v>130000</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8975000</v>
      </c>
    </row>
    <row r="29" spans="1:11" ht="6.75" customHeight="1">
      <c r="A29" s="752"/>
      <c r="E29" s="1188"/>
      <c r="K29" s="760"/>
    </row>
    <row r="30" spans="1:11" s="538" customFormat="1" ht="15" customHeight="1">
      <c r="A30" s="748" t="s">
        <v>2985</v>
      </c>
      <c r="E30" s="1186" t="s">
        <v>3416</v>
      </c>
      <c r="F30" s="761"/>
      <c r="G30" s="761"/>
      <c r="H30" s="761"/>
      <c r="I30" s="761"/>
      <c r="K30" s="762">
        <f>K21*K28</f>
        <v>8975000</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0</v>
      </c>
    </row>
    <row r="37" spans="1:11" s="538" customFormat="1" ht="9" customHeight="1" thickBot="1">
      <c r="E37" s="767"/>
      <c r="F37" s="767"/>
      <c r="G37" s="767"/>
      <c r="H37" s="767"/>
      <c r="K37" s="768"/>
    </row>
    <row r="38" spans="1:11" s="538" customFormat="1" ht="15.75" customHeight="1">
      <c r="A38" s="3261" t="s">
        <v>3414</v>
      </c>
      <c r="B38" s="3261"/>
      <c r="C38" s="3261"/>
      <c r="D38" s="3262" t="s">
        <v>2980</v>
      </c>
      <c r="E38" s="3262"/>
      <c r="F38" s="3262" t="s">
        <v>2981</v>
      </c>
      <c r="G38" s="3262"/>
      <c r="H38" s="3262"/>
      <c r="I38" s="1239" t="s">
        <v>2731</v>
      </c>
      <c r="K38" s="3263">
        <f>ROUND((D39/F39)*I39,0)</f>
        <v>0</v>
      </c>
    </row>
    <row r="39" spans="1:11" s="538" customFormat="1" ht="15.75" customHeight="1" thickBot="1">
      <c r="A39" s="3261"/>
      <c r="B39" s="3261"/>
      <c r="C39" s="3261"/>
      <c r="D39" s="3265">
        <f>K36</f>
        <v>0</v>
      </c>
      <c r="E39" s="3265"/>
      <c r="F39" s="3266">
        <f>K28</f>
        <v>8975000</v>
      </c>
      <c r="G39" s="3266"/>
      <c r="H39" s="3266"/>
      <c r="I39" s="769">
        <f>K19</f>
        <v>50</v>
      </c>
      <c r="K39" s="3264"/>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0" t="str">
        <f>CONCATENATE('Sensitivity Analysis'!E8,"  ",'Sensitivity Analysis'!C8)</f>
        <v>2020-042  Freedom's Path at Dublin</v>
      </c>
      <c r="B1" s="3270"/>
      <c r="C1" s="3270"/>
      <c r="D1" s="3270"/>
      <c r="E1" s="3270"/>
      <c r="F1" s="3270"/>
      <c r="G1" s="3270"/>
      <c r="H1" s="3270"/>
    </row>
    <row r="3" spans="1:13" ht="12" customHeight="1">
      <c r="A3" s="3271" t="s">
        <v>3382</v>
      </c>
      <c r="B3" s="3271"/>
      <c r="C3" s="3271"/>
      <c r="D3" s="3271"/>
      <c r="E3" s="3271"/>
      <c r="F3" s="3271"/>
      <c r="G3" s="3271"/>
      <c r="H3" s="3271"/>
      <c r="I3" s="1243"/>
      <c r="J3" s="3273" t="s">
        <v>3891</v>
      </c>
      <c r="K3" s="3273"/>
      <c r="L3" s="803"/>
      <c r="M3" s="803"/>
    </row>
    <row r="4" spans="1:13">
      <c r="J4" s="3273"/>
      <c r="K4" s="3273"/>
    </row>
    <row r="5" spans="1:13" ht="12" customHeight="1">
      <c r="A5" s="730">
        <v>1</v>
      </c>
      <c r="C5" s="730" t="s">
        <v>2987</v>
      </c>
      <c r="E5" s="785" t="str">
        <f>'Sensitivity Analysis'!H9</f>
        <v>Dublin Veterans Residences Limited Partnership</v>
      </c>
      <c r="J5" s="3273"/>
      <c r="K5" s="3273"/>
    </row>
    <row r="6" spans="1:13" ht="3" customHeight="1">
      <c r="H6" s="747"/>
      <c r="J6" s="3273"/>
      <c r="K6" s="3273"/>
    </row>
    <row r="7" spans="1:13" ht="12" customHeight="1">
      <c r="A7" s="730">
        <v>2</v>
      </c>
      <c r="C7" s="730" t="s">
        <v>2988</v>
      </c>
      <c r="E7" s="785" t="str">
        <f>'Part II-Development Team'!H6</f>
        <v>One Tower, 2. N. Tamiami Trail, Suite 800</v>
      </c>
      <c r="J7" s="3273"/>
      <c r="K7" s="3273"/>
    </row>
    <row r="8" spans="1:13" ht="12" customHeight="1">
      <c r="E8" s="785" t="str">
        <f>+'Part II-Development Team'!H7&amp;","&amp;" "&amp;'Part II-Development Team'!H8&amp;" "&amp;LEFT('Part II-Development Team'!J8,5)</f>
        <v>Sarasota, FL 34236</v>
      </c>
      <c r="J8" s="3273"/>
      <c r="K8" s="3273"/>
    </row>
    <row r="9" spans="1:13" ht="12" customHeight="1">
      <c r="C9" s="730" t="s">
        <v>2989</v>
      </c>
      <c r="E9" s="3272">
        <f>'Part II-Development Team'!L7</f>
        <v>0</v>
      </c>
      <c r="F9" s="3272"/>
      <c r="J9" s="3273"/>
      <c r="K9" s="3273"/>
    </row>
    <row r="10" spans="1:13" ht="12" customHeight="1">
      <c r="C10" s="730" t="s">
        <v>2990</v>
      </c>
      <c r="E10" s="785" t="str">
        <f>'Part II-Development Team'!Q5</f>
        <v>Don Paxton</v>
      </c>
    </row>
    <row r="11" spans="1:13" ht="12" customHeight="1">
      <c r="C11" s="730" t="s">
        <v>3896</v>
      </c>
      <c r="E11" s="785" t="str">
        <f>'Part II-Development Team'!L9</f>
        <v>dpaxton@cfveterans.com</v>
      </c>
    </row>
    <row r="12" spans="1:13" ht="12" customHeight="1">
      <c r="C12" s="730" t="s">
        <v>3892</v>
      </c>
      <c r="E12" s="1244">
        <f>'Part II-Development Team'!H9</f>
        <v>9419291270</v>
      </c>
    </row>
    <row r="13" spans="1:13" ht="12" customHeight="1">
      <c r="C13" s="730" t="s">
        <v>3895</v>
      </c>
      <c r="E13" s="1244">
        <f>'Part II-Development Team'!Q7</f>
        <v>9412282185</v>
      </c>
    </row>
    <row r="14" spans="1:13" ht="3" customHeight="1"/>
    <row r="15" spans="1:13" ht="12" customHeight="1">
      <c r="A15" s="730">
        <v>3</v>
      </c>
      <c r="C15" s="730" t="s">
        <v>2991</v>
      </c>
      <c r="E15" s="785" t="str">
        <f>'Sensitivity Analysis'!C8</f>
        <v>Freedom's Path at Dublin</v>
      </c>
    </row>
    <row r="16" spans="1:13" ht="12" customHeight="1">
      <c r="C16" s="730" t="s">
        <v>2992</v>
      </c>
      <c r="E16" s="785" t="str">
        <f>'Part I-Project Information'!$F$35</f>
        <v>1826 Veterans Boulevard</v>
      </c>
    </row>
    <row r="17" spans="1:8" ht="12" customHeight="1">
      <c r="E17" s="785" t="str">
        <f>+'Part I-Project Information'!$F$38&amp;","&amp;" GA "&amp;LEFT('Part I-Project Information'!$J$38,5)</f>
        <v>Dublin, GA 31021</v>
      </c>
    </row>
    <row r="18" spans="1:8" ht="3" customHeight="1"/>
    <row r="19" spans="1:8" ht="12" customHeight="1">
      <c r="A19" s="730">
        <v>4</v>
      </c>
      <c r="C19" s="730" t="s">
        <v>2993</v>
      </c>
      <c r="E19" s="785" t="str">
        <f>'Part II-Development Team'!H92</f>
        <v>Pinnacle Living</v>
      </c>
    </row>
    <row r="20" spans="1:8" ht="12" customHeight="1">
      <c r="C20" s="730" t="s">
        <v>2994</v>
      </c>
      <c r="E20" s="785" t="str">
        <f>'Part II-Development Team'!H93</f>
        <v>6065 Roswell Road</v>
      </c>
    </row>
    <row r="21" spans="1:8" ht="12" customHeight="1">
      <c r="E21" s="785" t="str">
        <f>+'Part II-Development Team'!H94&amp;","&amp;" "&amp;'Part II-Development Team'!H95&amp;" "&amp;LEFT('Part II-Development Team'!L95,5)</f>
        <v>Atlanta, GA 30328</v>
      </c>
    </row>
    <row r="22" spans="1:8" ht="12" customHeight="1">
      <c r="C22" s="730" t="s">
        <v>3892</v>
      </c>
      <c r="E22" s="1244">
        <f>'Part II-Development Team'!H96</f>
        <v>4048910179</v>
      </c>
    </row>
    <row r="23" spans="1:8" ht="12" customHeight="1">
      <c r="C23" s="730" t="s">
        <v>3895</v>
      </c>
      <c r="E23" s="1244">
        <f>'Part II-Development Team'!Q94</f>
        <v>0</v>
      </c>
    </row>
    <row r="24" spans="1:8" ht="12" customHeight="1">
      <c r="C24" s="730" t="s">
        <v>3896</v>
      </c>
      <c r="E24" s="1244" t="str">
        <f>'Part II-Development Team'!L96</f>
        <v>ksenior@pinnacleliving.com</v>
      </c>
    </row>
    <row r="25" spans="1:8" ht="3" customHeight="1">
      <c r="E25" s="785"/>
    </row>
    <row r="26" spans="1:8" ht="12" customHeight="1">
      <c r="A26" s="730">
        <v>5</v>
      </c>
      <c r="C26" s="730" t="s">
        <v>2995</v>
      </c>
      <c r="E26" s="785" t="str">
        <f>'Sensitivity Analysis'!$H$7</f>
        <v>Substantial Rehabilitation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5000000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Communities for Veterans LLC</v>
      </c>
    </row>
    <row r="48" spans="1:7" ht="3" customHeight="1">
      <c r="E48" s="785"/>
    </row>
    <row r="49" spans="1:7" ht="12" customHeight="1">
      <c r="A49" s="730">
        <v>15</v>
      </c>
      <c r="C49" s="730" t="s">
        <v>3898</v>
      </c>
      <c r="E49" s="785" t="str">
        <f>'Part II-Development Team'!Q98</f>
        <v>David Leon</v>
      </c>
      <c r="G49" s="785" t="str">
        <f>'Part II-Development Team'!H98</f>
        <v>Nelson Mullins</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50</v>
      </c>
    </row>
    <row r="53" spans="1:7" ht="3" customHeight="1">
      <c r="F53" s="775"/>
    </row>
    <row r="54" spans="1:7" ht="12" customHeight="1">
      <c r="A54" s="803">
        <v>17</v>
      </c>
      <c r="B54" s="803"/>
      <c r="C54" s="803" t="s">
        <v>3013</v>
      </c>
      <c r="D54" s="803"/>
      <c r="E54" s="803"/>
      <c r="F54" s="1251">
        <f>'HOME Allocation Limit WS'!K18</f>
        <v>50</v>
      </c>
      <c r="G54" s="803"/>
    </row>
    <row r="55" spans="1:7" ht="3" customHeight="1">
      <c r="F55" s="775"/>
    </row>
    <row r="56" spans="1:7" ht="12" customHeight="1">
      <c r="A56" s="730">
        <v>18</v>
      </c>
      <c r="C56" s="730" t="s">
        <v>3014</v>
      </c>
      <c r="F56" s="1251">
        <f>'Part VI-Revenues &amp; Expenses'!P66</f>
        <v>0</v>
      </c>
      <c r="G56" s="730" t="s">
        <v>3897</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Dublin Veterans Residences Limited Partnership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130000</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61000</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4" t="s">
        <v>3213</v>
      </c>
      <c r="B1" s="3274"/>
      <c r="C1" s="3274"/>
      <c r="D1" s="3274"/>
      <c r="E1" s="3274"/>
      <c r="F1" s="3274"/>
      <c r="G1" s="3274"/>
      <c r="H1" s="3274"/>
      <c r="I1" s="3274"/>
      <c r="J1" s="3274"/>
    </row>
    <row r="2" spans="1:13" ht="13.8">
      <c r="A2" s="3274" t="str">
        <f>'Sensitivity Analysis'!E8&amp;"  "&amp;'Sensitivity Analysis'!C8</f>
        <v>2020-042  Freedom's Path at Dublin</v>
      </c>
      <c r="B2" s="3274"/>
      <c r="C2" s="3274"/>
      <c r="D2" s="3274"/>
      <c r="E2" s="3274"/>
      <c r="F2" s="3274"/>
      <c r="G2" s="3274"/>
      <c r="H2" s="3274"/>
      <c r="I2" s="3274"/>
      <c r="J2" s="3274"/>
    </row>
    <row r="3" spans="1:13" ht="6" customHeight="1">
      <c r="K3" s="3273" t="s">
        <v>3891</v>
      </c>
      <c r="L3" s="3273"/>
      <c r="M3" s="3273"/>
    </row>
    <row r="4" spans="1:13" ht="12" customHeight="1">
      <c r="A4" s="771" t="s">
        <v>3026</v>
      </c>
      <c r="K4" s="3273"/>
      <c r="L4" s="3273"/>
      <c r="M4" s="3273"/>
    </row>
    <row r="5" spans="1:13" ht="12" customHeight="1">
      <c r="A5" s="730" t="s">
        <v>3027</v>
      </c>
      <c r="C5" s="772" t="str">
        <f>'Subsidy Layering Memo'!D6</f>
        <v>(Underwriter)</v>
      </c>
      <c r="I5" s="772"/>
      <c r="K5" s="3273"/>
      <c r="L5" s="3273"/>
      <c r="M5" s="3273"/>
    </row>
    <row r="6" spans="1:13" ht="6" customHeight="1">
      <c r="C6" s="667"/>
      <c r="D6" s="772"/>
      <c r="I6" s="772"/>
      <c r="K6" s="3273"/>
      <c r="L6" s="3273"/>
      <c r="M6" s="3273"/>
    </row>
    <row r="7" spans="1:13" ht="12" customHeight="1">
      <c r="A7" s="771" t="s">
        <v>3028</v>
      </c>
      <c r="C7" s="667"/>
      <c r="D7" s="772"/>
      <c r="I7" s="772"/>
      <c r="K7" s="3273"/>
      <c r="L7" s="3273"/>
      <c r="M7" s="3273"/>
    </row>
    <row r="8" spans="1:13" ht="12" customHeight="1">
      <c r="A8" s="730" t="s">
        <v>3029</v>
      </c>
      <c r="C8" s="772" t="str">
        <f>'Sensitivity Analysis'!$H$9</f>
        <v>Dublin Veterans Residences Limited Partnership</v>
      </c>
      <c r="I8" s="772"/>
      <c r="K8" s="3273"/>
      <c r="L8" s="3273"/>
      <c r="M8" s="3273"/>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277"/>
      <c r="E13" s="3277"/>
      <c r="F13" s="3277"/>
      <c r="G13" s="3277"/>
      <c r="H13" s="3277"/>
      <c r="I13" s="3277"/>
      <c r="J13" s="3277"/>
    </row>
    <row r="14" spans="1:13" ht="3" customHeight="1">
      <c r="G14" s="667"/>
      <c r="H14" s="772"/>
      <c r="I14" s="772"/>
    </row>
    <row r="15" spans="1:13" ht="12" customHeight="1">
      <c r="A15" s="730" t="s">
        <v>3032</v>
      </c>
      <c r="C15" s="774" t="str">
        <f>'Preview term'!E10</f>
        <v>Don Paxton</v>
      </c>
      <c r="G15" s="667"/>
      <c r="I15" s="772"/>
    </row>
    <row r="16" spans="1:13" ht="12" customHeight="1">
      <c r="A16" s="785" t="s">
        <v>4104</v>
      </c>
      <c r="C16" s="774" t="str">
        <f>'Part II-Development Team'!Q6</f>
        <v>Manager of GP</v>
      </c>
      <c r="G16" s="667"/>
      <c r="I16" s="772"/>
    </row>
    <row r="17" spans="1:9" ht="3" customHeight="1">
      <c r="G17" s="667"/>
      <c r="H17" s="772"/>
      <c r="I17" s="772"/>
    </row>
    <row r="18" spans="1:9" ht="12" customHeight="1">
      <c r="A18" s="730" t="s">
        <v>3033</v>
      </c>
      <c r="C18" s="774" t="str">
        <f>'Preview term'!$E$7</f>
        <v>One Tower, 2. N. Tamiami Trail, Suite 800</v>
      </c>
      <c r="G18" s="667"/>
      <c r="I18" s="772"/>
    </row>
    <row r="19" spans="1:9" ht="12" customHeight="1">
      <c r="C19" s="774" t="str">
        <f>'Preview term'!$E$8</f>
        <v>Sarasota, FL 34236</v>
      </c>
      <c r="G19" s="667"/>
      <c r="I19" s="772"/>
    </row>
    <row r="20" spans="1:9" ht="3" customHeight="1">
      <c r="G20" s="667"/>
      <c r="H20" s="772"/>
      <c r="I20" s="772"/>
    </row>
    <row r="21" spans="1:9" ht="12" customHeight="1">
      <c r="A21" s="730" t="s">
        <v>3034</v>
      </c>
      <c r="C21" s="774" t="str">
        <f>CONCATENATE('Preview term'!E49," of  ",'Preview term'!G49)</f>
        <v>David Leon of  Nelson Mullins</v>
      </c>
      <c r="G21" s="667"/>
      <c r="I21" s="772"/>
    </row>
    <row r="22" spans="1:9" ht="3" customHeight="1">
      <c r="C22" s="774"/>
      <c r="G22" s="667"/>
      <c r="I22" s="772"/>
    </row>
    <row r="23" spans="1:9" ht="12" customHeight="1">
      <c r="A23" s="730" t="s">
        <v>3035</v>
      </c>
      <c r="C23" s="774">
        <f>'Preview term'!E12</f>
        <v>9419291270</v>
      </c>
      <c r="G23" s="667"/>
      <c r="I23" s="772"/>
    </row>
    <row r="24" spans="1:9" ht="3" customHeight="1">
      <c r="C24" s="774"/>
      <c r="G24" s="667"/>
      <c r="I24" s="772"/>
    </row>
    <row r="25" spans="1:9" ht="12" customHeight="1">
      <c r="A25" s="730" t="s">
        <v>3036</v>
      </c>
      <c r="C25" s="1198" t="str">
        <f>'Preview term'!E11</f>
        <v>dpaxton@cfveterans.com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Freedom's Path at Dublin</v>
      </c>
      <c r="I28" s="772"/>
    </row>
    <row r="29" spans="1:9" ht="3" customHeight="1">
      <c r="C29" s="774"/>
      <c r="I29" s="772"/>
    </row>
    <row r="30" spans="1:9" ht="12" customHeight="1">
      <c r="A30" s="730" t="s">
        <v>3039</v>
      </c>
      <c r="C30" s="774" t="str">
        <f>'Preview term'!E16</f>
        <v>1826 Veterans Boulevard</v>
      </c>
      <c r="I30" s="772"/>
    </row>
    <row r="31" spans="1:9">
      <c r="C31" s="772" t="str">
        <f>'Preview term'!E17</f>
        <v>Dublin, GA 31021</v>
      </c>
      <c r="I31" s="772"/>
    </row>
    <row r="32" spans="1:9" ht="3" customHeight="1">
      <c r="C32" s="667"/>
      <c r="D32" s="667"/>
      <c r="I32" s="667"/>
    </row>
    <row r="33" spans="1:10" ht="12" customHeight="1">
      <c r="A33" s="730" t="s">
        <v>3040</v>
      </c>
      <c r="C33" s="667" t="s">
        <v>3041</v>
      </c>
      <c r="D33" s="1197">
        <f>'Preview term'!F54</f>
        <v>50</v>
      </c>
      <c r="I33" s="667"/>
    </row>
    <row r="34" spans="1:10" ht="12" customHeight="1">
      <c r="C34" s="667" t="s">
        <v>3042</v>
      </c>
      <c r="D34" s="776">
        <f>'HOME Allocation Limit WS'!H12-'HOME Allocation Limit WS'!D12</f>
        <v>0</v>
      </c>
      <c r="I34" s="667"/>
    </row>
    <row r="35" spans="1:10" ht="12" customHeight="1">
      <c r="C35" s="667" t="s">
        <v>3043</v>
      </c>
      <c r="D35" s="777">
        <f>SUM(D33:D34)</f>
        <v>50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75"/>
      <c r="D39" s="3275"/>
      <c r="E39" s="3275"/>
      <c r="F39" s="3275"/>
      <c r="G39" s="3275"/>
      <c r="H39" s="3275"/>
      <c r="I39" s="3275"/>
      <c r="J39" s="3275"/>
    </row>
    <row r="40" spans="1:10" ht="3" customHeight="1">
      <c r="G40" s="667"/>
      <c r="H40" s="667"/>
      <c r="I40" s="667"/>
    </row>
    <row r="41" spans="1:10" ht="25.5" customHeight="1">
      <c r="A41" s="779" t="s">
        <v>3047</v>
      </c>
      <c r="C41" s="3276" t="s">
        <v>3386</v>
      </c>
      <c r="D41" s="3276"/>
      <c r="E41" s="3276"/>
      <c r="F41" s="3276"/>
      <c r="G41" s="3276"/>
      <c r="H41" s="3276"/>
      <c r="I41" s="3276"/>
      <c r="J41" s="3276"/>
    </row>
    <row r="42" spans="1:10" ht="3" customHeight="1">
      <c r="C42" s="536"/>
      <c r="D42" s="536"/>
      <c r="E42" s="536"/>
      <c r="F42" s="536"/>
      <c r="G42" s="536"/>
      <c r="H42" s="537"/>
      <c r="I42" s="538"/>
      <c r="J42" s="537"/>
    </row>
    <row r="43" spans="1:10" ht="12" customHeight="1">
      <c r="A43" s="730" t="s">
        <v>3048</v>
      </c>
      <c r="C43" s="604" t="str">
        <f>'Part I-Project Information'!J39</f>
        <v>Laurens</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76" t="s">
        <v>558</v>
      </c>
      <c r="D49" s="3276"/>
      <c r="E49" s="3276"/>
      <c r="F49" s="3276"/>
      <c r="G49" s="3276"/>
      <c r="H49" s="3276"/>
      <c r="I49" s="3276"/>
      <c r="J49" s="3276"/>
    </row>
    <row r="50" spans="1:10" ht="12" customHeight="1">
      <c r="C50" s="3281" t="s">
        <v>1762</v>
      </c>
      <c r="D50" s="3281"/>
      <c r="E50" s="3281"/>
      <c r="F50" s="3281"/>
      <c r="G50" s="3281"/>
      <c r="H50" s="3281"/>
      <c r="I50" s="3281"/>
      <c r="J50" s="3281"/>
    </row>
    <row r="51" spans="1:10" ht="3" customHeight="1">
      <c r="D51" s="782"/>
      <c r="E51" s="782"/>
      <c r="F51" s="782"/>
      <c r="G51" s="783"/>
      <c r="H51" s="667"/>
      <c r="I51" s="782"/>
      <c r="J51" s="782"/>
    </row>
    <row r="52" spans="1:10" ht="12" customHeight="1">
      <c r="A52" s="779" t="s">
        <v>3052</v>
      </c>
      <c r="B52" s="779"/>
      <c r="C52" s="784" t="s">
        <v>3053</v>
      </c>
      <c r="D52" s="784" t="s">
        <v>3387</v>
      </c>
      <c r="E52" s="3282"/>
      <c r="F52" s="3282"/>
      <c r="G52" s="3282"/>
      <c r="H52" s="3282"/>
      <c r="I52" s="3282"/>
      <c r="J52" s="3282"/>
    </row>
    <row r="53" spans="1:10" ht="12" customHeight="1">
      <c r="A53" s="779"/>
      <c r="B53" s="779"/>
      <c r="C53" s="779"/>
      <c r="D53" s="784" t="s">
        <v>3388</v>
      </c>
      <c r="E53" s="3283"/>
      <c r="F53" s="3283"/>
      <c r="G53" s="3283"/>
      <c r="H53" s="3283"/>
      <c r="I53" s="3283"/>
      <c r="J53" s="3283"/>
    </row>
    <row r="54" spans="1:10" ht="12" customHeight="1">
      <c r="A54" s="771" t="s">
        <v>3054</v>
      </c>
      <c r="G54" s="667"/>
      <c r="H54" s="667"/>
      <c r="I54" s="667"/>
    </row>
    <row r="55" spans="1:10" ht="18" customHeight="1">
      <c r="A55" s="730" t="s">
        <v>3055</v>
      </c>
      <c r="C55" s="773" t="str">
        <f>'Sensitivity Analysis'!C10</f>
        <v>Communities for Veterans LLC</v>
      </c>
      <c r="G55" s="667"/>
      <c r="I55" s="667"/>
    </row>
    <row r="56" spans="1:10" ht="3" customHeight="1">
      <c r="C56" s="773"/>
      <c r="G56" s="667"/>
      <c r="I56" s="667"/>
    </row>
    <row r="57" spans="1:10" ht="12" customHeight="1">
      <c r="A57" s="730" t="s">
        <v>3056</v>
      </c>
      <c r="C57" s="773" t="str">
        <f>'Sensitivity Analysis'!C11</f>
        <v>Garrison for Veterans</v>
      </c>
      <c r="E57" s="773" t="str">
        <f>'Sensitivity Analysis'!E11</f>
        <v>Dublin Housing Authority</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5000000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77"/>
      <c r="E68" s="3277"/>
      <c r="F68" s="3277"/>
      <c r="G68" s="3277"/>
      <c r="H68" s="3277"/>
      <c r="I68" s="3277"/>
      <c r="J68" s="3277"/>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t="str">
        <f>'Part VII-Pro Forma'!K71</f>
        <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Fifth Third Bank</v>
      </c>
      <c r="I92" s="667"/>
    </row>
    <row r="93" spans="1:9" ht="12" customHeight="1">
      <c r="C93" s="799"/>
      <c r="D93" s="667"/>
      <c r="E93" s="785" t="s">
        <v>1753</v>
      </c>
      <c r="F93" s="3284"/>
      <c r="G93" s="3284"/>
      <c r="H93" s="3284"/>
      <c r="I93" s="667"/>
    </row>
    <row r="94" spans="1:9" ht="12" customHeight="1">
      <c r="C94" s="785"/>
      <c r="D94" s="667"/>
      <c r="E94" s="785" t="s">
        <v>1934</v>
      </c>
      <c r="F94" s="3285"/>
      <c r="G94" s="3285"/>
      <c r="H94" s="3285"/>
      <c r="I94" s="667"/>
    </row>
    <row r="95" spans="1:9" ht="12" customHeight="1">
      <c r="C95" s="785"/>
      <c r="D95" s="667"/>
      <c r="E95" s="785" t="s">
        <v>1755</v>
      </c>
      <c r="F95" s="3280"/>
      <c r="G95" s="3280"/>
      <c r="H95" s="3280"/>
      <c r="I95" s="667"/>
    </row>
    <row r="96" spans="1:9" ht="12" customHeight="1">
      <c r="B96" s="775"/>
      <c r="C96" s="788" t="s">
        <v>3225</v>
      </c>
      <c r="D96" s="667" t="s">
        <v>3081</v>
      </c>
      <c r="E96" s="785">
        <f>'Part III-Sources of Funds'!E38</f>
        <v>0</v>
      </c>
      <c r="I96" s="667"/>
    </row>
    <row r="97" spans="1:10" ht="12" customHeight="1">
      <c r="C97" s="785"/>
      <c r="D97" s="667"/>
      <c r="E97" s="785" t="s">
        <v>1753</v>
      </c>
      <c r="F97" s="3284"/>
      <c r="G97" s="3284"/>
      <c r="H97" s="3284"/>
      <c r="I97" s="667"/>
    </row>
    <row r="98" spans="1:10" ht="12" customHeight="1">
      <c r="C98" s="785"/>
      <c r="D98" s="667"/>
      <c r="E98" s="785" t="s">
        <v>1934</v>
      </c>
      <c r="F98" s="3285"/>
      <c r="G98" s="3285"/>
      <c r="H98" s="3285"/>
      <c r="I98" s="667"/>
    </row>
    <row r="99" spans="1:10" ht="12" customHeight="1">
      <c r="C99" s="785"/>
      <c r="D99" s="667"/>
      <c r="E99" s="785" t="s">
        <v>1755</v>
      </c>
      <c r="F99" s="3280"/>
      <c r="G99" s="3280"/>
      <c r="H99" s="3280"/>
      <c r="I99" s="667"/>
    </row>
    <row r="100" spans="1:10" ht="3" customHeight="1">
      <c r="D100" s="796"/>
      <c r="G100" s="667"/>
      <c r="H100" s="667"/>
      <c r="I100" s="667"/>
    </row>
    <row r="101" spans="1:10" ht="12" customHeight="1">
      <c r="A101" s="730" t="s">
        <v>3082</v>
      </c>
      <c r="D101" s="1241" t="str">
        <f>'Part IX Scoring Criteria'!O337</f>
        <v>N/a</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87"/>
      <c r="E106" s="3287"/>
      <c r="F106" s="3287"/>
      <c r="G106" s="3287"/>
      <c r="H106" s="3287"/>
      <c r="I106" s="3287"/>
      <c r="J106" s="3288"/>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3900</v>
      </c>
      <c r="I113" s="667"/>
    </row>
    <row r="114" spans="1:10" ht="12" customHeight="1">
      <c r="C114" s="773" t="s">
        <v>3899</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90" t="s">
        <v>3901</v>
      </c>
      <c r="F119" s="3290"/>
      <c r="G119" s="3290"/>
      <c r="H119" s="3290"/>
      <c r="I119" s="3290"/>
      <c r="J119" s="3290"/>
    </row>
    <row r="120" spans="1:10" ht="12" customHeight="1">
      <c r="C120" s="667" t="s">
        <v>3092</v>
      </c>
      <c r="D120" s="1206"/>
      <c r="E120" s="3290"/>
      <c r="F120" s="3290"/>
      <c r="G120" s="3290"/>
      <c r="H120" s="3290"/>
      <c r="I120" s="3290"/>
      <c r="J120" s="3290"/>
    </row>
    <row r="121" spans="1:10" ht="12" customHeight="1">
      <c r="C121" s="667" t="s">
        <v>3093</v>
      </c>
      <c r="D121" s="1206"/>
      <c r="E121" s="3290"/>
      <c r="F121" s="3290"/>
      <c r="G121" s="3290"/>
      <c r="H121" s="3290"/>
      <c r="I121" s="3290"/>
      <c r="J121" s="3290"/>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Communities for Veterans Development LLC</v>
      </c>
      <c r="D130" s="773" t="str">
        <f>'Sensitivity Analysis'!K11</f>
        <v>Garrsion for Veterans</v>
      </c>
      <c r="G130" s="773" t="str">
        <f>'Sensitivity Analysis'!M11</f>
        <v>Dublin Housing Authority</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586531.5</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Pinnacle Living</v>
      </c>
      <c r="G137" s="667"/>
      <c r="I137" s="667"/>
      <c r="J137" s="802"/>
    </row>
    <row r="138" spans="1:10" ht="3" customHeight="1">
      <c r="C138" s="773"/>
      <c r="G138" s="667"/>
      <c r="I138" s="667"/>
    </row>
    <row r="139" spans="1:10" ht="12" customHeight="1">
      <c r="A139" s="730" t="s">
        <v>3104</v>
      </c>
      <c r="C139" s="774" t="str">
        <f>C8</f>
        <v>Dublin Veterans Residences Limited Partnership</v>
      </c>
      <c r="G139" s="667"/>
      <c r="I139" s="772"/>
      <c r="J139" s="803"/>
    </row>
    <row r="140" spans="1:10" ht="3" customHeight="1">
      <c r="C140" s="774"/>
      <c r="G140" s="667"/>
      <c r="I140" s="772"/>
      <c r="J140" s="803"/>
    </row>
    <row r="141" spans="1:10" ht="12" customHeight="1">
      <c r="A141" s="730" t="s">
        <v>3105</v>
      </c>
      <c r="C141" s="774" t="str">
        <f>C18</f>
        <v>One Tower, 2. N. Tamiami Trail, Suite 800</v>
      </c>
      <c r="G141" s="667"/>
      <c r="I141" s="772"/>
      <c r="J141" s="803"/>
    </row>
    <row r="142" spans="1:10">
      <c r="C142" s="774" t="str">
        <f>C19</f>
        <v>Sarasota, FL 34236</v>
      </c>
      <c r="G142" s="667"/>
      <c r="I142" s="772"/>
      <c r="J142" s="803"/>
    </row>
    <row r="143" spans="1:10" ht="3" customHeight="1">
      <c r="C143" s="804"/>
      <c r="G143" s="667"/>
      <c r="I143" s="772"/>
      <c r="J143" s="803"/>
    </row>
    <row r="144" spans="1:10" ht="12" customHeight="1">
      <c r="A144" s="730" t="s">
        <v>3106</v>
      </c>
      <c r="C144" s="774" t="str">
        <f>'Sensitivity Analysis'!H10</f>
        <v>RBC Tax Credit Equity Group</v>
      </c>
      <c r="G144" s="667"/>
      <c r="I144" s="772"/>
      <c r="J144" s="802"/>
    </row>
    <row r="145" spans="1:10" ht="3" customHeight="1">
      <c r="C145" s="774"/>
      <c r="G145" s="667"/>
      <c r="I145" s="772"/>
      <c r="J145" s="803"/>
    </row>
    <row r="146" spans="1:10" ht="12" customHeight="1">
      <c r="A146" s="730" t="s">
        <v>3107</v>
      </c>
      <c r="C146" s="774" t="str">
        <f>'Sensitivity Analysis'!K10</f>
        <v>RBC Tax Credit Equity Group</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77"/>
      <c r="F164" s="3277"/>
      <c r="G164" s="3277"/>
      <c r="I164" s="667"/>
    </row>
    <row r="165" spans="1:13" ht="3" customHeight="1">
      <c r="E165" s="667"/>
      <c r="G165" s="667"/>
      <c r="I165" s="667"/>
    </row>
    <row r="166" spans="1:13" ht="12" customHeight="1">
      <c r="A166" s="730" t="s">
        <v>3116</v>
      </c>
      <c r="C166" s="730" t="s">
        <v>3117</v>
      </c>
      <c r="E166" s="806">
        <f>'Preview term'!F71</f>
        <v>130000</v>
      </c>
      <c r="G166" s="667"/>
      <c r="I166" s="667"/>
    </row>
    <row r="167" spans="1:13" ht="12" customHeight="1">
      <c r="C167" s="730" t="s">
        <v>3393</v>
      </c>
      <c r="E167" s="3277"/>
      <c r="F167" s="3277"/>
      <c r="G167" s="3277"/>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19980</v>
      </c>
      <c r="F172" s="772" t="s">
        <v>3121</v>
      </c>
      <c r="J172" s="803"/>
      <c r="K172" s="803"/>
      <c r="L172" s="803"/>
      <c r="M172" s="803"/>
    </row>
    <row r="173" spans="1:13">
      <c r="E173" s="806">
        <f>E172/12</f>
        <v>1665</v>
      </c>
      <c r="F173" s="667" t="s">
        <v>2973</v>
      </c>
    </row>
    <row r="174" spans="1:13" ht="12" customHeight="1">
      <c r="C174" s="730" t="s">
        <v>3394</v>
      </c>
      <c r="E174" s="3277"/>
      <c r="F174" s="3277"/>
      <c r="G174" s="3277"/>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77"/>
      <c r="G179" s="3277"/>
      <c r="H179" s="3277"/>
      <c r="I179" s="3277"/>
      <c r="J179" s="3277"/>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61000</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289">
        <f>'Part VIII-Threshold Criteria'!E391</f>
        <v>0</v>
      </c>
      <c r="G197" s="3289"/>
      <c r="H197" s="3289"/>
      <c r="I197" s="3289"/>
      <c r="J197" s="3289"/>
    </row>
    <row r="198" spans="1:10" ht="9" customHeight="1">
      <c r="G198" s="667"/>
      <c r="H198" s="667"/>
      <c r="I198" s="667"/>
    </row>
    <row r="199" spans="1:10" ht="12" customHeight="1">
      <c r="A199" s="808" t="s">
        <v>3214</v>
      </c>
      <c r="G199" s="667"/>
      <c r="H199" s="667"/>
      <c r="I199" s="792"/>
    </row>
    <row r="200" spans="1:10" ht="25.5" hidden="1" customHeight="1">
      <c r="A200" s="3278" t="str">
        <f>'Subsidy Layering Memo'!A98</f>
        <v>Include any reserve requirements; explain any reserves far in excess of 6 month ODR, 3 mo lease up, 1 year RR, 6 mo T&amp;I standards.</v>
      </c>
      <c r="B200" s="3278"/>
      <c r="C200" s="3278"/>
      <c r="D200" s="3278"/>
      <c r="E200" s="3278"/>
      <c r="F200" s="3278"/>
      <c r="G200" s="3278"/>
      <c r="H200" s="3278"/>
      <c r="I200" s="3278"/>
      <c r="J200" s="3278"/>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79" t="s">
        <v>2839</v>
      </c>
      <c r="B204" s="3279"/>
      <c r="C204" s="3279"/>
      <c r="D204" s="3279"/>
      <c r="E204" s="3279"/>
      <c r="F204" s="3279"/>
      <c r="G204" s="3279"/>
      <c r="H204" s="3279"/>
      <c r="I204" s="3279"/>
      <c r="J204" s="3279"/>
    </row>
    <row r="205" spans="1:10">
      <c r="A205" s="667" t="s">
        <v>2840</v>
      </c>
      <c r="G205" s="667"/>
      <c r="H205" s="667"/>
      <c r="I205" s="667"/>
    </row>
    <row r="206" spans="1:10" ht="38.25" customHeight="1">
      <c r="A206" s="3279" t="str">
        <f>'Subsidy Layering Memo'!A37&amp;".  "&amp;'Subsidy Layering Memo'!A38</f>
        <v xml:space="preserve">.  </v>
      </c>
      <c r="B206" s="3286"/>
      <c r="C206" s="3286"/>
      <c r="D206" s="3286"/>
      <c r="E206" s="3286"/>
      <c r="F206" s="3286"/>
      <c r="G206" s="3286"/>
      <c r="H206" s="3286"/>
      <c r="I206" s="3286"/>
      <c r="J206" s="3286"/>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338" t="str">
        <f>'Part I-Project Information'!F34</f>
        <v>Freedom's Path at Dublin</v>
      </c>
      <c r="E3" s="3339"/>
      <c r="F3" s="3339"/>
      <c r="G3" s="3339"/>
      <c r="H3" s="3339"/>
      <c r="I3" s="3339"/>
      <c r="J3" s="3344" t="s">
        <v>4644</v>
      </c>
      <c r="K3" s="3345"/>
    </row>
    <row r="4" spans="1:11" ht="15" customHeight="1">
      <c r="A4" s="1633" t="s">
        <v>4642</v>
      </c>
      <c r="B4" s="1634"/>
      <c r="C4" s="1635"/>
      <c r="D4" s="3340" t="str">
        <f>CONCATENATE('Part I-Project Information'!F35,", ",'Part I-Project Information'!F38,", GA ",'Part I-Project Information'!J38," (",'Part I-Project Information'!J39," Co.)",)</f>
        <v>1826 Veterans Boulevard, Dublin, GA 310213620 (Laurens Co.)</v>
      </c>
      <c r="E4" s="3341"/>
      <c r="F4" s="3341"/>
      <c r="G4" s="3341"/>
      <c r="H4" s="3341"/>
      <c r="I4" s="3341"/>
      <c r="J4" s="3346" t="s">
        <v>4683</v>
      </c>
      <c r="K4" s="3347"/>
    </row>
    <row r="5" spans="1:11" ht="15" customHeight="1" thickBot="1">
      <c r="A5" s="1636" t="s">
        <v>4643</v>
      </c>
      <c r="B5" s="1637"/>
      <c r="C5" s="1638"/>
      <c r="D5" s="3342"/>
      <c r="E5" s="3343"/>
      <c r="F5" s="3343"/>
      <c r="G5" s="3343"/>
      <c r="H5" s="3343"/>
      <c r="I5" s="3343"/>
      <c r="J5" s="3348"/>
      <c r="K5" s="3349"/>
    </row>
    <row r="6" spans="1:11" ht="9" customHeight="1" thickBot="1">
      <c r="E6" s="1628"/>
    </row>
    <row r="7" spans="1:11">
      <c r="A7" s="3335" t="s">
        <v>4645</v>
      </c>
      <c r="B7" s="3336"/>
      <c r="C7" s="3336"/>
      <c r="D7" s="3336"/>
      <c r="E7" s="3336"/>
      <c r="F7" s="3336"/>
      <c r="G7" s="3336"/>
      <c r="H7" s="3336"/>
      <c r="I7" s="3336"/>
      <c r="J7" s="3336"/>
      <c r="K7" s="3337"/>
    </row>
    <row r="8" spans="1:11" ht="14.25" customHeight="1">
      <c r="A8" s="1654"/>
      <c r="B8" s="1654"/>
      <c r="C8" s="1676">
        <v>1</v>
      </c>
      <c r="D8" s="1655" t="s">
        <v>4646</v>
      </c>
      <c r="E8" s="1655"/>
      <c r="F8" s="1655"/>
      <c r="G8" s="1655"/>
      <c r="H8" s="1655"/>
      <c r="I8" s="1655"/>
      <c r="J8" s="1655"/>
      <c r="K8" s="1656"/>
    </row>
    <row r="9" spans="1:11" ht="7.2" customHeight="1">
      <c r="A9" s="3330"/>
      <c r="B9" s="3330"/>
      <c r="C9" s="3330"/>
      <c r="D9" s="3331"/>
      <c r="E9" s="3331"/>
      <c r="F9" s="3331"/>
      <c r="G9" s="3331"/>
      <c r="H9" s="3331"/>
      <c r="I9" s="3331"/>
      <c r="J9" s="3331"/>
      <c r="K9" s="1657"/>
    </row>
    <row r="10" spans="1:11">
      <c r="A10" s="3294" t="s">
        <v>4647</v>
      </c>
      <c r="B10" s="3295"/>
      <c r="C10" s="3295"/>
      <c r="D10" s="3295"/>
      <c r="E10" s="3295"/>
      <c r="F10" s="3295"/>
      <c r="G10" s="3295"/>
      <c r="H10" s="3295"/>
      <c r="I10" s="3295"/>
      <c r="J10" s="3295"/>
      <c r="K10" s="3296"/>
    </row>
    <row r="11" spans="1:11" ht="14.25" customHeight="1">
      <c r="A11" s="1654"/>
      <c r="B11" s="1654"/>
      <c r="C11" s="1676">
        <v>2</v>
      </c>
      <c r="D11" s="1655" t="s">
        <v>4648</v>
      </c>
      <c r="E11" s="1658"/>
      <c r="F11" s="1658"/>
      <c r="G11" s="1658"/>
      <c r="H11" s="1658"/>
      <c r="I11" s="1658"/>
      <c r="J11" s="1658"/>
      <c r="K11" s="1659"/>
    </row>
    <row r="12" spans="1:11" ht="7.2" customHeight="1">
      <c r="A12" s="3330"/>
      <c r="B12" s="3330"/>
      <c r="C12" s="3330"/>
      <c r="D12" s="3331"/>
      <c r="E12" s="3331"/>
      <c r="F12" s="3331"/>
      <c r="G12" s="3331"/>
      <c r="H12" s="3331"/>
      <c r="I12" s="3331"/>
      <c r="J12" s="3331"/>
      <c r="K12" s="1660"/>
    </row>
    <row r="13" spans="1:11">
      <c r="A13" s="3294" t="s">
        <v>4649</v>
      </c>
      <c r="B13" s="3295"/>
      <c r="C13" s="3295"/>
      <c r="D13" s="3295"/>
      <c r="E13" s="3295"/>
      <c r="F13" s="3295"/>
      <c r="G13" s="3295"/>
      <c r="H13" s="3295"/>
      <c r="I13" s="3295"/>
      <c r="J13" s="3295"/>
      <c r="K13" s="3296"/>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3330"/>
      <c r="B18" s="3330"/>
      <c r="C18" s="3330"/>
      <c r="D18" s="3331"/>
      <c r="E18" s="3331"/>
      <c r="F18" s="3331"/>
      <c r="G18" s="3331"/>
      <c r="H18" s="3331"/>
      <c r="I18" s="3331"/>
      <c r="J18" s="3331"/>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3330"/>
      <c r="B21" s="3330"/>
      <c r="C21" s="3330"/>
      <c r="D21" s="3331"/>
      <c r="E21" s="3331"/>
      <c r="F21" s="3331"/>
      <c r="G21" s="3331"/>
      <c r="H21" s="3331"/>
      <c r="I21" s="3331"/>
      <c r="J21" s="3331"/>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97" t="s">
        <v>4689</v>
      </c>
      <c r="B30" s="3298"/>
      <c r="C30" s="3298"/>
      <c r="D30" s="3298"/>
      <c r="E30" s="3298"/>
      <c r="F30" s="3298"/>
      <c r="G30" s="3298"/>
      <c r="H30" s="3298"/>
      <c r="I30" s="3298"/>
      <c r="J30" s="3298"/>
      <c r="K30" s="3299"/>
    </row>
    <row r="31" spans="1:13">
      <c r="A31" s="1652"/>
      <c r="B31" s="3300" t="s">
        <v>4644</v>
      </c>
      <c r="C31" s="3300"/>
      <c r="D31" s="3300"/>
      <c r="E31" s="3300"/>
      <c r="F31" s="3300"/>
      <c r="G31" s="3332" t="s">
        <v>4658</v>
      </c>
      <c r="H31" s="3333"/>
      <c r="I31" s="3333"/>
      <c r="J31" s="3333"/>
      <c r="K31" s="3334"/>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292" t="s">
        <v>4663</v>
      </c>
      <c r="M32" s="3292"/>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2"/>
      <c r="M33" s="3292"/>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2"/>
      <c r="M34" s="3292"/>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2"/>
      <c r="M35" s="3292"/>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2"/>
      <c r="M36" s="3292"/>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2"/>
      <c r="M37" s="3292"/>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2"/>
      <c r="M38" s="3292"/>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2"/>
      <c r="M39" s="3292"/>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2"/>
      <c r="M40" s="3292"/>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2"/>
      <c r="M41" s="3292"/>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2"/>
      <c r="M42" s="3292"/>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2"/>
      <c r="M43" s="3292"/>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2"/>
      <c r="M44" s="3292"/>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2"/>
      <c r="M45" s="3292"/>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2"/>
      <c r="M46" s="3292"/>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2"/>
      <c r="M47" s="3292"/>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2"/>
      <c r="M48" s="3292"/>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2"/>
      <c r="M49" s="3292"/>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2"/>
      <c r="M50" s="3292"/>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2"/>
      <c r="M51" s="3292"/>
    </row>
    <row r="52" spans="1:13" ht="15" customHeight="1" thickBot="1">
      <c r="A52" s="1652"/>
      <c r="B52" s="1673"/>
      <c r="D52" s="1661"/>
      <c r="E52" s="1661"/>
      <c r="F52" s="1661"/>
      <c r="G52" s="1686" t="s">
        <v>4664</v>
      </c>
      <c r="H52" s="1685" t="e">
        <f>SUM(H33:H51)</f>
        <v>#VALUE!</v>
      </c>
      <c r="I52" s="1661"/>
      <c r="J52" s="1673" t="s">
        <v>4665</v>
      </c>
      <c r="K52" s="1669" t="e">
        <f>SUM(K33:K51)</f>
        <v>#VALUE!</v>
      </c>
      <c r="L52" s="3292"/>
      <c r="M52" s="3292"/>
    </row>
    <row r="53" spans="1:13" ht="15" customHeight="1">
      <c r="A53" s="1652"/>
      <c r="B53" s="1674"/>
      <c r="C53" s="3314" t="s">
        <v>4666</v>
      </c>
      <c r="D53" s="3314"/>
      <c r="E53" s="3314"/>
      <c r="F53" s="3314"/>
      <c r="G53" s="3314"/>
      <c r="H53" s="3314"/>
      <c r="I53" s="3314"/>
      <c r="J53" s="3315"/>
      <c r="K53" s="1675" t="str">
        <f>IF(K17="no",0,IF(K17="yes",K16,"Error"))</f>
        <v>Error</v>
      </c>
      <c r="L53" s="3292"/>
      <c r="M53" s="3292"/>
    </row>
    <row r="54" spans="1:13" ht="15" customHeight="1" thickBot="1">
      <c r="A54" s="1652"/>
      <c r="B54" s="1674"/>
      <c r="C54" s="3316" t="s">
        <v>4667</v>
      </c>
      <c r="D54" s="3316"/>
      <c r="E54" s="3316"/>
      <c r="F54" s="3316"/>
      <c r="G54" s="3316"/>
      <c r="H54" s="3316"/>
      <c r="I54" s="3316"/>
      <c r="J54" s="3317"/>
      <c r="K54" s="1688" t="e">
        <f>K52+K53</f>
        <v>#VALUE!</v>
      </c>
    </row>
    <row r="55" spans="1:13" ht="7.95" customHeight="1">
      <c r="A55" s="3318"/>
      <c r="B55" s="3309"/>
      <c r="C55" s="3309"/>
      <c r="D55" s="3309"/>
      <c r="E55" s="3309"/>
      <c r="F55" s="3309"/>
      <c r="G55" s="3309"/>
      <c r="H55" s="3309"/>
      <c r="I55" s="3309"/>
      <c r="J55" s="3309"/>
      <c r="K55" s="1702"/>
    </row>
    <row r="56" spans="1:13" ht="15" customHeight="1">
      <c r="A56" s="3301" t="s">
        <v>4668</v>
      </c>
      <c r="B56" s="3302"/>
      <c r="C56" s="3302"/>
      <c r="D56" s="3302"/>
      <c r="E56" s="3302"/>
      <c r="F56" s="3302"/>
      <c r="G56" s="3302"/>
      <c r="H56" s="3302"/>
      <c r="I56" s="3302"/>
      <c r="J56" s="3302"/>
      <c r="K56" s="3303"/>
    </row>
    <row r="57" spans="1:13" ht="48" customHeight="1">
      <c r="A57" s="1649"/>
      <c r="B57" s="1640"/>
      <c r="C57" s="1651" t="s">
        <v>4669</v>
      </c>
      <c r="D57" s="2017" t="s">
        <v>6835</v>
      </c>
      <c r="E57" s="3319" t="s">
        <v>4685</v>
      </c>
      <c r="F57" s="3320"/>
      <c r="G57" s="3321" t="s">
        <v>4670</v>
      </c>
      <c r="H57" s="3322"/>
      <c r="I57" s="3319" t="s">
        <v>4684</v>
      </c>
      <c r="J57" s="3320"/>
      <c r="K57" s="3323"/>
    </row>
    <row r="58" spans="1:13" ht="15" customHeight="1">
      <c r="A58" s="1805"/>
      <c r="B58" s="2014"/>
      <c r="C58" s="1670">
        <f>SUMIF(C33:C51, "0", H33:H51)</f>
        <v>0</v>
      </c>
      <c r="D58" s="2018">
        <f>ROUNDUP(C58*1.1,0)</f>
        <v>0</v>
      </c>
      <c r="E58" s="3325" t="s">
        <v>4671</v>
      </c>
      <c r="F58" s="3326"/>
      <c r="G58" s="3327">
        <f>62445*2.4</f>
        <v>149868</v>
      </c>
      <c r="H58" s="3328"/>
      <c r="I58" s="3329">
        <f t="shared" ref="I58:I63" si="6">D58*G58</f>
        <v>0</v>
      </c>
      <c r="J58" s="3329"/>
      <c r="K58" s="3324"/>
    </row>
    <row r="59" spans="1:13">
      <c r="A59" s="1805"/>
      <c r="B59" s="2014"/>
      <c r="C59" s="1671">
        <f>SUMIF(C33:C51, "1", H33:H51)</f>
        <v>0</v>
      </c>
      <c r="D59" s="2019">
        <f t="shared" ref="D59:D63" si="7">ROUNDUP(C59*1.1,0)</f>
        <v>0</v>
      </c>
      <c r="E59" s="3310" t="s">
        <v>2631</v>
      </c>
      <c r="F59" s="3311"/>
      <c r="G59" s="3312">
        <f>71584*2.4</f>
        <v>171801.60000000001</v>
      </c>
      <c r="H59" s="3313"/>
      <c r="I59" s="3291">
        <f t="shared" si="6"/>
        <v>0</v>
      </c>
      <c r="J59" s="3291"/>
      <c r="K59" s="3324"/>
    </row>
    <row r="60" spans="1:13" ht="15" customHeight="1">
      <c r="A60" s="1805"/>
      <c r="B60" s="2014"/>
      <c r="C60" s="1671">
        <f>SUMIF(C33:C51, "2", H33:H51)</f>
        <v>0</v>
      </c>
      <c r="D60" s="2019">
        <f t="shared" si="7"/>
        <v>0</v>
      </c>
      <c r="E60" s="3310" t="s">
        <v>2632</v>
      </c>
      <c r="F60" s="3311"/>
      <c r="G60" s="3312">
        <f>87047*2.4</f>
        <v>208912.8</v>
      </c>
      <c r="H60" s="3313"/>
      <c r="I60" s="3291">
        <f t="shared" si="6"/>
        <v>0</v>
      </c>
      <c r="J60" s="3291"/>
      <c r="K60" s="3324"/>
    </row>
    <row r="61" spans="1:13">
      <c r="A61" s="1805"/>
      <c r="B61" s="2014"/>
      <c r="C61" s="1671">
        <f>SUMIF(C33:C51, "3", H33:H51)</f>
        <v>0</v>
      </c>
      <c r="D61" s="2019">
        <f t="shared" si="7"/>
        <v>0</v>
      </c>
      <c r="E61" s="3310" t="s">
        <v>2635</v>
      </c>
      <c r="F61" s="3311"/>
      <c r="G61" s="3312">
        <f>112611*2.4</f>
        <v>270266.39999999997</v>
      </c>
      <c r="H61" s="3313"/>
      <c r="I61" s="3291">
        <f t="shared" si="6"/>
        <v>0</v>
      </c>
      <c r="J61" s="3291"/>
      <c r="K61" s="3324"/>
    </row>
    <row r="62" spans="1:13">
      <c r="A62" s="1805"/>
      <c r="B62" s="2014"/>
      <c r="C62" s="1671">
        <f>SUMIF(C33:C51, "4", H33:H51)</f>
        <v>0</v>
      </c>
      <c r="D62" s="2019">
        <f t="shared" si="7"/>
        <v>0</v>
      </c>
      <c r="E62" s="3310" t="s">
        <v>4672</v>
      </c>
      <c r="F62" s="3311"/>
      <c r="G62" s="3312">
        <f>123611*2.4</f>
        <v>296666.39999999997</v>
      </c>
      <c r="H62" s="3313"/>
      <c r="I62" s="3291">
        <f t="shared" si="6"/>
        <v>0</v>
      </c>
      <c r="J62" s="3291"/>
      <c r="K62" s="3324"/>
    </row>
    <row r="63" spans="1:13">
      <c r="A63" s="2015"/>
      <c r="B63" s="2016"/>
      <c r="C63" s="1672">
        <f>SUMIF(C33:C51, "5", H33:H51)</f>
        <v>0</v>
      </c>
      <c r="D63" s="2020">
        <f t="shared" si="7"/>
        <v>0</v>
      </c>
      <c r="E63" s="3304" t="s">
        <v>4673</v>
      </c>
      <c r="F63" s="3305"/>
      <c r="G63" s="3306">
        <f>123611*2.4</f>
        <v>296666.39999999997</v>
      </c>
      <c r="H63" s="3307"/>
      <c r="I63" s="3308">
        <f t="shared" si="6"/>
        <v>0</v>
      </c>
      <c r="J63" s="3308"/>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09"/>
      <c r="B65" s="3309"/>
      <c r="C65" s="3309"/>
      <c r="D65" s="3309"/>
      <c r="E65" s="3309"/>
      <c r="F65" s="3309"/>
      <c r="G65" s="3309"/>
      <c r="H65" s="3309"/>
      <c r="I65" s="3309"/>
      <c r="J65" s="3309"/>
    </row>
    <row r="66" spans="1:11">
      <c r="A66" s="3301" t="s">
        <v>4676</v>
      </c>
      <c r="B66" s="3302"/>
      <c r="C66" s="3302"/>
      <c r="D66" s="3302"/>
      <c r="E66" s="3302"/>
      <c r="F66" s="3302"/>
      <c r="G66" s="3302"/>
      <c r="H66" s="3302"/>
      <c r="I66" s="3302"/>
      <c r="J66" s="3302"/>
      <c r="K66" s="3303"/>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293" t="s">
        <v>4680</v>
      </c>
      <c r="D70" s="3293"/>
      <c r="E70" s="3293"/>
      <c r="F70" s="3293"/>
      <c r="G70" s="3293"/>
      <c r="H70" s="3293"/>
      <c r="I70" s="3293"/>
      <c r="J70" s="3293"/>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Freedom's Path at Dublin</v>
      </c>
    </row>
    <row r="2" spans="1:11">
      <c r="A2" s="667" t="s">
        <v>3133</v>
      </c>
      <c r="H2" s="730" t="str">
        <f>'Sensitivity Analysis'!E8</f>
        <v>2020-042</v>
      </c>
    </row>
    <row r="3" spans="1:11" ht="3" customHeight="1"/>
    <row r="4" spans="1:11" ht="51.75" customHeight="1">
      <c r="A4" s="3286" t="s">
        <v>3231</v>
      </c>
      <c r="B4" s="3286"/>
      <c r="C4" s="3286"/>
      <c r="D4" s="3286"/>
      <c r="E4" s="3286"/>
      <c r="F4" s="3286"/>
      <c r="G4" s="3286"/>
      <c r="H4" s="3286"/>
      <c r="J4" s="1218">
        <f>SUM('Part VII-Pro Forma'!B14:B16)/12</f>
        <v>28505.429999999997</v>
      </c>
      <c r="K4" s="1217" t="s">
        <v>4105</v>
      </c>
    </row>
    <row r="5" spans="1:11" ht="1.5" customHeight="1">
      <c r="C5" s="809"/>
      <c r="D5" s="809"/>
      <c r="E5" s="809"/>
      <c r="F5" s="809"/>
      <c r="G5" s="809"/>
      <c r="H5" s="809"/>
    </row>
    <row r="6" spans="1:11" ht="12.75" customHeight="1">
      <c r="B6" s="810" t="s">
        <v>2371</v>
      </c>
      <c r="C6" s="3286" t="s">
        <v>3134</v>
      </c>
      <c r="D6" s="3286"/>
      <c r="E6" s="3286"/>
      <c r="F6" s="3286"/>
      <c r="G6" s="3286"/>
      <c r="H6" s="3286"/>
    </row>
    <row r="7" spans="1:11" ht="12.75" customHeight="1">
      <c r="B7" s="810" t="s">
        <v>2372</v>
      </c>
      <c r="C7" s="3286" t="s">
        <v>3135</v>
      </c>
      <c r="D7" s="3286"/>
      <c r="E7" s="3286"/>
      <c r="F7" s="3286"/>
      <c r="G7" s="3286"/>
      <c r="H7" s="3286"/>
    </row>
    <row r="8" spans="1:11" ht="3" customHeight="1"/>
    <row r="9" spans="1:11">
      <c r="A9" s="730" t="s">
        <v>3136</v>
      </c>
    </row>
    <row r="10" spans="1:11" ht="1.5" customHeight="1"/>
    <row r="11" spans="1:11" ht="26.25" customHeight="1">
      <c r="A11" s="811" t="s">
        <v>1935</v>
      </c>
      <c r="B11" s="3355" t="s">
        <v>3228</v>
      </c>
      <c r="C11" s="3355"/>
      <c r="D11" s="3355"/>
      <c r="E11" s="3355"/>
      <c r="F11" s="3355"/>
      <c r="G11" s="3356">
        <f>'Part III-Sources of Funds'!I49+'Part III-Sources of Funds'!I50</f>
        <v>7812500</v>
      </c>
      <c r="H11" s="3356"/>
    </row>
    <row r="12" spans="1:11" ht="1.5" customHeight="1">
      <c r="G12" s="779"/>
      <c r="H12" s="779"/>
    </row>
    <row r="13" spans="1:11" ht="26.25" customHeight="1">
      <c r="A13" s="811" t="s">
        <v>1937</v>
      </c>
      <c r="B13" s="3355" t="s">
        <v>3229</v>
      </c>
      <c r="C13" s="3355"/>
      <c r="D13" s="3355"/>
      <c r="E13" s="3355"/>
      <c r="F13" s="3355"/>
      <c r="G13" s="3357" t="s">
        <v>3062</v>
      </c>
      <c r="H13" s="3357"/>
    </row>
    <row r="14" spans="1:11" ht="12" hidden="1" customHeight="1">
      <c r="A14" s="811"/>
      <c r="B14" s="3275"/>
      <c r="C14" s="3275"/>
      <c r="D14" s="3275"/>
      <c r="E14" s="3275"/>
      <c r="F14" s="3275"/>
      <c r="G14" s="3275"/>
      <c r="H14" s="3275"/>
    </row>
    <row r="15" spans="1:11" ht="1.5" customHeight="1"/>
    <row r="16" spans="1:11" ht="12" customHeight="1">
      <c r="A16" s="811" t="s">
        <v>731</v>
      </c>
      <c r="B16" s="730" t="s">
        <v>3232</v>
      </c>
      <c r="F16" s="803"/>
      <c r="G16" s="3272" t="s">
        <v>2888</v>
      </c>
      <c r="H16" s="3272"/>
    </row>
    <row r="17" spans="1:8" ht="1.5" customHeight="1">
      <c r="G17" s="785"/>
    </row>
    <row r="18" spans="1:8" ht="12" customHeight="1">
      <c r="A18" s="811" t="s">
        <v>2064</v>
      </c>
      <c r="B18" s="779" t="s">
        <v>3230</v>
      </c>
      <c r="C18" s="811"/>
      <c r="D18" s="811"/>
      <c r="E18" s="811"/>
      <c r="G18" s="3275" t="s">
        <v>2727</v>
      </c>
      <c r="H18" s="3275"/>
    </row>
    <row r="19" spans="1:8" ht="12" hidden="1" customHeight="1">
      <c r="B19" s="3275"/>
      <c r="C19" s="3275"/>
      <c r="D19" s="3275"/>
      <c r="E19" s="3275"/>
      <c r="F19" s="3275"/>
      <c r="G19" s="3275"/>
      <c r="H19" s="3275"/>
    </row>
    <row r="20" spans="1:8" ht="13.5" customHeight="1"/>
    <row r="21" spans="1:8" ht="12" customHeight="1">
      <c r="A21" s="667" t="s">
        <v>3137</v>
      </c>
    </row>
    <row r="22" spans="1:8" ht="3" customHeight="1"/>
    <row r="23" spans="1:8" ht="24.75" customHeight="1">
      <c r="A23" s="3358" t="s">
        <v>4821</v>
      </c>
      <c r="B23" s="3358"/>
      <c r="C23" s="3358"/>
      <c r="D23" s="3358"/>
      <c r="E23" s="3358"/>
      <c r="F23" s="3358"/>
      <c r="G23" s="3358"/>
      <c r="H23" s="3358"/>
    </row>
    <row r="24" spans="1:8" ht="9" customHeight="1" thickBot="1">
      <c r="A24" s="752"/>
    </row>
    <row r="25" spans="1:8" ht="16.2" customHeight="1" thickBot="1">
      <c r="A25" s="3350">
        <v>20</v>
      </c>
      <c r="B25" s="3351"/>
      <c r="C25" s="1789" t="s">
        <v>1018</v>
      </c>
    </row>
    <row r="26" spans="1:8" ht="9" customHeight="1">
      <c r="A26" s="752"/>
    </row>
    <row r="27" spans="1:8" ht="28.2" customHeight="1">
      <c r="A27" s="3354" t="s">
        <v>4826</v>
      </c>
      <c r="B27" s="3354"/>
      <c r="C27" s="3354"/>
      <c r="D27" s="3354"/>
      <c r="E27" s="3354"/>
      <c r="F27" s="3354"/>
      <c r="G27" s="3354"/>
      <c r="H27" s="3354"/>
    </row>
    <row r="28" spans="1:8" ht="9" customHeight="1">
      <c r="A28" s="752"/>
    </row>
    <row r="29" spans="1:8">
      <c r="A29" s="785" t="s">
        <v>3233</v>
      </c>
      <c r="B29" s="812" t="str">
        <f>IF('Part VI-Revenues &amp; Expenses'!$K$62=0,"",'Part VI-Revenues &amp; Expenses'!$K$62)</f>
        <v/>
      </c>
      <c r="C29" s="785" t="s">
        <v>4819</v>
      </c>
      <c r="D29" s="813" t="s">
        <v>4820</v>
      </c>
    </row>
    <row r="30" spans="1:8" ht="1.95" customHeight="1"/>
    <row r="31" spans="1:8" ht="12.75" customHeight="1">
      <c r="C31" s="779" t="s">
        <v>3138</v>
      </c>
      <c r="D31" s="814" t="s">
        <v>1938</v>
      </c>
      <c r="E31" s="815"/>
      <c r="F31" s="3286" t="s">
        <v>3139</v>
      </c>
      <c r="G31" s="3286"/>
      <c r="H31" s="3286"/>
    </row>
    <row r="32" spans="1:8" ht="12.75" customHeight="1">
      <c r="C32" s="816" t="s">
        <v>1326</v>
      </c>
      <c r="D32" s="814" t="s">
        <v>1940</v>
      </c>
      <c r="E32" s="3286" t="s">
        <v>3238</v>
      </c>
      <c r="F32" s="3286"/>
      <c r="G32" s="3286"/>
      <c r="H32" s="3286"/>
    </row>
    <row r="33" spans="1:11" ht="12.75" customHeight="1">
      <c r="C33" s="1787" t="s">
        <v>4824</v>
      </c>
      <c r="E33" s="3286" t="s">
        <v>3399</v>
      </c>
      <c r="F33" s="3286"/>
      <c r="G33" s="3286"/>
      <c r="H33" s="3286"/>
    </row>
    <row r="34" spans="1:11" ht="12.75" customHeight="1">
      <c r="C34" s="1788"/>
      <c r="D34" s="1786" t="s">
        <v>3237</v>
      </c>
      <c r="E34" s="3352" t="s">
        <v>3400</v>
      </c>
      <c r="F34" s="3352"/>
      <c r="G34" s="3352"/>
      <c r="H34" s="3352"/>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3286" t="s">
        <v>3238</v>
      </c>
      <c r="F37" s="3286"/>
      <c r="G37" s="3286"/>
      <c r="H37" s="3286"/>
    </row>
    <row r="38" spans="1:11" ht="12.75" customHeight="1">
      <c r="C38" s="1787" t="s">
        <v>4824</v>
      </c>
      <c r="E38" s="3286" t="s">
        <v>3399</v>
      </c>
      <c r="F38" s="3286"/>
      <c r="G38" s="3286"/>
      <c r="H38" s="3286"/>
    </row>
    <row r="39" spans="1:11" ht="12.75" customHeight="1">
      <c r="C39" s="1788"/>
      <c r="D39" s="1786" t="s">
        <v>3237</v>
      </c>
      <c r="E39" s="3352" t="s">
        <v>3400</v>
      </c>
      <c r="F39" s="3352"/>
      <c r="G39" s="3352"/>
      <c r="H39" s="3352"/>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3286" t="s">
        <v>3238</v>
      </c>
      <c r="F42" s="3286"/>
      <c r="G42" s="3286"/>
      <c r="H42" s="3286"/>
    </row>
    <row r="43" spans="1:11" ht="12.75" customHeight="1">
      <c r="C43" s="1787" t="s">
        <v>4824</v>
      </c>
      <c r="E43" s="3286" t="s">
        <v>3399</v>
      </c>
      <c r="F43" s="3286"/>
      <c r="G43" s="3286"/>
      <c r="H43" s="3286"/>
    </row>
    <row r="44" spans="1:11" ht="12.75" customHeight="1">
      <c r="C44" s="1788"/>
      <c r="D44" s="1786" t="s">
        <v>3237</v>
      </c>
      <c r="E44" s="3352" t="s">
        <v>3400</v>
      </c>
      <c r="F44" s="3352"/>
      <c r="G44" s="3352"/>
      <c r="H44" s="3352"/>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3286" t="s">
        <v>3238</v>
      </c>
      <c r="F49" s="3286"/>
      <c r="G49" s="3286"/>
      <c r="H49" s="3286"/>
      <c r="K49" s="1803"/>
    </row>
    <row r="50" spans="1:11" ht="12.75" customHeight="1">
      <c r="C50" s="1787" t="s">
        <v>4824</v>
      </c>
      <c r="E50" s="3286" t="s">
        <v>3399</v>
      </c>
      <c r="F50" s="3286"/>
      <c r="G50" s="3286"/>
      <c r="H50" s="3286"/>
    </row>
    <row r="51" spans="1:11" ht="12.75" customHeight="1">
      <c r="C51" s="1788"/>
      <c r="D51" s="1785" t="s">
        <v>3237</v>
      </c>
      <c r="E51" s="3353" t="s">
        <v>3400</v>
      </c>
      <c r="F51" s="3353"/>
      <c r="G51" s="3353"/>
      <c r="H51" s="3353"/>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3286" t="s">
        <v>3238</v>
      </c>
      <c r="F54" s="3286"/>
      <c r="G54" s="3286"/>
      <c r="H54" s="3286"/>
    </row>
    <row r="55" spans="1:11" ht="12.75" customHeight="1">
      <c r="C55" s="1787" t="s">
        <v>4824</v>
      </c>
      <c r="E55" s="3286" t="s">
        <v>3399</v>
      </c>
      <c r="F55" s="3286"/>
      <c r="G55" s="3286"/>
      <c r="H55" s="3286"/>
    </row>
    <row r="56" spans="1:11" ht="12.75" customHeight="1">
      <c r="C56" s="1788"/>
      <c r="D56" s="1786" t="s">
        <v>3237</v>
      </c>
      <c r="E56" s="3352" t="s">
        <v>3400</v>
      </c>
      <c r="F56" s="3352"/>
      <c r="G56" s="3352"/>
      <c r="H56" s="3352"/>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3286" t="s">
        <v>3238</v>
      </c>
      <c r="F59" s="3286"/>
      <c r="G59" s="3286"/>
      <c r="H59" s="3286"/>
    </row>
    <row r="60" spans="1:11" ht="12.75" customHeight="1">
      <c r="C60" s="1787" t="s">
        <v>4824</v>
      </c>
      <c r="E60" s="3286" t="s">
        <v>3399</v>
      </c>
      <c r="F60" s="3286"/>
      <c r="G60" s="3286"/>
      <c r="H60" s="3286"/>
    </row>
    <row r="61" spans="1:11" ht="12.75" customHeight="1">
      <c r="C61" s="1788"/>
      <c r="D61" s="1786" t="s">
        <v>3237</v>
      </c>
      <c r="E61" s="3352" t="s">
        <v>3400</v>
      </c>
      <c r="F61" s="3352"/>
      <c r="G61" s="3352"/>
      <c r="H61" s="3352"/>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286" t="s">
        <v>3238</v>
      </c>
      <c r="F66" s="3286"/>
      <c r="G66" s="3286"/>
      <c r="H66" s="3286"/>
    </row>
    <row r="67" spans="1:8" ht="12.75" customHeight="1">
      <c r="C67" s="1787" t="s">
        <v>4824</v>
      </c>
      <c r="E67" s="3286" t="s">
        <v>3399</v>
      </c>
      <c r="F67" s="3286"/>
      <c r="G67" s="3286"/>
      <c r="H67" s="3286"/>
    </row>
    <row r="68" spans="1:8" ht="12.75" customHeight="1">
      <c r="C68" s="1788"/>
      <c r="D68" s="1785" t="s">
        <v>3237</v>
      </c>
      <c r="E68" s="3353" t="s">
        <v>3400</v>
      </c>
      <c r="F68" s="3353"/>
      <c r="G68" s="3353"/>
      <c r="H68" s="3353"/>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286" t="s">
        <v>3238</v>
      </c>
      <c r="F71" s="3286"/>
      <c r="G71" s="3286"/>
      <c r="H71" s="3286"/>
    </row>
    <row r="72" spans="1:8" ht="12.75" customHeight="1">
      <c r="C72" s="1787" t="s">
        <v>4824</v>
      </c>
      <c r="E72" s="3286" t="s">
        <v>3399</v>
      </c>
      <c r="F72" s="3286"/>
      <c r="G72" s="3286"/>
      <c r="H72" s="3286"/>
    </row>
    <row r="73" spans="1:8" ht="12.75" customHeight="1">
      <c r="C73" s="1788"/>
      <c r="D73" s="1786" t="s">
        <v>3237</v>
      </c>
      <c r="E73" s="3352" t="s">
        <v>3400</v>
      </c>
      <c r="F73" s="3352"/>
      <c r="G73" s="3352"/>
      <c r="H73" s="3352"/>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3286" t="s">
        <v>3238</v>
      </c>
      <c r="F76" s="3286"/>
      <c r="G76" s="3286"/>
      <c r="H76" s="3286"/>
    </row>
    <row r="77" spans="1:8" ht="12.75" customHeight="1">
      <c r="C77" s="1787" t="s">
        <v>4824</v>
      </c>
      <c r="E77" s="3286" t="s">
        <v>3399</v>
      </c>
      <c r="F77" s="3286"/>
      <c r="G77" s="3286"/>
      <c r="H77" s="3286"/>
    </row>
    <row r="78" spans="1:8" ht="12.75" customHeight="1">
      <c r="C78" s="1788"/>
      <c r="D78" s="1786" t="s">
        <v>3237</v>
      </c>
      <c r="E78" s="3352" t="s">
        <v>3400</v>
      </c>
      <c r="F78" s="3352"/>
      <c r="G78" s="3352"/>
      <c r="H78" s="3352"/>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286" t="s">
        <v>3238</v>
      </c>
      <c r="F83" s="3286"/>
      <c r="G83" s="3286"/>
      <c r="H83" s="3286"/>
    </row>
    <row r="84" spans="3:8" ht="12.75" customHeight="1">
      <c r="C84" s="1787" t="s">
        <v>4824</v>
      </c>
      <c r="E84" s="3286" t="s">
        <v>3399</v>
      </c>
      <c r="F84" s="3286"/>
      <c r="G84" s="3286"/>
      <c r="H84" s="3286"/>
    </row>
    <row r="85" spans="3:8" ht="12.75" customHeight="1">
      <c r="C85" s="1788"/>
      <c r="D85" s="1785" t="s">
        <v>3237</v>
      </c>
      <c r="E85" s="3353" t="s">
        <v>3400</v>
      </c>
      <c r="F85" s="3353"/>
      <c r="G85" s="3353"/>
      <c r="H85" s="3353"/>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3286" t="s">
        <v>3238</v>
      </c>
      <c r="F88" s="3286"/>
      <c r="G88" s="3286"/>
      <c r="H88" s="3286"/>
    </row>
    <row r="89" spans="3:8" ht="12.75" customHeight="1">
      <c r="C89" s="1787" t="s">
        <v>4824</v>
      </c>
      <c r="E89" s="3286" t="s">
        <v>3399</v>
      </c>
      <c r="F89" s="3286"/>
      <c r="G89" s="3286"/>
      <c r="H89" s="3286"/>
    </row>
    <row r="90" spans="3:8" ht="12.75" customHeight="1">
      <c r="C90" s="1788"/>
      <c r="D90" s="1786" t="s">
        <v>3237</v>
      </c>
      <c r="E90" s="3352" t="s">
        <v>3400</v>
      </c>
      <c r="F90" s="3352"/>
      <c r="G90" s="3352"/>
      <c r="H90" s="3352"/>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3286" t="s">
        <v>3238</v>
      </c>
      <c r="F93" s="3286"/>
      <c r="G93" s="3286"/>
      <c r="H93" s="3286"/>
    </row>
    <row r="94" spans="3:8" ht="12.75" customHeight="1">
      <c r="C94" s="1787" t="s">
        <v>4824</v>
      </c>
      <c r="E94" s="3286" t="s">
        <v>3399</v>
      </c>
      <c r="F94" s="3286"/>
      <c r="G94" s="3286"/>
      <c r="H94" s="3286"/>
    </row>
    <row r="95" spans="3:8" ht="12.75" customHeight="1">
      <c r="C95" s="1788"/>
      <c r="D95" s="1786" t="s">
        <v>3237</v>
      </c>
      <c r="E95" s="3352" t="s">
        <v>3400</v>
      </c>
      <c r="F95" s="3352"/>
      <c r="G95" s="3352"/>
      <c r="H95" s="3352"/>
    </row>
    <row r="96" spans="3:8" ht="6" customHeight="1">
      <c r="D96" s="814"/>
      <c r="E96" s="1784"/>
      <c r="F96" s="1784"/>
      <c r="G96" s="1784"/>
      <c r="H96" s="1784"/>
    </row>
    <row r="97" spans="1:11">
      <c r="A97" s="785" t="s">
        <v>3233</v>
      </c>
      <c r="B97" s="812" t="str">
        <f>IF('Part VI-Revenues &amp; Expenses'!$O$62=0,"",'Part VI-Revenues &amp; Expenses'!$O$62)</f>
        <v/>
      </c>
      <c r="C97" s="785" t="s">
        <v>4822</v>
      </c>
      <c r="D97" s="813" t="s">
        <v>4823</v>
      </c>
    </row>
    <row r="98" spans="1:11" ht="1.95" customHeight="1"/>
    <row r="99" spans="1:11" ht="12.75" customHeight="1">
      <c r="C99" s="779" t="s">
        <v>3138</v>
      </c>
      <c r="D99" s="814" t="s">
        <v>1938</v>
      </c>
      <c r="E99" s="815"/>
      <c r="F99" s="3286" t="s">
        <v>3139</v>
      </c>
      <c r="G99" s="3286"/>
      <c r="H99" s="3286"/>
      <c r="K99" s="730" t="s">
        <v>238</v>
      </c>
    </row>
    <row r="100" spans="1:11" ht="12.75" customHeight="1">
      <c r="C100" s="816" t="s">
        <v>1326</v>
      </c>
      <c r="D100" s="814" t="s">
        <v>1940</v>
      </c>
      <c r="E100" s="3286" t="s">
        <v>3239</v>
      </c>
      <c r="F100" s="3286"/>
      <c r="G100" s="3286"/>
      <c r="H100" s="3286"/>
    </row>
    <row r="101" spans="1:11" ht="12.75" customHeight="1">
      <c r="E101" s="3286" t="s">
        <v>3399</v>
      </c>
      <c r="F101" s="3286"/>
      <c r="G101" s="3286"/>
      <c r="H101" s="3286"/>
    </row>
    <row r="102" spans="1:11" ht="12.75" customHeight="1">
      <c r="D102" s="817" t="s">
        <v>3237</v>
      </c>
      <c r="E102" s="3286" t="s">
        <v>3400</v>
      </c>
      <c r="F102" s="3286"/>
      <c r="G102" s="3286"/>
      <c r="H102" s="3286"/>
    </row>
    <row r="103" spans="1:11" ht="9" customHeight="1" thickBot="1"/>
    <row r="104" spans="1:11" ht="16.2" customHeight="1" thickBot="1">
      <c r="A104" s="3350">
        <v>30</v>
      </c>
      <c r="B104" s="3351"/>
      <c r="C104" s="1789" t="s">
        <v>1018</v>
      </c>
    </row>
    <row r="105" spans="1:11" ht="9" customHeight="1">
      <c r="A105" s="752"/>
    </row>
    <row r="106" spans="1:11" ht="28.2" customHeight="1">
      <c r="A106" s="3354" t="s">
        <v>4827</v>
      </c>
      <c r="B106" s="3354"/>
      <c r="C106" s="3354"/>
      <c r="D106" s="3354"/>
      <c r="E106" s="3354"/>
      <c r="F106" s="3354"/>
      <c r="G106" s="3354"/>
      <c r="H106" s="3354"/>
    </row>
    <row r="107" spans="1:11" ht="9" customHeight="1">
      <c r="A107" s="752"/>
    </row>
    <row r="108" spans="1:11">
      <c r="A108" s="785" t="s">
        <v>3233</v>
      </c>
      <c r="B108" s="812" t="str">
        <f>IF('Part VI-Revenues &amp; Expenses'!$K$61=0,"",'Part VI-Revenues &amp; Expenses'!$K$61)</f>
        <v/>
      </c>
      <c r="C108" s="785" t="s">
        <v>4819</v>
      </c>
      <c r="D108" s="813" t="s">
        <v>4820</v>
      </c>
    </row>
    <row r="109" spans="1:11" ht="1.95" customHeight="1"/>
    <row r="110" spans="1:11" ht="12.75" customHeight="1">
      <c r="C110" s="779" t="s">
        <v>3138</v>
      </c>
      <c r="D110" s="814" t="s">
        <v>1938</v>
      </c>
      <c r="E110" s="815"/>
      <c r="F110" s="3286" t="s">
        <v>3139</v>
      </c>
      <c r="G110" s="3286"/>
      <c r="H110" s="3286"/>
    </row>
    <row r="111" spans="1:11" ht="12.75" customHeight="1">
      <c r="C111" s="816" t="s">
        <v>1326</v>
      </c>
      <c r="D111" s="814" t="s">
        <v>1940</v>
      </c>
      <c r="E111" s="3286" t="s">
        <v>3238</v>
      </c>
      <c r="F111" s="3286"/>
      <c r="G111" s="3286"/>
      <c r="H111" s="3286"/>
    </row>
    <row r="112" spans="1:11" ht="12.75" customHeight="1">
      <c r="C112" s="1787" t="s">
        <v>4824</v>
      </c>
      <c r="E112" s="3286" t="s">
        <v>3399</v>
      </c>
      <c r="F112" s="3286"/>
      <c r="G112" s="3286"/>
      <c r="H112" s="3286"/>
    </row>
    <row r="113" spans="1:8" ht="12.75" customHeight="1">
      <c r="C113" s="1788"/>
      <c r="D113" s="1786" t="s">
        <v>3237</v>
      </c>
      <c r="E113" s="3352" t="s">
        <v>3400</v>
      </c>
      <c r="F113" s="3352"/>
      <c r="G113" s="3352"/>
      <c r="H113" s="3352"/>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3286" t="s">
        <v>3238</v>
      </c>
      <c r="F116" s="3286"/>
      <c r="G116" s="3286"/>
      <c r="H116" s="3286"/>
    </row>
    <row r="117" spans="1:8" ht="12.75" customHeight="1">
      <c r="C117" s="1787" t="s">
        <v>4824</v>
      </c>
      <c r="E117" s="3286" t="s">
        <v>3399</v>
      </c>
      <c r="F117" s="3286"/>
      <c r="G117" s="3286"/>
      <c r="H117" s="3286"/>
    </row>
    <row r="118" spans="1:8" ht="12.75" customHeight="1">
      <c r="C118" s="1788"/>
      <c r="D118" s="1786" t="s">
        <v>3237</v>
      </c>
      <c r="E118" s="3352" t="s">
        <v>3400</v>
      </c>
      <c r="F118" s="3352"/>
      <c r="G118" s="3352"/>
      <c r="H118" s="3352"/>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3286" t="s">
        <v>3238</v>
      </c>
      <c r="F121" s="3286"/>
      <c r="G121" s="3286"/>
      <c r="H121" s="3286"/>
    </row>
    <row r="122" spans="1:8" ht="12.75" customHeight="1">
      <c r="C122" s="1787" t="s">
        <v>4824</v>
      </c>
      <c r="E122" s="3286" t="s">
        <v>3399</v>
      </c>
      <c r="F122" s="3286"/>
      <c r="G122" s="3286"/>
      <c r="H122" s="3286"/>
    </row>
    <row r="123" spans="1:8" ht="12.75" customHeight="1">
      <c r="C123" s="1788"/>
      <c r="D123" s="1786" t="s">
        <v>3237</v>
      </c>
      <c r="E123" s="3352" t="s">
        <v>3400</v>
      </c>
      <c r="F123" s="3352"/>
      <c r="G123" s="3352"/>
      <c r="H123" s="3352"/>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286" t="s">
        <v>3238</v>
      </c>
      <c r="F128" s="3286"/>
      <c r="G128" s="3286"/>
      <c r="H128" s="3286"/>
    </row>
    <row r="129" spans="1:8" ht="12.75" customHeight="1">
      <c r="C129" s="1787" t="s">
        <v>4824</v>
      </c>
      <c r="E129" s="3286" t="s">
        <v>3399</v>
      </c>
      <c r="F129" s="3286"/>
      <c r="G129" s="3286"/>
      <c r="H129" s="3286"/>
    </row>
    <row r="130" spans="1:8" ht="12.75" customHeight="1">
      <c r="C130" s="1788"/>
      <c r="D130" s="1785" t="s">
        <v>3237</v>
      </c>
      <c r="E130" s="3353" t="s">
        <v>3400</v>
      </c>
      <c r="F130" s="3353"/>
      <c r="G130" s="3353"/>
      <c r="H130" s="3353"/>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3286" t="s">
        <v>3238</v>
      </c>
      <c r="F133" s="3286"/>
      <c r="G133" s="3286"/>
      <c r="H133" s="3286"/>
    </row>
    <row r="134" spans="1:8" ht="12.75" customHeight="1">
      <c r="C134" s="1787" t="s">
        <v>4824</v>
      </c>
      <c r="E134" s="3286" t="s">
        <v>3399</v>
      </c>
      <c r="F134" s="3286"/>
      <c r="G134" s="3286"/>
      <c r="H134" s="3286"/>
    </row>
    <row r="135" spans="1:8" ht="12.75" customHeight="1">
      <c r="C135" s="1788"/>
      <c r="D135" s="1786" t="s">
        <v>3237</v>
      </c>
      <c r="E135" s="3352" t="s">
        <v>3400</v>
      </c>
      <c r="F135" s="3352"/>
      <c r="G135" s="3352"/>
      <c r="H135" s="3352"/>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3286" t="s">
        <v>3238</v>
      </c>
      <c r="F138" s="3286"/>
      <c r="G138" s="3286"/>
      <c r="H138" s="3286"/>
    </row>
    <row r="139" spans="1:8" ht="12.75" customHeight="1">
      <c r="C139" s="1787" t="s">
        <v>4824</v>
      </c>
      <c r="E139" s="3286" t="s">
        <v>3399</v>
      </c>
      <c r="F139" s="3286"/>
      <c r="G139" s="3286"/>
      <c r="H139" s="3286"/>
    </row>
    <row r="140" spans="1:8" ht="12.75" customHeight="1">
      <c r="C140" s="1788"/>
      <c r="D140" s="1786" t="s">
        <v>3237</v>
      </c>
      <c r="E140" s="3352" t="s">
        <v>3400</v>
      </c>
      <c r="F140" s="3352"/>
      <c r="G140" s="3352"/>
      <c r="H140" s="3352"/>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286" t="s">
        <v>3238</v>
      </c>
      <c r="F145" s="3286"/>
      <c r="G145" s="3286"/>
      <c r="H145" s="3286"/>
    </row>
    <row r="146" spans="1:8" ht="12.75" customHeight="1">
      <c r="C146" s="1787" t="s">
        <v>4824</v>
      </c>
      <c r="E146" s="3286" t="s">
        <v>3399</v>
      </c>
      <c r="F146" s="3286"/>
      <c r="G146" s="3286"/>
      <c r="H146" s="3286"/>
    </row>
    <row r="147" spans="1:8" ht="12.75" customHeight="1">
      <c r="C147" s="1788"/>
      <c r="D147" s="1785" t="s">
        <v>3237</v>
      </c>
      <c r="E147" s="3353" t="s">
        <v>3400</v>
      </c>
      <c r="F147" s="3353"/>
      <c r="G147" s="3353"/>
      <c r="H147" s="3353"/>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3286" t="s">
        <v>3238</v>
      </c>
      <c r="F150" s="3286"/>
      <c r="G150" s="3286"/>
      <c r="H150" s="3286"/>
    </row>
    <row r="151" spans="1:8" ht="12.75" customHeight="1">
      <c r="C151" s="1787" t="s">
        <v>4824</v>
      </c>
      <c r="E151" s="3286" t="s">
        <v>3399</v>
      </c>
      <c r="F151" s="3286"/>
      <c r="G151" s="3286"/>
      <c r="H151" s="3286"/>
    </row>
    <row r="152" spans="1:8" ht="12.75" customHeight="1">
      <c r="C152" s="1788"/>
      <c r="D152" s="1786" t="s">
        <v>3237</v>
      </c>
      <c r="E152" s="3352" t="s">
        <v>3400</v>
      </c>
      <c r="F152" s="3352"/>
      <c r="G152" s="3352"/>
      <c r="H152" s="3352"/>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3286" t="s">
        <v>3238</v>
      </c>
      <c r="F155" s="3286"/>
      <c r="G155" s="3286"/>
      <c r="H155" s="3286"/>
    </row>
    <row r="156" spans="1:8" ht="12.75" customHeight="1">
      <c r="C156" s="1787" t="s">
        <v>4824</v>
      </c>
      <c r="E156" s="3286" t="s">
        <v>3399</v>
      </c>
      <c r="F156" s="3286"/>
      <c r="G156" s="3286"/>
      <c r="H156" s="3286"/>
    </row>
    <row r="157" spans="1:8" ht="12.75" customHeight="1">
      <c r="C157" s="1788"/>
      <c r="D157" s="1786" t="s">
        <v>3237</v>
      </c>
      <c r="E157" s="3352" t="s">
        <v>3400</v>
      </c>
      <c r="F157" s="3352"/>
      <c r="G157" s="3352"/>
      <c r="H157" s="3352"/>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286" t="s">
        <v>3238</v>
      </c>
      <c r="F162" s="3286"/>
      <c r="G162" s="3286"/>
      <c r="H162" s="3286"/>
    </row>
    <row r="163" spans="1:8" ht="12.75" customHeight="1">
      <c r="C163" s="1787" t="s">
        <v>4824</v>
      </c>
      <c r="E163" s="3286" t="s">
        <v>3399</v>
      </c>
      <c r="F163" s="3286"/>
      <c r="G163" s="3286"/>
      <c r="H163" s="3286"/>
    </row>
    <row r="164" spans="1:8" ht="12.75" customHeight="1">
      <c r="C164" s="1788"/>
      <c r="D164" s="1785" t="s">
        <v>3237</v>
      </c>
      <c r="E164" s="3353" t="s">
        <v>3400</v>
      </c>
      <c r="F164" s="3353"/>
      <c r="G164" s="3353"/>
      <c r="H164" s="3353"/>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3286" t="s">
        <v>3238</v>
      </c>
      <c r="F167" s="3286"/>
      <c r="G167" s="3286"/>
      <c r="H167" s="3286"/>
    </row>
    <row r="168" spans="1:8" ht="12.75" customHeight="1">
      <c r="C168" s="1787" t="s">
        <v>4824</v>
      </c>
      <c r="E168" s="3286" t="s">
        <v>3399</v>
      </c>
      <c r="F168" s="3286"/>
      <c r="G168" s="3286"/>
      <c r="H168" s="3286"/>
    </row>
    <row r="169" spans="1:8" ht="12.75" customHeight="1">
      <c r="C169" s="1788"/>
      <c r="D169" s="1786" t="s">
        <v>3237</v>
      </c>
      <c r="E169" s="3352" t="s">
        <v>3400</v>
      </c>
      <c r="F169" s="3352"/>
      <c r="G169" s="3352"/>
      <c r="H169" s="3352"/>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3286" t="s">
        <v>3238</v>
      </c>
      <c r="F172" s="3286"/>
      <c r="G172" s="3286"/>
      <c r="H172" s="3286"/>
    </row>
    <row r="173" spans="1:8" ht="12.75" customHeight="1">
      <c r="C173" s="1787" t="s">
        <v>4824</v>
      </c>
      <c r="E173" s="3286" t="s">
        <v>3399</v>
      </c>
      <c r="F173" s="3286"/>
      <c r="G173" s="3286"/>
      <c r="H173" s="3286"/>
    </row>
    <row r="174" spans="1:8" ht="12.75" customHeight="1">
      <c r="C174" s="1788"/>
      <c r="D174" s="1786" t="s">
        <v>3237</v>
      </c>
      <c r="E174" s="3352" t="s">
        <v>3400</v>
      </c>
      <c r="F174" s="3352"/>
      <c r="G174" s="3352"/>
      <c r="H174" s="3352"/>
    </row>
    <row r="175" spans="1:8" ht="6" customHeight="1">
      <c r="D175" s="814"/>
      <c r="E175" s="1784"/>
      <c r="F175" s="1784"/>
      <c r="G175" s="1784"/>
      <c r="H175" s="1784"/>
    </row>
    <row r="176" spans="1:8">
      <c r="A176" s="785" t="s">
        <v>3233</v>
      </c>
      <c r="B176" s="812" t="str">
        <f>IF('Part VI-Revenues &amp; Expenses'!$O61=0,"",'Part VI-Revenues &amp; Expenses'!$O$61)</f>
        <v/>
      </c>
      <c r="C176" s="785" t="s">
        <v>4822</v>
      </c>
      <c r="D176" s="813" t="s">
        <v>4823</v>
      </c>
    </row>
    <row r="177" spans="1:11" ht="1.95" customHeight="1"/>
    <row r="178" spans="1:11" ht="12.75" customHeight="1">
      <c r="C178" s="779" t="s">
        <v>3138</v>
      </c>
      <c r="D178" s="814" t="s">
        <v>1938</v>
      </c>
      <c r="E178" s="815"/>
      <c r="F178" s="3286" t="s">
        <v>3139</v>
      </c>
      <c r="G178" s="3286"/>
      <c r="H178" s="3286"/>
      <c r="K178" s="730" t="s">
        <v>238</v>
      </c>
    </row>
    <row r="179" spans="1:11" ht="12.75" customHeight="1">
      <c r="C179" s="816" t="s">
        <v>1326</v>
      </c>
      <c r="D179" s="814" t="s">
        <v>1940</v>
      </c>
      <c r="E179" s="3286" t="s">
        <v>3239</v>
      </c>
      <c r="F179" s="3286"/>
      <c r="G179" s="3286"/>
      <c r="H179" s="3286"/>
    </row>
    <row r="180" spans="1:11" ht="12.75" customHeight="1">
      <c r="E180" s="3286" t="s">
        <v>3399</v>
      </c>
      <c r="F180" s="3286"/>
      <c r="G180" s="3286"/>
      <c r="H180" s="3286"/>
    </row>
    <row r="181" spans="1:11" ht="12.75" customHeight="1">
      <c r="D181" s="817" t="s">
        <v>3237</v>
      </c>
      <c r="E181" s="3286" t="s">
        <v>3400</v>
      </c>
      <c r="F181" s="3286"/>
      <c r="G181" s="3286"/>
      <c r="H181" s="3286"/>
    </row>
    <row r="182" spans="1:11" ht="9" customHeight="1" thickBot="1"/>
    <row r="183" spans="1:11" ht="16.2" customHeight="1" thickBot="1">
      <c r="A183" s="3350">
        <v>40</v>
      </c>
      <c r="B183" s="3351"/>
      <c r="C183" s="1789" t="s">
        <v>1018</v>
      </c>
    </row>
    <row r="184" spans="1:11" ht="9" customHeight="1">
      <c r="A184" s="752"/>
    </row>
    <row r="185" spans="1:11" ht="28.2" customHeight="1">
      <c r="A185" s="3354" t="s">
        <v>4828</v>
      </c>
      <c r="B185" s="3354"/>
      <c r="C185" s="3354"/>
      <c r="D185" s="3354"/>
      <c r="E185" s="3354"/>
      <c r="F185" s="3354"/>
      <c r="G185" s="3354"/>
      <c r="H185" s="3354"/>
    </row>
    <row r="186" spans="1:11" ht="9" customHeight="1">
      <c r="A186" s="752"/>
    </row>
    <row r="187" spans="1:11">
      <c r="A187" s="785" t="s">
        <v>3233</v>
      </c>
      <c r="B187" s="812" t="str">
        <f>IF('Part VI-Revenues &amp; Expenses'!$K$60=0,"",'Part VI-Revenues &amp; Expenses'!$K$60)</f>
        <v/>
      </c>
      <c r="C187" s="785" t="s">
        <v>4819</v>
      </c>
      <c r="D187" s="813" t="s">
        <v>4820</v>
      </c>
    </row>
    <row r="188" spans="1:11" ht="1.95" customHeight="1"/>
    <row r="189" spans="1:11" ht="12.75" customHeight="1">
      <c r="C189" s="779" t="s">
        <v>3138</v>
      </c>
      <c r="D189" s="814" t="s">
        <v>1938</v>
      </c>
      <c r="E189" s="815"/>
      <c r="F189" s="3286" t="s">
        <v>3139</v>
      </c>
      <c r="G189" s="3286"/>
      <c r="H189" s="3286"/>
    </row>
    <row r="190" spans="1:11" ht="12.75" customHeight="1">
      <c r="C190" s="816" t="s">
        <v>1326</v>
      </c>
      <c r="D190" s="814" t="s">
        <v>1940</v>
      </c>
      <c r="E190" s="3286" t="s">
        <v>3238</v>
      </c>
      <c r="F190" s="3286"/>
      <c r="G190" s="3286"/>
      <c r="H190" s="3286"/>
    </row>
    <row r="191" spans="1:11" ht="12.75" customHeight="1">
      <c r="C191" s="1787" t="s">
        <v>4824</v>
      </c>
      <c r="E191" s="3286" t="s">
        <v>3399</v>
      </c>
      <c r="F191" s="3286"/>
      <c r="G191" s="3286"/>
      <c r="H191" s="3286"/>
    </row>
    <row r="192" spans="1:11" ht="12.75" customHeight="1">
      <c r="C192" s="1788"/>
      <c r="D192" s="1786" t="s">
        <v>3237</v>
      </c>
      <c r="E192" s="3352" t="s">
        <v>3400</v>
      </c>
      <c r="F192" s="3352"/>
      <c r="G192" s="3352"/>
      <c r="H192" s="3352"/>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3286" t="s">
        <v>3238</v>
      </c>
      <c r="F195" s="3286"/>
      <c r="G195" s="3286"/>
      <c r="H195" s="3286"/>
    </row>
    <row r="196" spans="1:8" ht="12.75" customHeight="1">
      <c r="C196" s="1787" t="s">
        <v>4824</v>
      </c>
      <c r="E196" s="3286" t="s">
        <v>3399</v>
      </c>
      <c r="F196" s="3286"/>
      <c r="G196" s="3286"/>
      <c r="H196" s="3286"/>
    </row>
    <row r="197" spans="1:8" ht="12.75" customHeight="1">
      <c r="C197" s="1788"/>
      <c r="D197" s="1786" t="s">
        <v>3237</v>
      </c>
      <c r="E197" s="3352" t="s">
        <v>3400</v>
      </c>
      <c r="F197" s="3352"/>
      <c r="G197" s="3352"/>
      <c r="H197" s="3352"/>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3286" t="s">
        <v>3238</v>
      </c>
      <c r="F200" s="3286"/>
      <c r="G200" s="3286"/>
      <c r="H200" s="3286"/>
    </row>
    <row r="201" spans="1:8" ht="12.75" customHeight="1">
      <c r="C201" s="1787" t="s">
        <v>4824</v>
      </c>
      <c r="E201" s="3286" t="s">
        <v>3399</v>
      </c>
      <c r="F201" s="3286"/>
      <c r="G201" s="3286"/>
      <c r="H201" s="3286"/>
    </row>
    <row r="202" spans="1:8" ht="12.75" customHeight="1">
      <c r="C202" s="1788"/>
      <c r="D202" s="1786" t="s">
        <v>3237</v>
      </c>
      <c r="E202" s="3352" t="s">
        <v>3400</v>
      </c>
      <c r="F202" s="3352"/>
      <c r="G202" s="3352"/>
      <c r="H202" s="3352"/>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286" t="s">
        <v>3238</v>
      </c>
      <c r="F207" s="3286"/>
      <c r="G207" s="3286"/>
      <c r="H207" s="3286"/>
    </row>
    <row r="208" spans="1:8" ht="12.75" customHeight="1">
      <c r="C208" s="1787" t="s">
        <v>4824</v>
      </c>
      <c r="E208" s="3286" t="s">
        <v>3399</v>
      </c>
      <c r="F208" s="3286"/>
      <c r="G208" s="3286"/>
      <c r="H208" s="3286"/>
    </row>
    <row r="209" spans="1:8" ht="12.75" customHeight="1">
      <c r="C209" s="1788"/>
      <c r="D209" s="1785" t="s">
        <v>3237</v>
      </c>
      <c r="E209" s="3353" t="s">
        <v>3400</v>
      </c>
      <c r="F209" s="3353"/>
      <c r="G209" s="3353"/>
      <c r="H209" s="3353"/>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3286" t="s">
        <v>3238</v>
      </c>
      <c r="F212" s="3286"/>
      <c r="G212" s="3286"/>
      <c r="H212" s="3286"/>
    </row>
    <row r="213" spans="1:8" ht="12.75" customHeight="1">
      <c r="C213" s="1787" t="s">
        <v>4824</v>
      </c>
      <c r="E213" s="3286" t="s">
        <v>3399</v>
      </c>
      <c r="F213" s="3286"/>
      <c r="G213" s="3286"/>
      <c r="H213" s="3286"/>
    </row>
    <row r="214" spans="1:8" ht="12.75" customHeight="1">
      <c r="C214" s="1788"/>
      <c r="D214" s="1786" t="s">
        <v>3237</v>
      </c>
      <c r="E214" s="3352" t="s">
        <v>3400</v>
      </c>
      <c r="F214" s="3352"/>
      <c r="G214" s="3352"/>
      <c r="H214" s="3352"/>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3286" t="s">
        <v>3238</v>
      </c>
      <c r="F217" s="3286"/>
      <c r="G217" s="3286"/>
      <c r="H217" s="3286"/>
    </row>
    <row r="218" spans="1:8" ht="12.75" customHeight="1">
      <c r="C218" s="1787" t="s">
        <v>4824</v>
      </c>
      <c r="E218" s="3286" t="s">
        <v>3399</v>
      </c>
      <c r="F218" s="3286"/>
      <c r="G218" s="3286"/>
      <c r="H218" s="3286"/>
    </row>
    <row r="219" spans="1:8" ht="12.75" customHeight="1">
      <c r="C219" s="1788"/>
      <c r="D219" s="1786" t="s">
        <v>3237</v>
      </c>
      <c r="E219" s="3352" t="s">
        <v>3400</v>
      </c>
      <c r="F219" s="3352"/>
      <c r="G219" s="3352"/>
      <c r="H219" s="3352"/>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286" t="s">
        <v>3238</v>
      </c>
      <c r="F224" s="3286"/>
      <c r="G224" s="3286"/>
      <c r="H224" s="3286"/>
    </row>
    <row r="225" spans="1:8" ht="12.75" customHeight="1">
      <c r="C225" s="1787" t="s">
        <v>4824</v>
      </c>
      <c r="E225" s="3286" t="s">
        <v>3399</v>
      </c>
      <c r="F225" s="3286"/>
      <c r="G225" s="3286"/>
      <c r="H225" s="3286"/>
    </row>
    <row r="226" spans="1:8" ht="12.75" customHeight="1">
      <c r="C226" s="1788"/>
      <c r="D226" s="1785" t="s">
        <v>3237</v>
      </c>
      <c r="E226" s="3353" t="s">
        <v>3400</v>
      </c>
      <c r="F226" s="3353"/>
      <c r="G226" s="3353"/>
      <c r="H226" s="3353"/>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3286" t="s">
        <v>3238</v>
      </c>
      <c r="F229" s="3286"/>
      <c r="G229" s="3286"/>
      <c r="H229" s="3286"/>
    </row>
    <row r="230" spans="1:8" ht="12.75" customHeight="1">
      <c r="C230" s="1787" t="s">
        <v>4824</v>
      </c>
      <c r="E230" s="3286" t="s">
        <v>3399</v>
      </c>
      <c r="F230" s="3286"/>
      <c r="G230" s="3286"/>
      <c r="H230" s="3286"/>
    </row>
    <row r="231" spans="1:8" ht="12.75" customHeight="1">
      <c r="C231" s="1788"/>
      <c r="D231" s="1786" t="s">
        <v>3237</v>
      </c>
      <c r="E231" s="3352" t="s">
        <v>3400</v>
      </c>
      <c r="F231" s="3352"/>
      <c r="G231" s="3352"/>
      <c r="H231" s="3352"/>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3286" t="s">
        <v>3238</v>
      </c>
      <c r="F234" s="3286"/>
      <c r="G234" s="3286"/>
      <c r="H234" s="3286"/>
    </row>
    <row r="235" spans="1:8" ht="12.75" customHeight="1">
      <c r="C235" s="1787" t="s">
        <v>4824</v>
      </c>
      <c r="E235" s="3286" t="s">
        <v>3399</v>
      </c>
      <c r="F235" s="3286"/>
      <c r="G235" s="3286"/>
      <c r="H235" s="3286"/>
    </row>
    <row r="236" spans="1:8" ht="12.75" customHeight="1">
      <c r="C236" s="1788"/>
      <c r="D236" s="1786" t="s">
        <v>3237</v>
      </c>
      <c r="E236" s="3352" t="s">
        <v>3400</v>
      </c>
      <c r="F236" s="3352"/>
      <c r="G236" s="3352"/>
      <c r="H236" s="3352"/>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286" t="s">
        <v>3238</v>
      </c>
      <c r="F241" s="3286"/>
      <c r="G241" s="3286"/>
      <c r="H241" s="3286"/>
    </row>
    <row r="242" spans="1:8" ht="12.75" customHeight="1">
      <c r="C242" s="1787" t="s">
        <v>4824</v>
      </c>
      <c r="E242" s="3286" t="s">
        <v>3399</v>
      </c>
      <c r="F242" s="3286"/>
      <c r="G242" s="3286"/>
      <c r="H242" s="3286"/>
    </row>
    <row r="243" spans="1:8" ht="12.75" customHeight="1">
      <c r="C243" s="1788"/>
      <c r="D243" s="1785" t="s">
        <v>3237</v>
      </c>
      <c r="E243" s="3353" t="s">
        <v>3400</v>
      </c>
      <c r="F243" s="3353"/>
      <c r="G243" s="3353"/>
      <c r="H243" s="3353"/>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3286" t="s">
        <v>3238</v>
      </c>
      <c r="F246" s="3286"/>
      <c r="G246" s="3286"/>
      <c r="H246" s="3286"/>
    </row>
    <row r="247" spans="1:8" ht="12.75" customHeight="1">
      <c r="C247" s="1787" t="s">
        <v>4824</v>
      </c>
      <c r="E247" s="3286" t="s">
        <v>3399</v>
      </c>
      <c r="F247" s="3286"/>
      <c r="G247" s="3286"/>
      <c r="H247" s="3286"/>
    </row>
    <row r="248" spans="1:8" ht="12.75" customHeight="1">
      <c r="C248" s="1788"/>
      <c r="D248" s="1786" t="s">
        <v>3237</v>
      </c>
      <c r="E248" s="3352" t="s">
        <v>3400</v>
      </c>
      <c r="F248" s="3352"/>
      <c r="G248" s="3352"/>
      <c r="H248" s="3352"/>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3286" t="s">
        <v>3238</v>
      </c>
      <c r="F251" s="3286"/>
      <c r="G251" s="3286"/>
      <c r="H251" s="3286"/>
    </row>
    <row r="252" spans="1:8" ht="12.75" customHeight="1">
      <c r="C252" s="1787" t="s">
        <v>4824</v>
      </c>
      <c r="E252" s="3286" t="s">
        <v>3399</v>
      </c>
      <c r="F252" s="3286"/>
      <c r="G252" s="3286"/>
      <c r="H252" s="3286"/>
    </row>
    <row r="253" spans="1:8" ht="12.75" customHeight="1">
      <c r="C253" s="1788"/>
      <c r="D253" s="1786" t="s">
        <v>3237</v>
      </c>
      <c r="E253" s="3352" t="s">
        <v>3400</v>
      </c>
      <c r="F253" s="3352"/>
      <c r="G253" s="3352"/>
      <c r="H253" s="3352"/>
    </row>
    <row r="254" spans="1:8" ht="6" customHeight="1">
      <c r="D254" s="814"/>
      <c r="E254" s="1784"/>
      <c r="F254" s="1784"/>
      <c r="G254" s="1784"/>
      <c r="H254" s="1784"/>
    </row>
    <row r="255" spans="1:8">
      <c r="A255" s="785" t="s">
        <v>3233</v>
      </c>
      <c r="B255" s="812" t="str">
        <f>IF('Part VI-Revenues &amp; Expenses'!$O$60=0,"",'Part VI-Revenues &amp; Expenses'!$O$60)</f>
        <v/>
      </c>
      <c r="C255" s="785" t="s">
        <v>4822</v>
      </c>
      <c r="D255" s="813" t="s">
        <v>4823</v>
      </c>
    </row>
    <row r="256" spans="1:8" ht="1.95" customHeight="1"/>
    <row r="257" spans="1:11" ht="12.75" customHeight="1">
      <c r="C257" s="779" t="s">
        <v>3138</v>
      </c>
      <c r="D257" s="814" t="s">
        <v>1938</v>
      </c>
      <c r="E257" s="815"/>
      <c r="F257" s="3286" t="s">
        <v>3139</v>
      </c>
      <c r="G257" s="3286"/>
      <c r="H257" s="3286"/>
      <c r="K257" s="730" t="s">
        <v>238</v>
      </c>
    </row>
    <row r="258" spans="1:11" ht="12.75" customHeight="1">
      <c r="C258" s="816" t="s">
        <v>1326</v>
      </c>
      <c r="D258" s="814" t="s">
        <v>1940</v>
      </c>
      <c r="E258" s="3286" t="s">
        <v>3239</v>
      </c>
      <c r="F258" s="3286"/>
      <c r="G258" s="3286"/>
      <c r="H258" s="3286"/>
    </row>
    <row r="259" spans="1:11" ht="12.75" customHeight="1">
      <c r="E259" s="3286" t="s">
        <v>3399</v>
      </c>
      <c r="F259" s="3286"/>
      <c r="G259" s="3286"/>
      <c r="H259" s="3286"/>
    </row>
    <row r="260" spans="1:11" ht="12.75" customHeight="1">
      <c r="D260" s="817" t="s">
        <v>3237</v>
      </c>
      <c r="E260" s="3286" t="s">
        <v>3400</v>
      </c>
      <c r="F260" s="3286"/>
      <c r="G260" s="3286"/>
      <c r="H260" s="3286"/>
    </row>
    <row r="261" spans="1:11" ht="9" customHeight="1" thickBot="1"/>
    <row r="262" spans="1:11" ht="16.2" customHeight="1" thickBot="1">
      <c r="A262" s="3350">
        <v>50</v>
      </c>
      <c r="B262" s="3351"/>
      <c r="C262" s="1789" t="s">
        <v>1018</v>
      </c>
    </row>
    <row r="263" spans="1:11" ht="9" customHeight="1">
      <c r="A263" s="752"/>
    </row>
    <row r="264" spans="1:11" ht="28.2" customHeight="1">
      <c r="A264" s="3354" t="s">
        <v>4825</v>
      </c>
      <c r="B264" s="3354"/>
      <c r="C264" s="3354"/>
      <c r="D264" s="3354"/>
      <c r="E264" s="3354"/>
      <c r="F264" s="3354"/>
      <c r="G264" s="3354"/>
      <c r="H264" s="3354"/>
    </row>
    <row r="265" spans="1:11" ht="9" customHeight="1">
      <c r="A265" s="752"/>
    </row>
    <row r="266" spans="1:11">
      <c r="A266" s="785" t="s">
        <v>3233</v>
      </c>
      <c r="B266" s="812">
        <f>IF('Part VI-Revenues &amp; Expenses'!$K$59=0,"",'Part VI-Revenues &amp; Expenses'!$K$59)</f>
        <v>11</v>
      </c>
      <c r="C266" s="785" t="s">
        <v>4819</v>
      </c>
      <c r="D266" s="813" t="s">
        <v>4820</v>
      </c>
    </row>
    <row r="267" spans="1:11" ht="1.95" customHeight="1"/>
    <row r="268" spans="1:11" ht="12.75" customHeight="1">
      <c r="C268" s="779" t="s">
        <v>3138</v>
      </c>
      <c r="D268" s="814" t="s">
        <v>1938</v>
      </c>
      <c r="E268" s="815"/>
      <c r="F268" s="3286" t="s">
        <v>3139</v>
      </c>
      <c r="G268" s="3286"/>
      <c r="H268" s="3286"/>
    </row>
    <row r="269" spans="1:11" ht="12.75" customHeight="1">
      <c r="C269" s="816" t="s">
        <v>1326</v>
      </c>
      <c r="D269" s="814" t="s">
        <v>1940</v>
      </c>
      <c r="E269" s="3286" t="s">
        <v>3238</v>
      </c>
      <c r="F269" s="3286"/>
      <c r="G269" s="3286"/>
      <c r="H269" s="3286"/>
    </row>
    <row r="270" spans="1:11" ht="12.75" customHeight="1">
      <c r="C270" s="1787" t="s">
        <v>4824</v>
      </c>
      <c r="E270" s="3286" t="s">
        <v>3399</v>
      </c>
      <c r="F270" s="3286"/>
      <c r="G270" s="3286"/>
      <c r="H270" s="3286"/>
    </row>
    <row r="271" spans="1:11" ht="12.75" customHeight="1">
      <c r="C271" s="1788"/>
      <c r="D271" s="1786" t="s">
        <v>3237</v>
      </c>
      <c r="E271" s="3352" t="s">
        <v>3400</v>
      </c>
      <c r="F271" s="3352"/>
      <c r="G271" s="3352"/>
      <c r="H271" s="3352"/>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3286" t="s">
        <v>3238</v>
      </c>
      <c r="F274" s="3286"/>
      <c r="G274" s="3286"/>
      <c r="H274" s="3286"/>
    </row>
    <row r="275" spans="1:8" ht="12.75" customHeight="1">
      <c r="C275" s="1787" t="s">
        <v>4824</v>
      </c>
      <c r="E275" s="3286" t="s">
        <v>3399</v>
      </c>
      <c r="F275" s="3286"/>
      <c r="G275" s="3286"/>
      <c r="H275" s="3286"/>
    </row>
    <row r="276" spans="1:8" ht="12.75" customHeight="1">
      <c r="C276" s="1788"/>
      <c r="D276" s="1786" t="s">
        <v>3237</v>
      </c>
      <c r="E276" s="3352" t="s">
        <v>3400</v>
      </c>
      <c r="F276" s="3352"/>
      <c r="G276" s="3352"/>
      <c r="H276" s="3352"/>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3286" t="s">
        <v>3238</v>
      </c>
      <c r="F279" s="3286"/>
      <c r="G279" s="3286"/>
      <c r="H279" s="3286"/>
    </row>
    <row r="280" spans="1:8" ht="12.75" customHeight="1">
      <c r="C280" s="1787" t="s">
        <v>4824</v>
      </c>
      <c r="E280" s="3286" t="s">
        <v>3399</v>
      </c>
      <c r="F280" s="3286"/>
      <c r="G280" s="3286"/>
      <c r="H280" s="3286"/>
    </row>
    <row r="281" spans="1:8" ht="12.75" customHeight="1">
      <c r="C281" s="1788"/>
      <c r="D281" s="1786" t="s">
        <v>3237</v>
      </c>
      <c r="E281" s="3352" t="s">
        <v>3400</v>
      </c>
      <c r="F281" s="3352"/>
      <c r="G281" s="3352"/>
      <c r="H281" s="3352"/>
    </row>
    <row r="282" spans="1:8" ht="6" customHeight="1">
      <c r="D282" s="814"/>
      <c r="E282" s="1784"/>
      <c r="F282" s="1784"/>
      <c r="G282" s="1784"/>
      <c r="H282" s="1784"/>
    </row>
    <row r="283" spans="1:8">
      <c r="A283" s="785" t="s">
        <v>3233</v>
      </c>
      <c r="B283" s="812">
        <f>IF('Part VI-Revenues &amp; Expenses'!$L$59=0,"",'Part VI-Revenues &amp; Expenses'!$L$59)</f>
        <v>11</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286" t="s">
        <v>3238</v>
      </c>
      <c r="F286" s="3286"/>
      <c r="G286" s="3286"/>
      <c r="H286" s="3286"/>
    </row>
    <row r="287" spans="1:8" ht="12.75" customHeight="1">
      <c r="C287" s="1787" t="s">
        <v>4824</v>
      </c>
      <c r="E287" s="3286" t="s">
        <v>3399</v>
      </c>
      <c r="F287" s="3286"/>
      <c r="G287" s="3286"/>
      <c r="H287" s="3286"/>
    </row>
    <row r="288" spans="1:8" ht="12.75" customHeight="1">
      <c r="C288" s="1788"/>
      <c r="D288" s="1785" t="s">
        <v>3237</v>
      </c>
      <c r="E288" s="3353" t="s">
        <v>3400</v>
      </c>
      <c r="F288" s="3353"/>
      <c r="G288" s="3353"/>
      <c r="H288" s="3353"/>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3286" t="s">
        <v>3238</v>
      </c>
      <c r="F291" s="3286"/>
      <c r="G291" s="3286"/>
      <c r="H291" s="3286"/>
    </row>
    <row r="292" spans="1:8" ht="12.75" customHeight="1">
      <c r="C292" s="1787" t="s">
        <v>4824</v>
      </c>
      <c r="E292" s="3286" t="s">
        <v>3399</v>
      </c>
      <c r="F292" s="3286"/>
      <c r="G292" s="3286"/>
      <c r="H292" s="3286"/>
    </row>
    <row r="293" spans="1:8" ht="12.75" customHeight="1">
      <c r="C293" s="1788"/>
      <c r="D293" s="1786" t="s">
        <v>3237</v>
      </c>
      <c r="E293" s="3352" t="s">
        <v>3400</v>
      </c>
      <c r="F293" s="3352"/>
      <c r="G293" s="3352"/>
      <c r="H293" s="3352"/>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3286" t="s">
        <v>3238</v>
      </c>
      <c r="F296" s="3286"/>
      <c r="G296" s="3286"/>
      <c r="H296" s="3286"/>
    </row>
    <row r="297" spans="1:8" ht="12.75" customHeight="1">
      <c r="C297" s="1787" t="s">
        <v>4824</v>
      </c>
      <c r="E297" s="3286" t="s">
        <v>3399</v>
      </c>
      <c r="F297" s="3286"/>
      <c r="G297" s="3286"/>
      <c r="H297" s="3286"/>
    </row>
    <row r="298" spans="1:8" ht="12.75" customHeight="1">
      <c r="C298" s="1788"/>
      <c r="D298" s="1786" t="s">
        <v>3237</v>
      </c>
      <c r="E298" s="3352" t="s">
        <v>3400</v>
      </c>
      <c r="F298" s="3352"/>
      <c r="G298" s="3352"/>
      <c r="H298" s="3352"/>
    </row>
    <row r="299" spans="1:8" ht="6" customHeight="1">
      <c r="D299" s="814"/>
      <c r="E299" s="1784"/>
      <c r="F299" s="1784"/>
      <c r="G299" s="1784"/>
      <c r="H299" s="1784"/>
    </row>
    <row r="300" spans="1:8">
      <c r="A300" s="785" t="s">
        <v>3233</v>
      </c>
      <c r="B300" s="812">
        <f>IF('Part VI-Revenues &amp; Expenses'!$M$59=0,"",'Part VI-Revenues &amp; Expenses'!$M$59)</f>
        <v>3</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286" t="s">
        <v>3238</v>
      </c>
      <c r="F303" s="3286"/>
      <c r="G303" s="3286"/>
      <c r="H303" s="3286"/>
    </row>
    <row r="304" spans="1:8" ht="12.75" customHeight="1">
      <c r="C304" s="1787" t="s">
        <v>4824</v>
      </c>
      <c r="E304" s="3286" t="s">
        <v>3399</v>
      </c>
      <c r="F304" s="3286"/>
      <c r="G304" s="3286"/>
      <c r="H304" s="3286"/>
    </row>
    <row r="305" spans="1:8" ht="12.75" customHeight="1">
      <c r="C305" s="1788"/>
      <c r="D305" s="1785" t="s">
        <v>3237</v>
      </c>
      <c r="E305" s="3353" t="s">
        <v>3400</v>
      </c>
      <c r="F305" s="3353"/>
      <c r="G305" s="3353"/>
      <c r="H305" s="3353"/>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3286" t="s">
        <v>3238</v>
      </c>
      <c r="F308" s="3286"/>
      <c r="G308" s="3286"/>
      <c r="H308" s="3286"/>
    </row>
    <row r="309" spans="1:8" ht="12.75" customHeight="1">
      <c r="C309" s="1787" t="s">
        <v>4824</v>
      </c>
      <c r="E309" s="3286" t="s">
        <v>3399</v>
      </c>
      <c r="F309" s="3286"/>
      <c r="G309" s="3286"/>
      <c r="H309" s="3286"/>
    </row>
    <row r="310" spans="1:8" ht="12.75" customHeight="1">
      <c r="C310" s="1788"/>
      <c r="D310" s="1786" t="s">
        <v>3237</v>
      </c>
      <c r="E310" s="3352" t="s">
        <v>3400</v>
      </c>
      <c r="F310" s="3352"/>
      <c r="G310" s="3352"/>
      <c r="H310" s="3352"/>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3286" t="s">
        <v>3238</v>
      </c>
      <c r="F313" s="3286"/>
      <c r="G313" s="3286"/>
      <c r="H313" s="3286"/>
    </row>
    <row r="314" spans="1:8" ht="12.75" customHeight="1">
      <c r="C314" s="1787" t="s">
        <v>4824</v>
      </c>
      <c r="E314" s="3286" t="s">
        <v>3399</v>
      </c>
      <c r="F314" s="3286"/>
      <c r="G314" s="3286"/>
      <c r="H314" s="3286"/>
    </row>
    <row r="315" spans="1:8" ht="12.75" customHeight="1">
      <c r="C315" s="1788"/>
      <c r="D315" s="1786" t="s">
        <v>3237</v>
      </c>
      <c r="E315" s="3352" t="s">
        <v>3400</v>
      </c>
      <c r="F315" s="3352"/>
      <c r="G315" s="3352"/>
      <c r="H315" s="3352"/>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286" t="s">
        <v>3238</v>
      </c>
      <c r="F320" s="3286"/>
      <c r="G320" s="3286"/>
      <c r="H320" s="3286"/>
    </row>
    <row r="321" spans="1:11" ht="12.75" customHeight="1">
      <c r="C321" s="1787" t="s">
        <v>4824</v>
      </c>
      <c r="E321" s="3286" t="s">
        <v>3399</v>
      </c>
      <c r="F321" s="3286"/>
      <c r="G321" s="3286"/>
      <c r="H321" s="3286"/>
    </row>
    <row r="322" spans="1:11" ht="12.75" customHeight="1">
      <c r="C322" s="1788"/>
      <c r="D322" s="1785" t="s">
        <v>3237</v>
      </c>
      <c r="E322" s="3353" t="s">
        <v>3400</v>
      </c>
      <c r="F322" s="3353"/>
      <c r="G322" s="3353"/>
      <c r="H322" s="3353"/>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3286" t="s">
        <v>3238</v>
      </c>
      <c r="F325" s="3286"/>
      <c r="G325" s="3286"/>
      <c r="H325" s="3286"/>
    </row>
    <row r="326" spans="1:11" ht="12.75" customHeight="1">
      <c r="C326" s="1787" t="s">
        <v>4824</v>
      </c>
      <c r="E326" s="3286" t="s">
        <v>3399</v>
      </c>
      <c r="F326" s="3286"/>
      <c r="G326" s="3286"/>
      <c r="H326" s="3286"/>
    </row>
    <row r="327" spans="1:11" ht="12.75" customHeight="1">
      <c r="C327" s="1788"/>
      <c r="D327" s="1786" t="s">
        <v>3237</v>
      </c>
      <c r="E327" s="3352" t="s">
        <v>3400</v>
      </c>
      <c r="F327" s="3352"/>
      <c r="G327" s="3352"/>
      <c r="H327" s="3352"/>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3286" t="s">
        <v>3238</v>
      </c>
      <c r="F330" s="3286"/>
      <c r="G330" s="3286"/>
      <c r="H330" s="3286"/>
    </row>
    <row r="331" spans="1:11" ht="12.75" customHeight="1">
      <c r="C331" s="1787" t="s">
        <v>4824</v>
      </c>
      <c r="E331" s="3286" t="s">
        <v>3399</v>
      </c>
      <c r="F331" s="3286"/>
      <c r="G331" s="3286"/>
      <c r="H331" s="3286"/>
    </row>
    <row r="332" spans="1:11" ht="12.75" customHeight="1">
      <c r="C332" s="1788"/>
      <c r="D332" s="1786" t="s">
        <v>3237</v>
      </c>
      <c r="E332" s="3352" t="s">
        <v>3400</v>
      </c>
      <c r="F332" s="3352"/>
      <c r="G332" s="3352"/>
      <c r="H332" s="3352"/>
    </row>
    <row r="333" spans="1:11" ht="6" customHeight="1">
      <c r="D333" s="814"/>
      <c r="E333" s="1784"/>
      <c r="F333" s="1784"/>
      <c r="G333" s="1784"/>
      <c r="H333" s="1784"/>
    </row>
    <row r="334" spans="1:11">
      <c r="A334" s="785" t="s">
        <v>3233</v>
      </c>
      <c r="B334" s="812" t="str">
        <f>IF('Part VI-Revenues &amp; Expenses'!$O$59=0,"",'Part VI-Revenues &amp; Expenses'!$O$59)</f>
        <v/>
      </c>
      <c r="C334" s="785" t="s">
        <v>4822</v>
      </c>
      <c r="D334" s="813" t="s">
        <v>4823</v>
      </c>
    </row>
    <row r="335" spans="1:11" ht="1.95" customHeight="1"/>
    <row r="336" spans="1:11" ht="12.75" customHeight="1">
      <c r="C336" s="779" t="s">
        <v>3138</v>
      </c>
      <c r="D336" s="814" t="s">
        <v>1938</v>
      </c>
      <c r="E336" s="815"/>
      <c r="F336" s="3286" t="s">
        <v>3139</v>
      </c>
      <c r="G336" s="3286"/>
      <c r="H336" s="3286"/>
      <c r="K336" s="730" t="s">
        <v>238</v>
      </c>
    </row>
    <row r="337" spans="1:8" ht="12.75" customHeight="1">
      <c r="C337" s="816" t="s">
        <v>1326</v>
      </c>
      <c r="D337" s="814" t="s">
        <v>1940</v>
      </c>
      <c r="E337" s="3286" t="s">
        <v>3239</v>
      </c>
      <c r="F337" s="3286"/>
      <c r="G337" s="3286"/>
      <c r="H337" s="3286"/>
    </row>
    <row r="338" spans="1:8" ht="12.75" customHeight="1">
      <c r="E338" s="3286" t="s">
        <v>3399</v>
      </c>
      <c r="F338" s="3286"/>
      <c r="G338" s="3286"/>
      <c r="H338" s="3286"/>
    </row>
    <row r="339" spans="1:8" ht="12.75" customHeight="1">
      <c r="D339" s="817" t="s">
        <v>3237</v>
      </c>
      <c r="E339" s="3286" t="s">
        <v>3400</v>
      </c>
      <c r="F339" s="3286"/>
      <c r="G339" s="3286"/>
      <c r="H339" s="3286"/>
    </row>
    <row r="340" spans="1:8" ht="9" customHeight="1"/>
    <row r="341" spans="1:8" ht="7.5" customHeight="1" thickBot="1">
      <c r="E341" s="3286"/>
      <c r="F341" s="3286"/>
      <c r="G341" s="3286"/>
      <c r="H341" s="3286"/>
    </row>
    <row r="342" spans="1:8" ht="16.2" customHeight="1" thickBot="1">
      <c r="A342" s="3350">
        <v>60</v>
      </c>
      <c r="B342" s="3351"/>
      <c r="C342" s="1789" t="s">
        <v>1018</v>
      </c>
    </row>
    <row r="343" spans="1:8" ht="9" customHeight="1">
      <c r="A343" s="752"/>
    </row>
    <row r="344" spans="1:8" ht="28.2" customHeight="1">
      <c r="A344" s="3354" t="s">
        <v>4829</v>
      </c>
      <c r="B344" s="3354"/>
      <c r="C344" s="3354"/>
      <c r="D344" s="3354"/>
      <c r="E344" s="3354"/>
      <c r="F344" s="3354"/>
      <c r="G344" s="3354"/>
      <c r="H344" s="3354"/>
    </row>
    <row r="345" spans="1:8" ht="9" customHeight="1">
      <c r="A345" s="752"/>
    </row>
    <row r="346" spans="1:8">
      <c r="A346" s="785" t="s">
        <v>3233</v>
      </c>
      <c r="B346" s="812">
        <f>IF('Part VI-Revenues &amp; Expenses'!$K$58=0,"",'Part VI-Revenues &amp; Expenses'!$K$58)</f>
        <v>9</v>
      </c>
      <c r="C346" s="785" t="s">
        <v>4819</v>
      </c>
      <c r="D346" s="813" t="s">
        <v>4820</v>
      </c>
    </row>
    <row r="347" spans="1:8" ht="1.95" customHeight="1"/>
    <row r="348" spans="1:8" ht="12.75" customHeight="1">
      <c r="C348" s="779" t="s">
        <v>3138</v>
      </c>
      <c r="D348" s="814" t="s">
        <v>1938</v>
      </c>
      <c r="E348" s="815"/>
      <c r="F348" s="3286" t="s">
        <v>3139</v>
      </c>
      <c r="G348" s="3286"/>
      <c r="H348" s="3286"/>
    </row>
    <row r="349" spans="1:8" ht="12.75" customHeight="1">
      <c r="C349" s="816" t="s">
        <v>1326</v>
      </c>
      <c r="D349" s="814" t="s">
        <v>1940</v>
      </c>
      <c r="E349" s="3286" t="s">
        <v>3238</v>
      </c>
      <c r="F349" s="3286"/>
      <c r="G349" s="3286"/>
      <c r="H349" s="3286"/>
    </row>
    <row r="350" spans="1:8" ht="12.75" customHeight="1">
      <c r="C350" s="1787" t="s">
        <v>4824</v>
      </c>
      <c r="E350" s="3286" t="s">
        <v>3399</v>
      </c>
      <c r="F350" s="3286"/>
      <c r="G350" s="3286"/>
      <c r="H350" s="3286"/>
    </row>
    <row r="351" spans="1:8" ht="12.75" customHeight="1">
      <c r="C351" s="1788"/>
      <c r="D351" s="1786" t="s">
        <v>3237</v>
      </c>
      <c r="E351" s="3352" t="s">
        <v>3400</v>
      </c>
      <c r="F351" s="3352"/>
      <c r="G351" s="3352"/>
      <c r="H351" s="3352"/>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3286" t="s">
        <v>3238</v>
      </c>
      <c r="F354" s="3286"/>
      <c r="G354" s="3286"/>
      <c r="H354" s="3286"/>
    </row>
    <row r="355" spans="1:8" ht="12.75" customHeight="1">
      <c r="C355" s="1787" t="s">
        <v>4824</v>
      </c>
      <c r="E355" s="3286" t="s">
        <v>3399</v>
      </c>
      <c r="F355" s="3286"/>
      <c r="G355" s="3286"/>
      <c r="H355" s="3286"/>
    </row>
    <row r="356" spans="1:8" ht="12.75" customHeight="1">
      <c r="C356" s="1788"/>
      <c r="D356" s="1786" t="s">
        <v>3237</v>
      </c>
      <c r="E356" s="3352" t="s">
        <v>3400</v>
      </c>
      <c r="F356" s="3352"/>
      <c r="G356" s="3352"/>
      <c r="H356" s="3352"/>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3286" t="s">
        <v>3238</v>
      </c>
      <c r="F359" s="3286"/>
      <c r="G359" s="3286"/>
      <c r="H359" s="3286"/>
    </row>
    <row r="360" spans="1:8" ht="12.75" customHeight="1">
      <c r="C360" s="1787" t="s">
        <v>4824</v>
      </c>
      <c r="E360" s="3286" t="s">
        <v>3399</v>
      </c>
      <c r="F360" s="3286"/>
      <c r="G360" s="3286"/>
      <c r="H360" s="3286"/>
    </row>
    <row r="361" spans="1:8" ht="12.75" customHeight="1">
      <c r="C361" s="1788"/>
      <c r="D361" s="1786" t="s">
        <v>3237</v>
      </c>
      <c r="E361" s="3352" t="s">
        <v>3400</v>
      </c>
      <c r="F361" s="3352"/>
      <c r="G361" s="3352"/>
      <c r="H361" s="3352"/>
    </row>
    <row r="362" spans="1:8" ht="6" customHeight="1">
      <c r="D362" s="814"/>
      <c r="E362" s="1784"/>
      <c r="F362" s="1784"/>
      <c r="G362" s="1784"/>
      <c r="H362" s="1784"/>
    </row>
    <row r="363" spans="1:8">
      <c r="A363" s="785" t="s">
        <v>3233</v>
      </c>
      <c r="B363" s="812">
        <f>IF('Part VI-Revenues &amp; Expenses'!$L$58=0,"",'Part VI-Revenues &amp; Expenses'!$L$58)</f>
        <v>9</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286" t="s">
        <v>3238</v>
      </c>
      <c r="F366" s="3286"/>
      <c r="G366" s="3286"/>
      <c r="H366" s="3286"/>
    </row>
    <row r="367" spans="1:8" ht="12.75" customHeight="1">
      <c r="C367" s="1787" t="s">
        <v>4824</v>
      </c>
      <c r="E367" s="3286" t="s">
        <v>3399</v>
      </c>
      <c r="F367" s="3286"/>
      <c r="G367" s="3286"/>
      <c r="H367" s="3286"/>
    </row>
    <row r="368" spans="1:8" ht="12.75" customHeight="1">
      <c r="C368" s="1788"/>
      <c r="D368" s="1785" t="s">
        <v>3237</v>
      </c>
      <c r="E368" s="3353" t="s">
        <v>3400</v>
      </c>
      <c r="F368" s="3353"/>
      <c r="G368" s="3353"/>
      <c r="H368" s="3353"/>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3286" t="s">
        <v>3238</v>
      </c>
      <c r="F371" s="3286"/>
      <c r="G371" s="3286"/>
      <c r="H371" s="3286"/>
    </row>
    <row r="372" spans="1:8" ht="12.75" customHeight="1">
      <c r="C372" s="1787" t="s">
        <v>4824</v>
      </c>
      <c r="E372" s="3286" t="s">
        <v>3399</v>
      </c>
      <c r="F372" s="3286"/>
      <c r="G372" s="3286"/>
      <c r="H372" s="3286"/>
    </row>
    <row r="373" spans="1:8" ht="12.75" customHeight="1">
      <c r="C373" s="1788"/>
      <c r="D373" s="1786" t="s">
        <v>3237</v>
      </c>
      <c r="E373" s="3352" t="s">
        <v>3400</v>
      </c>
      <c r="F373" s="3352"/>
      <c r="G373" s="3352"/>
      <c r="H373" s="3352"/>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3286" t="s">
        <v>3238</v>
      </c>
      <c r="F376" s="3286"/>
      <c r="G376" s="3286"/>
      <c r="H376" s="3286"/>
    </row>
    <row r="377" spans="1:8" ht="12.75" customHeight="1">
      <c r="C377" s="1787" t="s">
        <v>4824</v>
      </c>
      <c r="E377" s="3286" t="s">
        <v>3399</v>
      </c>
      <c r="F377" s="3286"/>
      <c r="G377" s="3286"/>
      <c r="H377" s="3286"/>
    </row>
    <row r="378" spans="1:8" ht="12.75" customHeight="1">
      <c r="C378" s="1788"/>
      <c r="D378" s="1786" t="s">
        <v>3237</v>
      </c>
      <c r="E378" s="3352" t="s">
        <v>3400</v>
      </c>
      <c r="F378" s="3352"/>
      <c r="G378" s="3352"/>
      <c r="H378" s="3352"/>
    </row>
    <row r="379" spans="1:8" ht="6" customHeight="1">
      <c r="D379" s="814"/>
      <c r="E379" s="1784"/>
      <c r="F379" s="1784"/>
      <c r="G379" s="1784"/>
      <c r="H379" s="1784"/>
    </row>
    <row r="380" spans="1:8">
      <c r="A380" s="785" t="s">
        <v>3233</v>
      </c>
      <c r="B380" s="812">
        <f>IF('Part VI-Revenues &amp; Expenses'!$M$58=0,"",'Part VI-Revenues &amp; Expenses'!$M$58)</f>
        <v>2</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286" t="s">
        <v>3238</v>
      </c>
      <c r="F383" s="3286"/>
      <c r="G383" s="3286"/>
      <c r="H383" s="3286"/>
    </row>
    <row r="384" spans="1:8" ht="12.75" customHeight="1">
      <c r="C384" s="1787" t="s">
        <v>4824</v>
      </c>
      <c r="E384" s="3286" t="s">
        <v>3399</v>
      </c>
      <c r="F384" s="3286"/>
      <c r="G384" s="3286"/>
      <c r="H384" s="3286"/>
    </row>
    <row r="385" spans="1:8" ht="12.75" customHeight="1">
      <c r="C385" s="1788"/>
      <c r="D385" s="1785" t="s">
        <v>3237</v>
      </c>
      <c r="E385" s="3353" t="s">
        <v>3400</v>
      </c>
      <c r="F385" s="3353"/>
      <c r="G385" s="3353"/>
      <c r="H385" s="3353"/>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3286" t="s">
        <v>3238</v>
      </c>
      <c r="F388" s="3286"/>
      <c r="G388" s="3286"/>
      <c r="H388" s="3286"/>
    </row>
    <row r="389" spans="1:8" ht="12.75" customHeight="1">
      <c r="C389" s="1787" t="s">
        <v>4824</v>
      </c>
      <c r="E389" s="3286" t="s">
        <v>3399</v>
      </c>
      <c r="F389" s="3286"/>
      <c r="G389" s="3286"/>
      <c r="H389" s="3286"/>
    </row>
    <row r="390" spans="1:8" ht="12.75" customHeight="1">
      <c r="C390" s="1788"/>
      <c r="D390" s="1786" t="s">
        <v>3237</v>
      </c>
      <c r="E390" s="3352" t="s">
        <v>3400</v>
      </c>
      <c r="F390" s="3352"/>
      <c r="G390" s="3352"/>
      <c r="H390" s="3352"/>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3286" t="s">
        <v>3238</v>
      </c>
      <c r="F393" s="3286"/>
      <c r="G393" s="3286"/>
      <c r="H393" s="3286"/>
    </row>
    <row r="394" spans="1:8" ht="12.75" customHeight="1">
      <c r="C394" s="1787" t="s">
        <v>4824</v>
      </c>
      <c r="E394" s="3286" t="s">
        <v>3399</v>
      </c>
      <c r="F394" s="3286"/>
      <c r="G394" s="3286"/>
      <c r="H394" s="3286"/>
    </row>
    <row r="395" spans="1:8" ht="12.75" customHeight="1">
      <c r="C395" s="1788"/>
      <c r="D395" s="1786" t="s">
        <v>3237</v>
      </c>
      <c r="E395" s="3352" t="s">
        <v>3400</v>
      </c>
      <c r="F395" s="3352"/>
      <c r="G395" s="3352"/>
      <c r="H395" s="3352"/>
    </row>
    <row r="396" spans="1:8" ht="6" customHeight="1">
      <c r="D396" s="814"/>
      <c r="E396" s="1784"/>
      <c r="F396" s="1784"/>
      <c r="G396" s="1784"/>
      <c r="H396" s="1784"/>
    </row>
    <row r="397" spans="1:8">
      <c r="A397" s="785" t="s">
        <v>3233</v>
      </c>
      <c r="B397" s="812" t="str">
        <f>IF('Part VI-Revenues &amp; Expenses'!$N$58=0,"",'Part VI-Revenues &amp; Expenses'!$N$58)</f>
        <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286" t="s">
        <v>3238</v>
      </c>
      <c r="F400" s="3286"/>
      <c r="G400" s="3286"/>
      <c r="H400" s="3286"/>
    </row>
    <row r="401" spans="1:11" ht="12.75" customHeight="1">
      <c r="C401" s="1787" t="s">
        <v>4824</v>
      </c>
      <c r="E401" s="3286" t="s">
        <v>3399</v>
      </c>
      <c r="F401" s="3286"/>
      <c r="G401" s="3286"/>
      <c r="H401" s="3286"/>
    </row>
    <row r="402" spans="1:11" ht="12.75" customHeight="1">
      <c r="C402" s="1788"/>
      <c r="D402" s="1785" t="s">
        <v>3237</v>
      </c>
      <c r="E402" s="3353" t="s">
        <v>3400</v>
      </c>
      <c r="F402" s="3353"/>
      <c r="G402" s="3353"/>
      <c r="H402" s="3353"/>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3286" t="s">
        <v>3238</v>
      </c>
      <c r="F405" s="3286"/>
      <c r="G405" s="3286"/>
      <c r="H405" s="3286"/>
    </row>
    <row r="406" spans="1:11" ht="12.75" customHeight="1">
      <c r="C406" s="1787" t="s">
        <v>4824</v>
      </c>
      <c r="E406" s="3286" t="s">
        <v>3399</v>
      </c>
      <c r="F406" s="3286"/>
      <c r="G406" s="3286"/>
      <c r="H406" s="3286"/>
    </row>
    <row r="407" spans="1:11" ht="12.75" customHeight="1">
      <c r="C407" s="1788"/>
      <c r="D407" s="1786" t="s">
        <v>3237</v>
      </c>
      <c r="E407" s="3352" t="s">
        <v>3400</v>
      </c>
      <c r="F407" s="3352"/>
      <c r="G407" s="3352"/>
      <c r="H407" s="3352"/>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3286" t="s">
        <v>3238</v>
      </c>
      <c r="F410" s="3286"/>
      <c r="G410" s="3286"/>
      <c r="H410" s="3286"/>
    </row>
    <row r="411" spans="1:11" ht="12.75" customHeight="1">
      <c r="C411" s="1787" t="s">
        <v>4824</v>
      </c>
      <c r="E411" s="3286" t="s">
        <v>3399</v>
      </c>
      <c r="F411" s="3286"/>
      <c r="G411" s="3286"/>
      <c r="H411" s="3286"/>
    </row>
    <row r="412" spans="1:11" ht="12.75" customHeight="1">
      <c r="C412" s="1788"/>
      <c r="D412" s="1786" t="s">
        <v>3237</v>
      </c>
      <c r="E412" s="3352" t="s">
        <v>3400</v>
      </c>
      <c r="F412" s="3352"/>
      <c r="G412" s="3352"/>
      <c r="H412" s="3352"/>
    </row>
    <row r="413" spans="1:11" ht="6" customHeight="1">
      <c r="D413" s="814"/>
      <c r="E413" s="1784"/>
      <c r="F413" s="1784"/>
      <c r="G413" s="1784"/>
      <c r="H413" s="1784"/>
    </row>
    <row r="414" spans="1:11">
      <c r="A414" s="785" t="s">
        <v>3233</v>
      </c>
      <c r="B414" s="812" t="str">
        <f>IF('Part VI-Revenues &amp; Expenses'!$O$58=0,"",'Part VI-Revenues &amp; Expenses'!$O$58)</f>
        <v/>
      </c>
      <c r="C414" s="785" t="s">
        <v>4822</v>
      </c>
      <c r="D414" s="813" t="s">
        <v>4823</v>
      </c>
    </row>
    <row r="415" spans="1:11" ht="1.95" customHeight="1"/>
    <row r="416" spans="1:11" ht="12.75" customHeight="1">
      <c r="C416" s="779" t="s">
        <v>3138</v>
      </c>
      <c r="D416" s="814" t="s">
        <v>1938</v>
      </c>
      <c r="E416" s="815"/>
      <c r="F416" s="3286" t="s">
        <v>3139</v>
      </c>
      <c r="G416" s="3286"/>
      <c r="H416" s="3286"/>
      <c r="K416" s="730" t="s">
        <v>238</v>
      </c>
    </row>
    <row r="417" spans="1:8" ht="12.75" customHeight="1">
      <c r="C417" s="816" t="s">
        <v>1326</v>
      </c>
      <c r="D417" s="814" t="s">
        <v>1940</v>
      </c>
      <c r="E417" s="3286" t="s">
        <v>3239</v>
      </c>
      <c r="F417" s="3286"/>
      <c r="G417" s="3286"/>
      <c r="H417" s="3286"/>
    </row>
    <row r="418" spans="1:8" ht="12.75" customHeight="1">
      <c r="E418" s="3286" t="s">
        <v>3399</v>
      </c>
      <c r="F418" s="3286"/>
      <c r="G418" s="3286"/>
      <c r="H418" s="3286"/>
    </row>
    <row r="419" spans="1:8" ht="12.75" customHeight="1">
      <c r="D419" s="817" t="s">
        <v>3237</v>
      </c>
      <c r="E419" s="3286" t="s">
        <v>3400</v>
      </c>
      <c r="F419" s="3286"/>
      <c r="G419" s="3286"/>
      <c r="H419" s="3286"/>
    </row>
    <row r="420" spans="1:8" ht="9" customHeight="1" thickBot="1"/>
    <row r="421" spans="1:8" ht="16.2" customHeight="1" thickBot="1">
      <c r="A421" s="3350">
        <v>70</v>
      </c>
      <c r="B421" s="3351"/>
      <c r="C421" s="1789" t="s">
        <v>1018</v>
      </c>
    </row>
    <row r="422" spans="1:8" ht="9" customHeight="1">
      <c r="A422" s="752"/>
    </row>
    <row r="423" spans="1:8" ht="28.2" customHeight="1">
      <c r="A423" s="3354" t="s">
        <v>4830</v>
      </c>
      <c r="B423" s="3354"/>
      <c r="C423" s="3354"/>
      <c r="D423" s="3354"/>
      <c r="E423" s="3354"/>
      <c r="F423" s="3354"/>
      <c r="G423" s="3354"/>
      <c r="H423" s="3354"/>
    </row>
    <row r="424" spans="1:8" ht="9" customHeight="1">
      <c r="A424" s="752"/>
    </row>
    <row r="425" spans="1:8">
      <c r="A425" s="785" t="s">
        <v>3233</v>
      </c>
      <c r="B425" s="812" t="str">
        <f>IF('Part VI-Revenues &amp; Expenses'!$K$57=0,"",'Part VI-Revenues &amp; Expenses'!$K$57)</f>
        <v/>
      </c>
      <c r="C425" s="785" t="s">
        <v>4819</v>
      </c>
      <c r="D425" s="813" t="s">
        <v>4820</v>
      </c>
    </row>
    <row r="426" spans="1:8" ht="1.95" customHeight="1"/>
    <row r="427" spans="1:8" ht="12.75" customHeight="1">
      <c r="C427" s="779" t="s">
        <v>3138</v>
      </c>
      <c r="D427" s="814" t="s">
        <v>1938</v>
      </c>
      <c r="E427" s="815"/>
      <c r="F427" s="3286" t="s">
        <v>3139</v>
      </c>
      <c r="G427" s="3286"/>
      <c r="H427" s="3286"/>
    </row>
    <row r="428" spans="1:8" ht="12.75" customHeight="1">
      <c r="C428" s="816" t="s">
        <v>1326</v>
      </c>
      <c r="D428" s="814" t="s">
        <v>1940</v>
      </c>
      <c r="E428" s="3286" t="s">
        <v>3238</v>
      </c>
      <c r="F428" s="3286"/>
      <c r="G428" s="3286"/>
      <c r="H428" s="3286"/>
    </row>
    <row r="429" spans="1:8" ht="12.75" customHeight="1">
      <c r="C429" s="1787" t="s">
        <v>4824</v>
      </c>
      <c r="E429" s="3286" t="s">
        <v>3399</v>
      </c>
      <c r="F429" s="3286"/>
      <c r="G429" s="3286"/>
      <c r="H429" s="3286"/>
    </row>
    <row r="430" spans="1:8" ht="12.75" customHeight="1">
      <c r="C430" s="1788"/>
      <c r="D430" s="1786" t="s">
        <v>3237</v>
      </c>
      <c r="E430" s="3352" t="s">
        <v>3400</v>
      </c>
      <c r="F430" s="3352"/>
      <c r="G430" s="3352"/>
      <c r="H430" s="3352"/>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3286" t="s">
        <v>3238</v>
      </c>
      <c r="F433" s="3286"/>
      <c r="G433" s="3286"/>
      <c r="H433" s="3286"/>
    </row>
    <row r="434" spans="1:8" ht="12.75" customHeight="1">
      <c r="C434" s="1787" t="s">
        <v>4824</v>
      </c>
      <c r="E434" s="3286" t="s">
        <v>3399</v>
      </c>
      <c r="F434" s="3286"/>
      <c r="G434" s="3286"/>
      <c r="H434" s="3286"/>
    </row>
    <row r="435" spans="1:8" ht="12.75" customHeight="1">
      <c r="C435" s="1788"/>
      <c r="D435" s="1786" t="s">
        <v>3237</v>
      </c>
      <c r="E435" s="3352" t="s">
        <v>3400</v>
      </c>
      <c r="F435" s="3352"/>
      <c r="G435" s="3352"/>
      <c r="H435" s="3352"/>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3286" t="s">
        <v>3238</v>
      </c>
      <c r="F438" s="3286"/>
      <c r="G438" s="3286"/>
      <c r="H438" s="3286"/>
    </row>
    <row r="439" spans="1:8" ht="12.75" customHeight="1">
      <c r="C439" s="1787" t="s">
        <v>4824</v>
      </c>
      <c r="E439" s="3286" t="s">
        <v>3399</v>
      </c>
      <c r="F439" s="3286"/>
      <c r="G439" s="3286"/>
      <c r="H439" s="3286"/>
    </row>
    <row r="440" spans="1:8" ht="12.75" customHeight="1">
      <c r="C440" s="1788"/>
      <c r="D440" s="1786" t="s">
        <v>3237</v>
      </c>
      <c r="E440" s="3352" t="s">
        <v>3400</v>
      </c>
      <c r="F440" s="3352"/>
      <c r="G440" s="3352"/>
      <c r="H440" s="3352"/>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286" t="s">
        <v>3238</v>
      </c>
      <c r="F445" s="3286"/>
      <c r="G445" s="3286"/>
      <c r="H445" s="3286"/>
    </row>
    <row r="446" spans="1:8" ht="12.75" customHeight="1">
      <c r="C446" s="1787" t="s">
        <v>4824</v>
      </c>
      <c r="E446" s="3286" t="s">
        <v>3399</v>
      </c>
      <c r="F446" s="3286"/>
      <c r="G446" s="3286"/>
      <c r="H446" s="3286"/>
    </row>
    <row r="447" spans="1:8" ht="12.75" customHeight="1">
      <c r="C447" s="1788"/>
      <c r="D447" s="1785" t="s">
        <v>3237</v>
      </c>
      <c r="E447" s="3353" t="s">
        <v>3400</v>
      </c>
      <c r="F447" s="3353"/>
      <c r="G447" s="3353"/>
      <c r="H447" s="3353"/>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3286" t="s">
        <v>3238</v>
      </c>
      <c r="F450" s="3286"/>
      <c r="G450" s="3286"/>
      <c r="H450" s="3286"/>
    </row>
    <row r="451" spans="1:8" ht="12.75" customHeight="1">
      <c r="C451" s="1787" t="s">
        <v>4824</v>
      </c>
      <c r="E451" s="3286" t="s">
        <v>3399</v>
      </c>
      <c r="F451" s="3286"/>
      <c r="G451" s="3286"/>
      <c r="H451" s="3286"/>
    </row>
    <row r="452" spans="1:8" ht="12.75" customHeight="1">
      <c r="C452" s="1788"/>
      <c r="D452" s="1786" t="s">
        <v>3237</v>
      </c>
      <c r="E452" s="3352" t="s">
        <v>3400</v>
      </c>
      <c r="F452" s="3352"/>
      <c r="G452" s="3352"/>
      <c r="H452" s="3352"/>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3286" t="s">
        <v>3238</v>
      </c>
      <c r="F455" s="3286"/>
      <c r="G455" s="3286"/>
      <c r="H455" s="3286"/>
    </row>
    <row r="456" spans="1:8" ht="12.75" customHeight="1">
      <c r="C456" s="1787" t="s">
        <v>4824</v>
      </c>
      <c r="E456" s="3286" t="s">
        <v>3399</v>
      </c>
      <c r="F456" s="3286"/>
      <c r="G456" s="3286"/>
      <c r="H456" s="3286"/>
    </row>
    <row r="457" spans="1:8" ht="12.75" customHeight="1">
      <c r="C457" s="1788"/>
      <c r="D457" s="1786" t="s">
        <v>3237</v>
      </c>
      <c r="E457" s="3352" t="s">
        <v>3400</v>
      </c>
      <c r="F457" s="3352"/>
      <c r="G457" s="3352"/>
      <c r="H457" s="3352"/>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286" t="s">
        <v>3238</v>
      </c>
      <c r="F462" s="3286"/>
      <c r="G462" s="3286"/>
      <c r="H462" s="3286"/>
    </row>
    <row r="463" spans="1:8" ht="12.75" customHeight="1">
      <c r="C463" s="1787" t="s">
        <v>4824</v>
      </c>
      <c r="E463" s="3286" t="s">
        <v>3399</v>
      </c>
      <c r="F463" s="3286"/>
      <c r="G463" s="3286"/>
      <c r="H463" s="3286"/>
    </row>
    <row r="464" spans="1:8" ht="12.75" customHeight="1">
      <c r="C464" s="1788"/>
      <c r="D464" s="1785" t="s">
        <v>3237</v>
      </c>
      <c r="E464" s="3353" t="s">
        <v>3400</v>
      </c>
      <c r="F464" s="3353"/>
      <c r="G464" s="3353"/>
      <c r="H464" s="3353"/>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3286" t="s">
        <v>3238</v>
      </c>
      <c r="F467" s="3286"/>
      <c r="G467" s="3286"/>
      <c r="H467" s="3286"/>
    </row>
    <row r="468" spans="1:8" ht="12.75" customHeight="1">
      <c r="C468" s="1787" t="s">
        <v>4824</v>
      </c>
      <c r="E468" s="3286" t="s">
        <v>3399</v>
      </c>
      <c r="F468" s="3286"/>
      <c r="G468" s="3286"/>
      <c r="H468" s="3286"/>
    </row>
    <row r="469" spans="1:8" ht="12.75" customHeight="1">
      <c r="C469" s="1788"/>
      <c r="D469" s="1786" t="s">
        <v>3237</v>
      </c>
      <c r="E469" s="3352" t="s">
        <v>3400</v>
      </c>
      <c r="F469" s="3352"/>
      <c r="G469" s="3352"/>
      <c r="H469" s="3352"/>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3286" t="s">
        <v>3238</v>
      </c>
      <c r="F472" s="3286"/>
      <c r="G472" s="3286"/>
      <c r="H472" s="3286"/>
    </row>
    <row r="473" spans="1:8" ht="12.75" customHeight="1">
      <c r="C473" s="1787" t="s">
        <v>4824</v>
      </c>
      <c r="E473" s="3286" t="s">
        <v>3399</v>
      </c>
      <c r="F473" s="3286"/>
      <c r="G473" s="3286"/>
      <c r="H473" s="3286"/>
    </row>
    <row r="474" spans="1:8" ht="12.75" customHeight="1">
      <c r="C474" s="1788"/>
      <c r="D474" s="1786" t="s">
        <v>3237</v>
      </c>
      <c r="E474" s="3352" t="s">
        <v>3400</v>
      </c>
      <c r="F474" s="3352"/>
      <c r="G474" s="3352"/>
      <c r="H474" s="3352"/>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286" t="s">
        <v>3238</v>
      </c>
      <c r="F479" s="3286"/>
      <c r="G479" s="3286"/>
      <c r="H479" s="3286"/>
    </row>
    <row r="480" spans="1:8" ht="12.75" customHeight="1">
      <c r="C480" s="1787" t="s">
        <v>4824</v>
      </c>
      <c r="E480" s="3286" t="s">
        <v>3399</v>
      </c>
      <c r="F480" s="3286"/>
      <c r="G480" s="3286"/>
      <c r="H480" s="3286"/>
    </row>
    <row r="481" spans="1:11" ht="12.75" customHeight="1">
      <c r="C481" s="1788"/>
      <c r="D481" s="1785" t="s">
        <v>3237</v>
      </c>
      <c r="E481" s="3353" t="s">
        <v>3400</v>
      </c>
      <c r="F481" s="3353"/>
      <c r="G481" s="3353"/>
      <c r="H481" s="3353"/>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3286" t="s">
        <v>3238</v>
      </c>
      <c r="F484" s="3286"/>
      <c r="G484" s="3286"/>
      <c r="H484" s="3286"/>
    </row>
    <row r="485" spans="1:11" ht="12.75" customHeight="1">
      <c r="C485" s="1787" t="s">
        <v>4824</v>
      </c>
      <c r="E485" s="3286" t="s">
        <v>3399</v>
      </c>
      <c r="F485" s="3286"/>
      <c r="G485" s="3286"/>
      <c r="H485" s="3286"/>
    </row>
    <row r="486" spans="1:11" ht="12.75" customHeight="1">
      <c r="C486" s="1788"/>
      <c r="D486" s="1786" t="s">
        <v>3237</v>
      </c>
      <c r="E486" s="3352" t="s">
        <v>3400</v>
      </c>
      <c r="F486" s="3352"/>
      <c r="G486" s="3352"/>
      <c r="H486" s="3352"/>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3286" t="s">
        <v>3238</v>
      </c>
      <c r="F489" s="3286"/>
      <c r="G489" s="3286"/>
      <c r="H489" s="3286"/>
    </row>
    <row r="490" spans="1:11" ht="12.75" customHeight="1">
      <c r="C490" s="1787" t="s">
        <v>4824</v>
      </c>
      <c r="E490" s="3286" t="s">
        <v>3399</v>
      </c>
      <c r="F490" s="3286"/>
      <c r="G490" s="3286"/>
      <c r="H490" s="3286"/>
    </row>
    <row r="491" spans="1:11" ht="12.75" customHeight="1">
      <c r="C491" s="1788"/>
      <c r="D491" s="1786" t="s">
        <v>3237</v>
      </c>
      <c r="E491" s="3352" t="s">
        <v>3400</v>
      </c>
      <c r="F491" s="3352"/>
      <c r="G491" s="3352"/>
      <c r="H491" s="3352"/>
    </row>
    <row r="492" spans="1:11" ht="6" customHeight="1">
      <c r="D492" s="814"/>
      <c r="E492" s="1784"/>
      <c r="F492" s="1784"/>
      <c r="G492" s="1784"/>
      <c r="H492" s="1784"/>
    </row>
    <row r="493" spans="1:11">
      <c r="A493" s="785" t="s">
        <v>3233</v>
      </c>
      <c r="B493" s="812" t="str">
        <f>IF('Part VI-Revenues &amp; Expenses'!$O$57=0,"",'Part VI-Revenues &amp; Expenses'!$O$57)</f>
        <v/>
      </c>
      <c r="C493" s="785" t="s">
        <v>4822</v>
      </c>
      <c r="D493" s="813" t="s">
        <v>4823</v>
      </c>
    </row>
    <row r="494" spans="1:11" ht="1.95" customHeight="1"/>
    <row r="495" spans="1:11" ht="12.75" customHeight="1">
      <c r="C495" s="779" t="s">
        <v>3138</v>
      </c>
      <c r="D495" s="814" t="s">
        <v>1938</v>
      </c>
      <c r="E495" s="815"/>
      <c r="F495" s="3286" t="s">
        <v>3139</v>
      </c>
      <c r="G495" s="3286"/>
      <c r="H495" s="3286"/>
      <c r="K495" s="730" t="s">
        <v>238</v>
      </c>
    </row>
    <row r="496" spans="1:11" ht="12.75" customHeight="1">
      <c r="C496" s="816" t="s">
        <v>1326</v>
      </c>
      <c r="D496" s="814" t="s">
        <v>1940</v>
      </c>
      <c r="E496" s="3286" t="s">
        <v>3239</v>
      </c>
      <c r="F496" s="3286"/>
      <c r="G496" s="3286"/>
      <c r="H496" s="3286"/>
    </row>
    <row r="497" spans="1:8" ht="12.75" customHeight="1">
      <c r="E497" s="3286" t="s">
        <v>3399</v>
      </c>
      <c r="F497" s="3286"/>
      <c r="G497" s="3286"/>
      <c r="H497" s="3286"/>
    </row>
    <row r="498" spans="1:8" ht="12.75" customHeight="1">
      <c r="D498" s="817" t="s">
        <v>3237</v>
      </c>
      <c r="E498" s="3286" t="s">
        <v>3400</v>
      </c>
      <c r="F498" s="3286"/>
      <c r="G498" s="3286"/>
      <c r="H498" s="3286"/>
    </row>
    <row r="499" spans="1:8" ht="9" customHeight="1" thickBot="1"/>
    <row r="500" spans="1:8" ht="16.2" customHeight="1" thickBot="1">
      <c r="A500" s="3350">
        <v>80</v>
      </c>
      <c r="B500" s="3351"/>
      <c r="C500" s="1789" t="s">
        <v>1018</v>
      </c>
    </row>
    <row r="501" spans="1:8" ht="9" customHeight="1">
      <c r="A501" s="752"/>
    </row>
    <row r="502" spans="1:8" ht="28.2" customHeight="1">
      <c r="A502" s="3354" t="s">
        <v>4831</v>
      </c>
      <c r="B502" s="3354"/>
      <c r="C502" s="3354"/>
      <c r="D502" s="3354"/>
      <c r="E502" s="3354"/>
      <c r="F502" s="3354"/>
      <c r="G502" s="3354"/>
      <c r="H502" s="3354"/>
    </row>
    <row r="503" spans="1:8" ht="9" customHeight="1">
      <c r="A503" s="752"/>
    </row>
    <row r="504" spans="1:8">
      <c r="A504" s="785" t="s">
        <v>3233</v>
      </c>
      <c r="B504" s="812">
        <f>IF('Part VI-Revenues &amp; Expenses'!$K$56=0,"",'Part VI-Revenues &amp; Expenses'!$K$56)</f>
        <v>2</v>
      </c>
      <c r="C504" s="785" t="s">
        <v>4819</v>
      </c>
      <c r="D504" s="813" t="s">
        <v>4820</v>
      </c>
    </row>
    <row r="505" spans="1:8" ht="1.95" customHeight="1"/>
    <row r="506" spans="1:8" ht="12.75" customHeight="1">
      <c r="C506" s="779" t="s">
        <v>3138</v>
      </c>
      <c r="D506" s="814" t="s">
        <v>1938</v>
      </c>
      <c r="E506" s="815"/>
      <c r="F506" s="3286" t="s">
        <v>3139</v>
      </c>
      <c r="G506" s="3286"/>
      <c r="H506" s="3286"/>
    </row>
    <row r="507" spans="1:8" ht="12.75" customHeight="1">
      <c r="C507" s="816" t="s">
        <v>1326</v>
      </c>
      <c r="D507" s="814" t="s">
        <v>1940</v>
      </c>
      <c r="E507" s="3286" t="s">
        <v>3238</v>
      </c>
      <c r="F507" s="3286"/>
      <c r="G507" s="3286"/>
      <c r="H507" s="3286"/>
    </row>
    <row r="508" spans="1:8" ht="12.75" customHeight="1">
      <c r="C508" s="1787" t="s">
        <v>4824</v>
      </c>
      <c r="E508" s="3286" t="s">
        <v>3399</v>
      </c>
      <c r="F508" s="3286"/>
      <c r="G508" s="3286"/>
      <c r="H508" s="3286"/>
    </row>
    <row r="509" spans="1:8" ht="12.75" customHeight="1">
      <c r="C509" s="1788"/>
      <c r="D509" s="1786" t="s">
        <v>3237</v>
      </c>
      <c r="E509" s="3352" t="s">
        <v>3400</v>
      </c>
      <c r="F509" s="3352"/>
      <c r="G509" s="3352"/>
      <c r="H509" s="3352"/>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3286" t="s">
        <v>3238</v>
      </c>
      <c r="F512" s="3286"/>
      <c r="G512" s="3286"/>
      <c r="H512" s="3286"/>
    </row>
    <row r="513" spans="1:8" ht="12.75" customHeight="1">
      <c r="C513" s="1787" t="s">
        <v>4824</v>
      </c>
      <c r="E513" s="3286" t="s">
        <v>3399</v>
      </c>
      <c r="F513" s="3286"/>
      <c r="G513" s="3286"/>
      <c r="H513" s="3286"/>
    </row>
    <row r="514" spans="1:8" ht="12.75" customHeight="1">
      <c r="C514" s="1788"/>
      <c r="D514" s="1786" t="s">
        <v>3237</v>
      </c>
      <c r="E514" s="3352" t="s">
        <v>3400</v>
      </c>
      <c r="F514" s="3352"/>
      <c r="G514" s="3352"/>
      <c r="H514" s="3352"/>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3286" t="s">
        <v>3238</v>
      </c>
      <c r="F517" s="3286"/>
      <c r="G517" s="3286"/>
      <c r="H517" s="3286"/>
    </row>
    <row r="518" spans="1:8" ht="12.75" customHeight="1">
      <c r="C518" s="1787" t="s">
        <v>4824</v>
      </c>
      <c r="E518" s="3286" t="s">
        <v>3399</v>
      </c>
      <c r="F518" s="3286"/>
      <c r="G518" s="3286"/>
      <c r="H518" s="3286"/>
    </row>
    <row r="519" spans="1:8" ht="12.75" customHeight="1">
      <c r="C519" s="1788"/>
      <c r="D519" s="1786" t="s">
        <v>3237</v>
      </c>
      <c r="E519" s="3352" t="s">
        <v>3400</v>
      </c>
      <c r="F519" s="3352"/>
      <c r="G519" s="3352"/>
      <c r="H519" s="3352"/>
    </row>
    <row r="520" spans="1:8" ht="6" customHeight="1">
      <c r="D520" s="814"/>
      <c r="E520" s="1784"/>
      <c r="F520" s="1784"/>
      <c r="G520" s="1784"/>
      <c r="H520" s="1784"/>
    </row>
    <row r="521" spans="1:8">
      <c r="A521" s="785" t="s">
        <v>3233</v>
      </c>
      <c r="B521" s="812">
        <f>IF('Part VI-Revenues &amp; Expenses'!$L$56=0,"",'Part VI-Revenues &amp; Expenses'!$L$56)</f>
        <v>2</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286" t="s">
        <v>3238</v>
      </c>
      <c r="F524" s="3286"/>
      <c r="G524" s="3286"/>
      <c r="H524" s="3286"/>
    </row>
    <row r="525" spans="1:8" ht="12.75" customHeight="1">
      <c r="C525" s="1787" t="s">
        <v>4824</v>
      </c>
      <c r="E525" s="3286" t="s">
        <v>3399</v>
      </c>
      <c r="F525" s="3286"/>
      <c r="G525" s="3286"/>
      <c r="H525" s="3286"/>
    </row>
    <row r="526" spans="1:8" ht="12.75" customHeight="1">
      <c r="C526" s="1788"/>
      <c r="D526" s="1785" t="s">
        <v>3237</v>
      </c>
      <c r="E526" s="3353" t="s">
        <v>3400</v>
      </c>
      <c r="F526" s="3353"/>
      <c r="G526" s="3353"/>
      <c r="H526" s="3353"/>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3286" t="s">
        <v>3238</v>
      </c>
      <c r="F529" s="3286"/>
      <c r="G529" s="3286"/>
      <c r="H529" s="3286"/>
    </row>
    <row r="530" spans="1:8" ht="12.75" customHeight="1">
      <c r="C530" s="1787" t="s">
        <v>4824</v>
      </c>
      <c r="E530" s="3286" t="s">
        <v>3399</v>
      </c>
      <c r="F530" s="3286"/>
      <c r="G530" s="3286"/>
      <c r="H530" s="3286"/>
    </row>
    <row r="531" spans="1:8" ht="12.75" customHeight="1">
      <c r="C531" s="1788"/>
      <c r="D531" s="1786" t="s">
        <v>3237</v>
      </c>
      <c r="E531" s="3352" t="s">
        <v>3400</v>
      </c>
      <c r="F531" s="3352"/>
      <c r="G531" s="3352"/>
      <c r="H531" s="3352"/>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3286" t="s">
        <v>3238</v>
      </c>
      <c r="F534" s="3286"/>
      <c r="G534" s="3286"/>
      <c r="H534" s="3286"/>
    </row>
    <row r="535" spans="1:8" ht="12.75" customHeight="1">
      <c r="C535" s="1787" t="s">
        <v>4824</v>
      </c>
      <c r="E535" s="3286" t="s">
        <v>3399</v>
      </c>
      <c r="F535" s="3286"/>
      <c r="G535" s="3286"/>
      <c r="H535" s="3286"/>
    </row>
    <row r="536" spans="1:8" ht="12.75" customHeight="1">
      <c r="C536" s="1788"/>
      <c r="D536" s="1786" t="s">
        <v>3237</v>
      </c>
      <c r="E536" s="3352" t="s">
        <v>3400</v>
      </c>
      <c r="F536" s="3352"/>
      <c r="G536" s="3352"/>
      <c r="H536" s="3352"/>
    </row>
    <row r="537" spans="1:8" ht="6" customHeight="1">
      <c r="D537" s="814"/>
      <c r="E537" s="1784"/>
      <c r="F537" s="1784"/>
      <c r="G537" s="1784"/>
      <c r="H537" s="1784"/>
    </row>
    <row r="538" spans="1:8">
      <c r="A538" s="785" t="s">
        <v>3233</v>
      </c>
      <c r="B538" s="812">
        <f>IF('Part VI-Revenues &amp; Expenses'!$M$56=0,"",'Part VI-Revenues &amp; Expenses'!$M$56)</f>
        <v>1</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286" t="s">
        <v>3238</v>
      </c>
      <c r="F541" s="3286"/>
      <c r="G541" s="3286"/>
      <c r="H541" s="3286"/>
    </row>
    <row r="542" spans="1:8" ht="12.75" customHeight="1">
      <c r="C542" s="1787" t="s">
        <v>4824</v>
      </c>
      <c r="E542" s="3286" t="s">
        <v>3399</v>
      </c>
      <c r="F542" s="3286"/>
      <c r="G542" s="3286"/>
      <c r="H542" s="3286"/>
    </row>
    <row r="543" spans="1:8" ht="12.75" customHeight="1">
      <c r="C543" s="1788"/>
      <c r="D543" s="1785" t="s">
        <v>3237</v>
      </c>
      <c r="E543" s="3353" t="s">
        <v>3400</v>
      </c>
      <c r="F543" s="3353"/>
      <c r="G543" s="3353"/>
      <c r="H543" s="3353"/>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3286" t="s">
        <v>3238</v>
      </c>
      <c r="F546" s="3286"/>
      <c r="G546" s="3286"/>
      <c r="H546" s="3286"/>
    </row>
    <row r="547" spans="1:8" ht="12.75" customHeight="1">
      <c r="C547" s="1787" t="s">
        <v>4824</v>
      </c>
      <c r="E547" s="3286" t="s">
        <v>3399</v>
      </c>
      <c r="F547" s="3286"/>
      <c r="G547" s="3286"/>
      <c r="H547" s="3286"/>
    </row>
    <row r="548" spans="1:8" ht="12.75" customHeight="1">
      <c r="C548" s="1788"/>
      <c r="D548" s="1786" t="s">
        <v>3237</v>
      </c>
      <c r="E548" s="3352" t="s">
        <v>3400</v>
      </c>
      <c r="F548" s="3352"/>
      <c r="G548" s="3352"/>
      <c r="H548" s="3352"/>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3286" t="s">
        <v>3238</v>
      </c>
      <c r="F551" s="3286"/>
      <c r="G551" s="3286"/>
      <c r="H551" s="3286"/>
    </row>
    <row r="552" spans="1:8" ht="12.75" customHeight="1">
      <c r="C552" s="1787" t="s">
        <v>4824</v>
      </c>
      <c r="E552" s="3286" t="s">
        <v>3399</v>
      </c>
      <c r="F552" s="3286"/>
      <c r="G552" s="3286"/>
      <c r="H552" s="3286"/>
    </row>
    <row r="553" spans="1:8" ht="12.75" customHeight="1">
      <c r="C553" s="1788"/>
      <c r="D553" s="1786" t="s">
        <v>3237</v>
      </c>
      <c r="E553" s="3352" t="s">
        <v>3400</v>
      </c>
      <c r="F553" s="3352"/>
      <c r="G553" s="3352"/>
      <c r="H553" s="3352"/>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286" t="s">
        <v>3238</v>
      </c>
      <c r="F558" s="3286"/>
      <c r="G558" s="3286"/>
      <c r="H558" s="3286"/>
    </row>
    <row r="559" spans="1:8" ht="12.75" customHeight="1">
      <c r="C559" s="1787" t="s">
        <v>4824</v>
      </c>
      <c r="E559" s="3286" t="s">
        <v>3399</v>
      </c>
      <c r="F559" s="3286"/>
      <c r="G559" s="3286"/>
      <c r="H559" s="3286"/>
    </row>
    <row r="560" spans="1:8" ht="12.75" customHeight="1">
      <c r="C560" s="1788"/>
      <c r="D560" s="1785" t="s">
        <v>3237</v>
      </c>
      <c r="E560" s="3353" t="s">
        <v>3400</v>
      </c>
      <c r="F560" s="3353"/>
      <c r="G560" s="3353"/>
      <c r="H560" s="3353"/>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3286" t="s">
        <v>3238</v>
      </c>
      <c r="F563" s="3286"/>
      <c r="G563" s="3286"/>
      <c r="H563" s="3286"/>
    </row>
    <row r="564" spans="1:11" ht="12.75" customHeight="1">
      <c r="C564" s="1787" t="s">
        <v>4824</v>
      </c>
      <c r="E564" s="3286" t="s">
        <v>3399</v>
      </c>
      <c r="F564" s="3286"/>
      <c r="G564" s="3286"/>
      <c r="H564" s="3286"/>
    </row>
    <row r="565" spans="1:11" ht="12.75" customHeight="1">
      <c r="C565" s="1788"/>
      <c r="D565" s="1786" t="s">
        <v>3237</v>
      </c>
      <c r="E565" s="3352" t="s">
        <v>3400</v>
      </c>
      <c r="F565" s="3352"/>
      <c r="G565" s="3352"/>
      <c r="H565" s="3352"/>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3286" t="s">
        <v>3238</v>
      </c>
      <c r="F568" s="3286"/>
      <c r="G568" s="3286"/>
      <c r="H568" s="3286"/>
    </row>
    <row r="569" spans="1:11" ht="12.75" customHeight="1">
      <c r="C569" s="1787" t="s">
        <v>4824</v>
      </c>
      <c r="E569" s="3286" t="s">
        <v>3399</v>
      </c>
      <c r="F569" s="3286"/>
      <c r="G569" s="3286"/>
      <c r="H569" s="3286"/>
    </row>
    <row r="570" spans="1:11" ht="12.75" customHeight="1">
      <c r="C570" s="1788"/>
      <c r="D570" s="1786" t="s">
        <v>3237</v>
      </c>
      <c r="E570" s="3352" t="s">
        <v>3400</v>
      </c>
      <c r="F570" s="3352"/>
      <c r="G570" s="3352"/>
      <c r="H570" s="3352"/>
    </row>
    <row r="571" spans="1:11" ht="6" customHeight="1">
      <c r="D571" s="814"/>
      <c r="E571" s="1784"/>
      <c r="F571" s="1784"/>
      <c r="G571" s="1784"/>
      <c r="H571" s="1784"/>
    </row>
    <row r="572" spans="1:11">
      <c r="A572" s="785" t="s">
        <v>3233</v>
      </c>
      <c r="B572" s="812" t="str">
        <f>IF('Part VI-Revenues &amp; Expenses'!$O$56=0,"",'Part VI-Revenues &amp; Expenses'!$O$56)</f>
        <v/>
      </c>
      <c r="C572" s="785" t="s">
        <v>4822</v>
      </c>
      <c r="D572" s="813" t="s">
        <v>4823</v>
      </c>
    </row>
    <row r="573" spans="1:11" ht="1.95" customHeight="1"/>
    <row r="574" spans="1:11" ht="12.75" customHeight="1">
      <c r="C574" s="779" t="s">
        <v>3138</v>
      </c>
      <c r="D574" s="814" t="s">
        <v>1938</v>
      </c>
      <c r="E574" s="815"/>
      <c r="F574" s="3286" t="s">
        <v>3139</v>
      </c>
      <c r="G574" s="3286"/>
      <c r="H574" s="3286"/>
      <c r="K574" s="730" t="s">
        <v>238</v>
      </c>
    </row>
    <row r="575" spans="1:11" ht="12.75" customHeight="1">
      <c r="C575" s="816" t="s">
        <v>1326</v>
      </c>
      <c r="D575" s="814" t="s">
        <v>1940</v>
      </c>
      <c r="E575" s="3286" t="s">
        <v>3239</v>
      </c>
      <c r="F575" s="3286"/>
      <c r="G575" s="3286"/>
      <c r="H575" s="3286"/>
    </row>
    <row r="576" spans="1:11" ht="12.75" customHeight="1">
      <c r="E576" s="3286" t="s">
        <v>3399</v>
      </c>
      <c r="F576" s="3286"/>
      <c r="G576" s="3286"/>
      <c r="H576" s="3286"/>
    </row>
    <row r="577" spans="4:8" ht="12.75" customHeight="1">
      <c r="D577" s="817" t="s">
        <v>3237</v>
      </c>
      <c r="E577" s="3286" t="s">
        <v>3400</v>
      </c>
      <c r="F577" s="3286"/>
      <c r="G577" s="3286"/>
      <c r="H577" s="3286"/>
    </row>
    <row r="578" spans="4:8" ht="9" customHeight="1"/>
    <row r="579" spans="4:8" ht="7.5" customHeight="1">
      <c r="E579" s="3286"/>
      <c r="F579" s="3286"/>
      <c r="G579" s="3286"/>
      <c r="H579" s="328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Freedom's Path at Dublin</v>
      </c>
    </row>
    <row r="2" spans="1:14">
      <c r="A2" s="667" t="s">
        <v>3133</v>
      </c>
      <c r="H2" s="730" t="str">
        <f>'Sensitivity Analysis'!E8</f>
        <v>2020-042</v>
      </c>
    </row>
    <row r="3" spans="1:14" ht="3" customHeight="1"/>
    <row r="4" spans="1:14" ht="69.599999999999994" customHeight="1">
      <c r="A4" s="3355" t="s">
        <v>3231</v>
      </c>
      <c r="B4" s="3355"/>
      <c r="C4" s="3355"/>
      <c r="D4" s="3355"/>
      <c r="E4" s="3355"/>
      <c r="F4" s="3355"/>
      <c r="G4" s="3355"/>
      <c r="H4" s="3355"/>
      <c r="I4" s="3355"/>
      <c r="J4" s="3355"/>
      <c r="K4" s="3355"/>
      <c r="L4" s="3389">
        <f>SUM('Part VII-Pro Forma'!B14:B16)/12</f>
        <v>28505.429999999997</v>
      </c>
      <c r="M4" s="3389"/>
      <c r="N4" s="2037" t="s">
        <v>4105</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55" t="s">
        <v>3135</v>
      </c>
      <c r="D7" s="3355"/>
      <c r="E7" s="3355"/>
      <c r="F7" s="3355"/>
      <c r="G7" s="3355"/>
      <c r="H7" s="3355"/>
      <c r="I7" s="3355"/>
      <c r="J7" s="3355"/>
      <c r="K7" s="3355"/>
      <c r="L7" s="3355"/>
      <c r="M7" s="3355"/>
    </row>
    <row r="8" spans="1:14" ht="3" customHeight="1"/>
    <row r="9" spans="1:14">
      <c r="A9" s="730" t="s">
        <v>3136</v>
      </c>
    </row>
    <row r="10" spans="1:14" ht="1.5" customHeight="1"/>
    <row r="11" spans="1:14" ht="26.25" customHeight="1">
      <c r="A11" s="811" t="s">
        <v>1935</v>
      </c>
      <c r="B11" s="3355" t="s">
        <v>3228</v>
      </c>
      <c r="C11" s="3355"/>
      <c r="D11" s="3355"/>
      <c r="E11" s="3355"/>
      <c r="F11" s="3355"/>
      <c r="G11" s="3355"/>
      <c r="H11" s="3355"/>
      <c r="I11" s="3355"/>
      <c r="J11" s="3355"/>
      <c r="K11" s="3355"/>
      <c r="L11" s="3356">
        <f>'Part III-Sources of Funds'!I49+'Part III-Sources of Funds'!I50</f>
        <v>7812500</v>
      </c>
      <c r="M11" s="3356"/>
    </row>
    <row r="12" spans="1:14" ht="1.5" customHeight="1">
      <c r="G12" s="779"/>
      <c r="H12" s="779"/>
    </row>
    <row r="13" spans="1:14" ht="25.95" customHeight="1">
      <c r="A13" s="811" t="s">
        <v>1937</v>
      </c>
      <c r="B13" s="3355" t="s">
        <v>3229</v>
      </c>
      <c r="C13" s="3355"/>
      <c r="D13" s="3355"/>
      <c r="E13" s="3355"/>
      <c r="F13" s="3355"/>
      <c r="G13" s="3355"/>
      <c r="H13" s="3355"/>
      <c r="I13" s="3355"/>
      <c r="J13" s="3355"/>
      <c r="K13" s="3355"/>
      <c r="L13" s="3357" t="s">
        <v>3062</v>
      </c>
      <c r="M13" s="3357"/>
    </row>
    <row r="14" spans="1:14">
      <c r="A14" s="811"/>
      <c r="B14" s="3275"/>
      <c r="C14" s="3275"/>
      <c r="D14" s="3275"/>
      <c r="E14" s="3275"/>
      <c r="F14" s="3275"/>
      <c r="G14" s="3275"/>
      <c r="H14" s="3275"/>
    </row>
    <row r="15" spans="1:14" ht="3" customHeight="1"/>
    <row r="16" spans="1:14">
      <c r="A16" s="811" t="s">
        <v>731</v>
      </c>
      <c r="B16" s="730" t="s">
        <v>3232</v>
      </c>
      <c r="F16" s="803"/>
      <c r="L16" s="3272" t="s">
        <v>2888</v>
      </c>
      <c r="M16" s="3272"/>
    </row>
    <row r="17" spans="1:19" ht="1.5" customHeight="1">
      <c r="L17" s="785"/>
    </row>
    <row r="18" spans="1:19" ht="12" customHeight="1">
      <c r="A18" s="811" t="s">
        <v>2064</v>
      </c>
      <c r="B18" s="779" t="s">
        <v>3230</v>
      </c>
      <c r="C18" s="811"/>
      <c r="D18" s="811"/>
      <c r="E18" s="811"/>
      <c r="L18" s="3275" t="s">
        <v>2727</v>
      </c>
      <c r="M18" s="3275"/>
    </row>
    <row r="19" spans="1:19" ht="12" hidden="1" customHeight="1">
      <c r="B19" s="3275"/>
      <c r="C19" s="3275"/>
      <c r="D19" s="3275"/>
      <c r="E19" s="3275"/>
      <c r="F19" s="3275"/>
      <c r="G19" s="3275"/>
      <c r="H19" s="3275"/>
    </row>
    <row r="20" spans="1:19" ht="13.5" customHeight="1"/>
    <row r="21" spans="1:19" ht="12" customHeight="1">
      <c r="A21" s="667" t="s">
        <v>3137</v>
      </c>
    </row>
    <row r="22" spans="1:19" ht="3" customHeight="1"/>
    <row r="23" spans="1:19" ht="42.6" customHeight="1" thickBot="1">
      <c r="A23" s="3358" t="s">
        <v>4821</v>
      </c>
      <c r="B23" s="3358"/>
      <c r="C23" s="3358"/>
      <c r="D23" s="3358"/>
      <c r="E23" s="3358"/>
      <c r="F23" s="3358"/>
      <c r="G23" s="3358"/>
      <c r="H23" s="3358"/>
      <c r="I23" s="3358"/>
      <c r="J23" s="3358"/>
      <c r="K23" s="3358"/>
      <c r="L23" s="3358"/>
      <c r="M23" s="3358"/>
    </row>
    <row r="24" spans="1:19" ht="18" customHeight="1" thickBot="1">
      <c r="A24" s="2036"/>
      <c r="B24" s="3388" t="s">
        <v>6841</v>
      </c>
      <c r="F24" s="3379" t="s">
        <v>6843</v>
      </c>
      <c r="G24" s="3380"/>
      <c r="H24" s="3380"/>
      <c r="I24" s="3380"/>
      <c r="J24" s="3380"/>
      <c r="K24" s="3380"/>
      <c r="L24" s="3380"/>
      <c r="M24" s="3381"/>
      <c r="S24" s="730"/>
    </row>
    <row r="25" spans="1:19" ht="15" customHeight="1">
      <c r="A25" s="2036"/>
      <c r="B25" s="3388"/>
      <c r="D25" s="3388" t="s">
        <v>6839</v>
      </c>
      <c r="E25" s="3388" t="s">
        <v>6842</v>
      </c>
      <c r="F25" s="3364" t="s">
        <v>6846</v>
      </c>
      <c r="G25" s="3365"/>
      <c r="H25" s="3370" t="s">
        <v>1326</v>
      </c>
      <c r="I25" s="3382" t="s">
        <v>6840</v>
      </c>
      <c r="J25" s="3383"/>
      <c r="K25" s="3383"/>
      <c r="L25" s="3383"/>
      <c r="M25" s="3384"/>
      <c r="S25" s="730"/>
    </row>
    <row r="26" spans="1:19" ht="15" customHeight="1">
      <c r="A26" s="3359" t="s">
        <v>1018</v>
      </c>
      <c r="B26" s="3388"/>
      <c r="C26" s="807"/>
      <c r="D26" s="3388"/>
      <c r="E26" s="3388"/>
      <c r="F26" s="3366"/>
      <c r="G26" s="3367"/>
      <c r="H26" s="3371"/>
      <c r="I26" s="3373" t="s">
        <v>6844</v>
      </c>
      <c r="J26" s="3374"/>
      <c r="K26" s="3385" t="s">
        <v>1326</v>
      </c>
      <c r="L26" s="3374" t="s">
        <v>6845</v>
      </c>
      <c r="M26" s="3377"/>
      <c r="S26" s="730"/>
    </row>
    <row r="27" spans="1:19" ht="15" customHeight="1">
      <c r="A27" s="3359"/>
      <c r="B27" s="3388"/>
      <c r="C27" s="3359" t="s">
        <v>6838</v>
      </c>
      <c r="D27" s="3388"/>
      <c r="E27" s="3388"/>
      <c r="F27" s="3366"/>
      <c r="G27" s="3367"/>
      <c r="H27" s="3371"/>
      <c r="I27" s="3373"/>
      <c r="J27" s="3374"/>
      <c r="K27" s="3386"/>
      <c r="L27" s="3374"/>
      <c r="M27" s="3377"/>
      <c r="S27" s="730"/>
    </row>
    <row r="28" spans="1:19" ht="15" customHeight="1" thickBot="1">
      <c r="A28" s="3359"/>
      <c r="B28" s="3359"/>
      <c r="C28" s="3359"/>
      <c r="D28" s="3359"/>
      <c r="E28" s="3359"/>
      <c r="F28" s="3368"/>
      <c r="G28" s="3369"/>
      <c r="H28" s="3372"/>
      <c r="I28" s="3375"/>
      <c r="J28" s="3376"/>
      <c r="K28" s="3387"/>
      <c r="L28" s="3376"/>
      <c r="M28" s="3378"/>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0"/>
      <c r="G30" s="3361"/>
      <c r="H30" s="538"/>
      <c r="I30" s="737"/>
      <c r="J30" s="538"/>
      <c r="K30" s="538"/>
      <c r="L30" s="538"/>
      <c r="M30" s="538"/>
      <c r="S30" s="730"/>
    </row>
    <row r="31" spans="1:19" ht="13.2" customHeight="1">
      <c r="A31" s="2039"/>
      <c r="B31" s="538"/>
      <c r="C31" s="538" t="s">
        <v>551</v>
      </c>
      <c r="D31" s="2032"/>
      <c r="E31" s="2033"/>
      <c r="F31" s="3362"/>
      <c r="G31" s="3362"/>
      <c r="H31" s="3362"/>
      <c r="I31" s="3362"/>
      <c r="J31" s="3362"/>
      <c r="K31" s="3362"/>
      <c r="L31" s="3362"/>
      <c r="M31" s="3363"/>
      <c r="S31" s="730"/>
    </row>
    <row r="32" spans="1:19" ht="13.2" customHeight="1">
      <c r="A32" s="2039"/>
      <c r="B32" s="538"/>
      <c r="C32" s="538" t="s">
        <v>551</v>
      </c>
      <c r="D32" s="2032"/>
      <c r="E32" s="2033"/>
      <c r="F32" s="3362"/>
      <c r="G32" s="3362"/>
      <c r="H32" s="3362"/>
      <c r="I32" s="3362"/>
      <c r="J32" s="3362"/>
      <c r="K32" s="3362"/>
      <c r="L32" s="3362"/>
      <c r="M32" s="3363"/>
      <c r="S32" s="730"/>
    </row>
    <row r="33" spans="1:19" ht="13.2" customHeight="1">
      <c r="A33" s="2039"/>
      <c r="B33" s="538"/>
      <c r="C33" s="538" t="s">
        <v>551</v>
      </c>
      <c r="D33" s="2032"/>
      <c r="E33" s="2033"/>
      <c r="F33" s="3362"/>
      <c r="G33" s="3362"/>
      <c r="H33" s="3362"/>
      <c r="I33" s="3362"/>
      <c r="J33" s="3362"/>
      <c r="K33" s="3362"/>
      <c r="L33" s="3362"/>
      <c r="M33" s="3363"/>
      <c r="S33" s="730"/>
    </row>
    <row r="34" spans="1:19" ht="13.2" customHeight="1">
      <c r="A34" s="2035">
        <f>A30</f>
        <v>20</v>
      </c>
      <c r="B34" s="812" t="str">
        <f>IF('Part VI-Revenues &amp; Expenses'!$L$62=0,"",'Part VI-Revenues &amp; Expenses'!$L$62)</f>
        <v/>
      </c>
      <c r="C34" s="2031">
        <v>1</v>
      </c>
      <c r="D34" s="538"/>
      <c r="E34" s="538"/>
      <c r="F34" s="3360"/>
      <c r="G34" s="3361"/>
      <c r="H34" s="2031"/>
      <c r="I34" s="2031"/>
      <c r="J34" s="2031"/>
      <c r="K34" s="2031"/>
      <c r="L34" s="2031"/>
      <c r="M34" s="2031"/>
      <c r="S34" s="730"/>
    </row>
    <row r="35" spans="1:19" ht="13.2" customHeight="1">
      <c r="A35" s="2035"/>
      <c r="B35" s="538"/>
      <c r="C35" s="2034">
        <v>1</v>
      </c>
      <c r="D35" s="2032"/>
      <c r="E35" s="2033"/>
      <c r="F35" s="3362"/>
      <c r="G35" s="3362"/>
      <c r="H35" s="3362"/>
      <c r="I35" s="3362"/>
      <c r="J35" s="3362"/>
      <c r="K35" s="3362"/>
      <c r="L35" s="3362"/>
      <c r="M35" s="3363"/>
      <c r="S35" s="730"/>
    </row>
    <row r="36" spans="1:19" ht="13.2" customHeight="1">
      <c r="A36" s="2035"/>
      <c r="B36" s="538"/>
      <c r="C36" s="2034">
        <v>1</v>
      </c>
      <c r="D36" s="2032"/>
      <c r="E36" s="2033"/>
      <c r="F36" s="3362"/>
      <c r="G36" s="3362"/>
      <c r="H36" s="3362"/>
      <c r="I36" s="3362"/>
      <c r="J36" s="3362"/>
      <c r="K36" s="3362"/>
      <c r="L36" s="3362"/>
      <c r="M36" s="3363"/>
      <c r="S36" s="730"/>
    </row>
    <row r="37" spans="1:19" ht="13.2" customHeight="1">
      <c r="A37" s="2035"/>
      <c r="B37" s="538"/>
      <c r="C37" s="2034">
        <v>1</v>
      </c>
      <c r="D37" s="2032"/>
      <c r="E37" s="2033"/>
      <c r="F37" s="3362"/>
      <c r="G37" s="3362"/>
      <c r="H37" s="3362"/>
      <c r="I37" s="3362"/>
      <c r="J37" s="3362"/>
      <c r="K37" s="3362"/>
      <c r="L37" s="3362"/>
      <c r="M37" s="3363"/>
      <c r="S37" s="730"/>
    </row>
    <row r="38" spans="1:19" ht="13.2" customHeight="1">
      <c r="A38" s="2035">
        <f>A30</f>
        <v>20</v>
      </c>
      <c r="B38" s="812" t="str">
        <f>IF('Part VI-Revenues &amp; Expenses'!$M$62=0,"",'Part VI-Revenues &amp; Expenses'!$M$62)</f>
        <v/>
      </c>
      <c r="C38" s="2031">
        <v>2</v>
      </c>
      <c r="D38" s="538"/>
      <c r="E38" s="538"/>
      <c r="F38" s="3360"/>
      <c r="G38" s="3361"/>
      <c r="H38" s="2031"/>
      <c r="I38" s="2031"/>
      <c r="J38" s="2031"/>
      <c r="K38" s="2031"/>
      <c r="L38" s="2031"/>
      <c r="M38" s="2031"/>
      <c r="S38" s="730"/>
    </row>
    <row r="39" spans="1:19" ht="13.2" customHeight="1">
      <c r="A39" s="2035"/>
      <c r="B39" s="538"/>
      <c r="C39" s="2034">
        <v>2</v>
      </c>
      <c r="D39" s="2032"/>
      <c r="E39" s="2033"/>
      <c r="F39" s="3362"/>
      <c r="G39" s="3362"/>
      <c r="H39" s="3362"/>
      <c r="I39" s="3362"/>
      <c r="J39" s="3362"/>
      <c r="K39" s="3362"/>
      <c r="L39" s="3362"/>
      <c r="M39" s="3363"/>
      <c r="S39" s="730"/>
    </row>
    <row r="40" spans="1:19" ht="13.2" customHeight="1">
      <c r="A40" s="2035"/>
      <c r="B40" s="538"/>
      <c r="C40" s="2034">
        <v>2</v>
      </c>
      <c r="D40" s="2032"/>
      <c r="E40" s="2033"/>
      <c r="F40" s="3362"/>
      <c r="G40" s="3362"/>
      <c r="H40" s="3362"/>
      <c r="I40" s="3362"/>
      <c r="J40" s="3362"/>
      <c r="K40" s="3362"/>
      <c r="L40" s="3362"/>
      <c r="M40" s="3363"/>
      <c r="S40" s="730"/>
    </row>
    <row r="41" spans="1:19" ht="13.2" customHeight="1">
      <c r="A41" s="2035"/>
      <c r="B41" s="538"/>
      <c r="C41" s="2034">
        <v>2</v>
      </c>
      <c r="D41" s="2032"/>
      <c r="E41" s="2033"/>
      <c r="F41" s="3362"/>
      <c r="G41" s="3362"/>
      <c r="H41" s="3362"/>
      <c r="I41" s="3362"/>
      <c r="J41" s="3362"/>
      <c r="K41" s="3362"/>
      <c r="L41" s="3362"/>
      <c r="M41" s="3363"/>
      <c r="S41" s="730"/>
    </row>
    <row r="42" spans="1:19" ht="13.2" customHeight="1">
      <c r="A42" s="2035"/>
      <c r="B42" s="538"/>
      <c r="C42" s="2034">
        <v>2</v>
      </c>
      <c r="D42" s="2032"/>
      <c r="E42" s="2033"/>
      <c r="F42" s="3362"/>
      <c r="G42" s="3362"/>
      <c r="H42" s="3362"/>
      <c r="I42" s="3362"/>
      <c r="J42" s="3362"/>
      <c r="K42" s="3362"/>
      <c r="L42" s="3362"/>
      <c r="M42" s="3363"/>
      <c r="S42" s="730"/>
    </row>
    <row r="43" spans="1:19" ht="13.2" customHeight="1">
      <c r="A43" s="2035">
        <f>A30</f>
        <v>20</v>
      </c>
      <c r="B43" s="812" t="str">
        <f>IF('Part VI-Revenues &amp; Expenses'!$N$62=0,"",'Part VI-Revenues &amp; Expenses'!$N$62)</f>
        <v/>
      </c>
      <c r="C43" s="2031">
        <v>3</v>
      </c>
      <c r="D43" s="538"/>
      <c r="E43" s="538"/>
      <c r="F43" s="3360"/>
      <c r="G43" s="3361"/>
      <c r="H43" s="2031"/>
      <c r="I43" s="2031"/>
      <c r="J43" s="2031"/>
      <c r="K43" s="2031"/>
      <c r="L43" s="2031"/>
      <c r="M43" s="2031"/>
      <c r="S43" s="730"/>
    </row>
    <row r="44" spans="1:19" ht="13.2" customHeight="1">
      <c r="A44" s="2035"/>
      <c r="B44" s="538"/>
      <c r="C44" s="2034">
        <v>3</v>
      </c>
      <c r="D44" s="2032"/>
      <c r="E44" s="2033"/>
      <c r="F44" s="3362"/>
      <c r="G44" s="3362"/>
      <c r="H44" s="3362"/>
      <c r="I44" s="3362"/>
      <c r="J44" s="3362"/>
      <c r="K44" s="3362"/>
      <c r="L44" s="3362"/>
      <c r="M44" s="3363"/>
      <c r="S44" s="730"/>
    </row>
    <row r="45" spans="1:19" ht="13.2" customHeight="1">
      <c r="A45" s="2035"/>
      <c r="B45" s="538"/>
      <c r="C45" s="2034">
        <v>3</v>
      </c>
      <c r="D45" s="2032"/>
      <c r="E45" s="2033"/>
      <c r="F45" s="3362"/>
      <c r="G45" s="3362"/>
      <c r="H45" s="3362"/>
      <c r="I45" s="3362"/>
      <c r="J45" s="3362"/>
      <c r="K45" s="3362"/>
      <c r="L45" s="3362"/>
      <c r="M45" s="3363"/>
      <c r="S45" s="730"/>
    </row>
    <row r="46" spans="1:19" ht="13.2" customHeight="1">
      <c r="A46" s="2035"/>
      <c r="B46" s="538"/>
      <c r="C46" s="2034">
        <v>3</v>
      </c>
      <c r="D46" s="2032"/>
      <c r="E46" s="2033"/>
      <c r="F46" s="3362"/>
      <c r="G46" s="3362"/>
      <c r="H46" s="3362"/>
      <c r="I46" s="3362"/>
      <c r="J46" s="3362"/>
      <c r="K46" s="3362"/>
      <c r="L46" s="3362"/>
      <c r="M46" s="3363"/>
      <c r="S46" s="730"/>
    </row>
    <row r="47" spans="1:19" ht="13.2" customHeight="1">
      <c r="A47" s="2035"/>
      <c r="B47" s="538"/>
      <c r="C47" s="2034">
        <v>3</v>
      </c>
      <c r="D47" s="2032"/>
      <c r="E47" s="2033"/>
      <c r="F47" s="3362"/>
      <c r="G47" s="3362"/>
      <c r="H47" s="3362"/>
      <c r="I47" s="3362"/>
      <c r="J47" s="3362"/>
      <c r="K47" s="3362"/>
      <c r="L47" s="3362"/>
      <c r="M47" s="3363"/>
      <c r="S47" s="730"/>
    </row>
    <row r="48" spans="1:19" ht="13.2" customHeight="1">
      <c r="A48" s="2035">
        <f>A30</f>
        <v>20</v>
      </c>
      <c r="B48" s="812" t="str">
        <f>IF('Part VI-Revenues &amp; Expenses'!$O$62=0,"",'Part VI-Revenues &amp; Expenses'!$O$62)</f>
        <v/>
      </c>
      <c r="C48" s="2031">
        <v>4</v>
      </c>
      <c r="D48" s="538"/>
      <c r="E48" s="538"/>
      <c r="F48" s="3360"/>
      <c r="G48" s="3361"/>
      <c r="H48" s="2031"/>
      <c r="I48" s="2031"/>
      <c r="J48" s="2031"/>
      <c r="K48" s="2031"/>
      <c r="L48" s="2031"/>
      <c r="M48" s="2031"/>
      <c r="S48" s="730"/>
    </row>
    <row r="49" spans="1:19" ht="13.2" customHeight="1">
      <c r="A49" s="2039"/>
      <c r="B49" s="538"/>
      <c r="C49" s="2034">
        <v>4</v>
      </c>
      <c r="D49" s="2032"/>
      <c r="E49" s="2033"/>
      <c r="F49" s="3362"/>
      <c r="G49" s="3362"/>
      <c r="H49" s="3362"/>
      <c r="I49" s="3362"/>
      <c r="J49" s="3362"/>
      <c r="K49" s="3362"/>
      <c r="L49" s="3362"/>
      <c r="M49" s="3363"/>
      <c r="S49" s="730"/>
    </row>
    <row r="50" spans="1:19" ht="13.2" customHeight="1">
      <c r="A50" s="2036"/>
      <c r="C50" s="2034">
        <v>4</v>
      </c>
      <c r="D50" s="2032"/>
      <c r="E50" s="2033"/>
      <c r="F50" s="3362"/>
      <c r="G50" s="3362"/>
      <c r="H50" s="3362"/>
      <c r="I50" s="3362"/>
      <c r="J50" s="3362"/>
      <c r="K50" s="3362"/>
      <c r="L50" s="3362"/>
      <c r="M50" s="3363"/>
      <c r="S50" s="730"/>
    </row>
    <row r="51" spans="1:19" ht="13.2" customHeight="1">
      <c r="A51" s="2036"/>
      <c r="C51" s="2034">
        <v>4</v>
      </c>
      <c r="D51" s="2032"/>
      <c r="E51" s="2033"/>
      <c r="F51" s="3362"/>
      <c r="G51" s="3362"/>
      <c r="H51" s="3362"/>
      <c r="I51" s="3362"/>
      <c r="J51" s="3362"/>
      <c r="K51" s="3362"/>
      <c r="L51" s="3362"/>
      <c r="M51" s="3363"/>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0"/>
      <c r="G54" s="3361"/>
      <c r="H54" s="538"/>
      <c r="I54" s="737"/>
      <c r="J54" s="538"/>
      <c r="K54" s="538"/>
      <c r="L54" s="538"/>
      <c r="M54" s="538"/>
      <c r="S54" s="730"/>
    </row>
    <row r="55" spans="1:19" ht="13.2" customHeight="1">
      <c r="A55" s="2039"/>
      <c r="B55" s="538"/>
      <c r="C55" s="538" t="s">
        <v>551</v>
      </c>
      <c r="D55" s="2032"/>
      <c r="E55" s="2033"/>
      <c r="F55" s="3362"/>
      <c r="G55" s="3362"/>
      <c r="H55" s="3362"/>
      <c r="I55" s="3362"/>
      <c r="J55" s="3362"/>
      <c r="K55" s="3362"/>
      <c r="L55" s="3362"/>
      <c r="M55" s="3363"/>
      <c r="S55" s="730"/>
    </row>
    <row r="56" spans="1:19" ht="13.2" customHeight="1">
      <c r="A56" s="2039"/>
      <c r="B56" s="538"/>
      <c r="C56" s="538" t="s">
        <v>551</v>
      </c>
      <c r="D56" s="2032"/>
      <c r="E56" s="2033"/>
      <c r="F56" s="3362"/>
      <c r="G56" s="3362"/>
      <c r="H56" s="3362"/>
      <c r="I56" s="3362"/>
      <c r="J56" s="3362"/>
      <c r="K56" s="3362"/>
      <c r="L56" s="3362"/>
      <c r="M56" s="3363"/>
      <c r="S56" s="730"/>
    </row>
    <row r="57" spans="1:19" ht="13.2" customHeight="1">
      <c r="A57" s="2039"/>
      <c r="B57" s="538"/>
      <c r="C57" s="538" t="s">
        <v>551</v>
      </c>
      <c r="D57" s="2032"/>
      <c r="E57" s="2033"/>
      <c r="F57" s="3362"/>
      <c r="G57" s="3362"/>
      <c r="H57" s="3362"/>
      <c r="I57" s="3362"/>
      <c r="J57" s="3362"/>
      <c r="K57" s="3362"/>
      <c r="L57" s="3362"/>
      <c r="M57" s="3363"/>
      <c r="S57" s="730"/>
    </row>
    <row r="58" spans="1:19" ht="13.2" customHeight="1">
      <c r="A58" s="2035">
        <f>A54</f>
        <v>30</v>
      </c>
      <c r="B58" s="812" t="str">
        <f>IF('Part VI-Revenues &amp; Expenses'!$L$61=0,"",'Part VI-Revenues &amp; Expenses'!$L$61)</f>
        <v/>
      </c>
      <c r="C58" s="2031">
        <v>1</v>
      </c>
      <c r="D58" s="538"/>
      <c r="E58" s="538"/>
      <c r="F58" s="3360"/>
      <c r="G58" s="3361"/>
      <c r="H58" s="2031"/>
      <c r="I58" s="2031"/>
      <c r="J58" s="2031"/>
      <c r="K58" s="2031"/>
      <c r="L58" s="2031"/>
      <c r="M58" s="2031"/>
      <c r="S58" s="730"/>
    </row>
    <row r="59" spans="1:19" ht="13.2" customHeight="1">
      <c r="A59" s="2035"/>
      <c r="B59" s="538"/>
      <c r="C59" s="2034">
        <v>1</v>
      </c>
      <c r="D59" s="2032"/>
      <c r="E59" s="2033"/>
      <c r="F59" s="3362"/>
      <c r="G59" s="3362"/>
      <c r="H59" s="3362"/>
      <c r="I59" s="3362"/>
      <c r="J59" s="3362"/>
      <c r="K59" s="3362"/>
      <c r="L59" s="3362"/>
      <c r="M59" s="3363"/>
      <c r="S59" s="730"/>
    </row>
    <row r="60" spans="1:19" ht="13.2" customHeight="1">
      <c r="A60" s="2035"/>
      <c r="B60" s="538"/>
      <c r="C60" s="2034">
        <v>1</v>
      </c>
      <c r="D60" s="2032"/>
      <c r="E60" s="2033"/>
      <c r="F60" s="3362"/>
      <c r="G60" s="3362"/>
      <c r="H60" s="3362"/>
      <c r="I60" s="3362"/>
      <c r="J60" s="3362"/>
      <c r="K60" s="3362"/>
      <c r="L60" s="3362"/>
      <c r="M60" s="3363"/>
      <c r="S60" s="730"/>
    </row>
    <row r="61" spans="1:19" ht="13.2" customHeight="1">
      <c r="A61" s="2035"/>
      <c r="B61" s="538"/>
      <c r="C61" s="2034">
        <v>1</v>
      </c>
      <c r="D61" s="2032"/>
      <c r="E61" s="2033"/>
      <c r="F61" s="3362"/>
      <c r="G61" s="3362"/>
      <c r="H61" s="3362"/>
      <c r="I61" s="3362"/>
      <c r="J61" s="3362"/>
      <c r="K61" s="3362"/>
      <c r="L61" s="3362"/>
      <c r="M61" s="3363"/>
      <c r="S61" s="730"/>
    </row>
    <row r="62" spans="1:19" ht="13.2" customHeight="1">
      <c r="A62" s="2035">
        <f>A54</f>
        <v>30</v>
      </c>
      <c r="B62" s="812" t="str">
        <f>IF('Part VI-Revenues &amp; Expenses'!$M$61=0,"",'Part VI-Revenues &amp; Expenses'!$M$61)</f>
        <v/>
      </c>
      <c r="C62" s="2031">
        <v>2</v>
      </c>
      <c r="D62" s="538"/>
      <c r="E62" s="538"/>
      <c r="F62" s="3360"/>
      <c r="G62" s="3361"/>
      <c r="H62" s="2031"/>
      <c r="I62" s="2031"/>
      <c r="J62" s="2031"/>
      <c r="K62" s="2031"/>
      <c r="L62" s="2031"/>
      <c r="M62" s="2031"/>
      <c r="S62" s="730"/>
    </row>
    <row r="63" spans="1:19" ht="13.2" customHeight="1">
      <c r="A63" s="2035"/>
      <c r="B63" s="538"/>
      <c r="C63" s="2034">
        <v>2</v>
      </c>
      <c r="D63" s="2032"/>
      <c r="E63" s="2033"/>
      <c r="F63" s="3362"/>
      <c r="G63" s="3362"/>
      <c r="H63" s="3362"/>
      <c r="I63" s="3362"/>
      <c r="J63" s="3362"/>
      <c r="K63" s="3362"/>
      <c r="L63" s="3362"/>
      <c r="M63" s="3363"/>
      <c r="S63" s="730"/>
    </row>
    <row r="64" spans="1:19" ht="13.2" customHeight="1">
      <c r="A64" s="2035"/>
      <c r="B64" s="538"/>
      <c r="C64" s="2034">
        <v>2</v>
      </c>
      <c r="D64" s="2032"/>
      <c r="E64" s="2033"/>
      <c r="F64" s="3362"/>
      <c r="G64" s="3362"/>
      <c r="H64" s="3362"/>
      <c r="I64" s="3362"/>
      <c r="J64" s="3362"/>
      <c r="K64" s="3362"/>
      <c r="L64" s="3362"/>
      <c r="M64" s="3363"/>
      <c r="S64" s="730"/>
    </row>
    <row r="65" spans="1:19" ht="13.2" customHeight="1">
      <c r="A65" s="2035"/>
      <c r="B65" s="538"/>
      <c r="C65" s="2034">
        <v>2</v>
      </c>
      <c r="D65" s="2032"/>
      <c r="E65" s="2033"/>
      <c r="F65" s="3362"/>
      <c r="G65" s="3362"/>
      <c r="H65" s="3362"/>
      <c r="I65" s="3362"/>
      <c r="J65" s="3362"/>
      <c r="K65" s="3362"/>
      <c r="L65" s="3362"/>
      <c r="M65" s="3363"/>
      <c r="S65" s="730"/>
    </row>
    <row r="66" spans="1:19" ht="13.2" customHeight="1">
      <c r="A66" s="2035"/>
      <c r="B66" s="538"/>
      <c r="C66" s="2034">
        <v>2</v>
      </c>
      <c r="D66" s="2032"/>
      <c r="E66" s="2033"/>
      <c r="F66" s="3362"/>
      <c r="G66" s="3362"/>
      <c r="H66" s="3362"/>
      <c r="I66" s="3362"/>
      <c r="J66" s="3362"/>
      <c r="K66" s="3362"/>
      <c r="L66" s="3362"/>
      <c r="M66" s="3363"/>
      <c r="S66" s="730"/>
    </row>
    <row r="67" spans="1:19" ht="13.2" customHeight="1">
      <c r="A67" s="2035">
        <f>A54</f>
        <v>30</v>
      </c>
      <c r="B67" s="812" t="str">
        <f>IF('Part VI-Revenues &amp; Expenses'!$N$61=0,"",'Part VI-Revenues &amp; Expenses'!$N$61)</f>
        <v/>
      </c>
      <c r="C67" s="2031">
        <v>3</v>
      </c>
      <c r="D67" s="538"/>
      <c r="E67" s="538"/>
      <c r="F67" s="3360"/>
      <c r="G67" s="3361"/>
      <c r="H67" s="2031"/>
      <c r="I67" s="2031"/>
      <c r="J67" s="2031"/>
      <c r="K67" s="2031"/>
      <c r="L67" s="2031"/>
      <c r="M67" s="2031"/>
      <c r="S67" s="730"/>
    </row>
    <row r="68" spans="1:19" ht="13.2" customHeight="1">
      <c r="A68" s="2035"/>
      <c r="B68" s="538"/>
      <c r="C68" s="2034">
        <v>3</v>
      </c>
      <c r="D68" s="2032"/>
      <c r="E68" s="2033"/>
      <c r="F68" s="3362"/>
      <c r="G68" s="3362"/>
      <c r="H68" s="3362"/>
      <c r="I68" s="3362"/>
      <c r="J68" s="3362"/>
      <c r="K68" s="3362"/>
      <c r="L68" s="3362"/>
      <c r="M68" s="3363"/>
      <c r="S68" s="730"/>
    </row>
    <row r="69" spans="1:19" ht="13.2" customHeight="1">
      <c r="A69" s="2035"/>
      <c r="B69" s="538"/>
      <c r="C69" s="2034">
        <v>3</v>
      </c>
      <c r="D69" s="2032"/>
      <c r="E69" s="2033"/>
      <c r="F69" s="3362"/>
      <c r="G69" s="3362"/>
      <c r="H69" s="3362"/>
      <c r="I69" s="3362"/>
      <c r="J69" s="3362"/>
      <c r="K69" s="3362"/>
      <c r="L69" s="3362"/>
      <c r="M69" s="3363"/>
      <c r="S69" s="730"/>
    </row>
    <row r="70" spans="1:19" ht="13.2" customHeight="1">
      <c r="A70" s="2035"/>
      <c r="B70" s="538"/>
      <c r="C70" s="2034">
        <v>3</v>
      </c>
      <c r="D70" s="2032"/>
      <c r="E70" s="2033"/>
      <c r="F70" s="3362"/>
      <c r="G70" s="3362"/>
      <c r="H70" s="3362"/>
      <c r="I70" s="3362"/>
      <c r="J70" s="3362"/>
      <c r="K70" s="3362"/>
      <c r="L70" s="3362"/>
      <c r="M70" s="3363"/>
      <c r="S70" s="730"/>
    </row>
    <row r="71" spans="1:19" ht="13.2" customHeight="1">
      <c r="A71" s="2035"/>
      <c r="B71" s="538"/>
      <c r="C71" s="2034">
        <v>3</v>
      </c>
      <c r="D71" s="2032"/>
      <c r="E71" s="2033"/>
      <c r="F71" s="3362"/>
      <c r="G71" s="3362"/>
      <c r="H71" s="3362"/>
      <c r="I71" s="3362"/>
      <c r="J71" s="3362"/>
      <c r="K71" s="3362"/>
      <c r="L71" s="3362"/>
      <c r="M71" s="3363"/>
      <c r="S71" s="730"/>
    </row>
    <row r="72" spans="1:19" ht="13.2" customHeight="1">
      <c r="A72" s="2035">
        <f>A54</f>
        <v>30</v>
      </c>
      <c r="B72" s="812" t="str">
        <f>IF('Part VI-Revenues &amp; Expenses'!$O$61=0,"",'Part VI-Revenues &amp; Expenses'!$O$61)</f>
        <v/>
      </c>
      <c r="C72" s="2031">
        <v>4</v>
      </c>
      <c r="D72" s="538"/>
      <c r="E72" s="538"/>
      <c r="F72" s="3360"/>
      <c r="G72" s="3361"/>
      <c r="H72" s="2031"/>
      <c r="I72" s="2031"/>
      <c r="J72" s="2031"/>
      <c r="K72" s="2031"/>
      <c r="L72" s="2031"/>
      <c r="M72" s="2031"/>
      <c r="S72" s="730"/>
    </row>
    <row r="73" spans="1:19" ht="13.2" customHeight="1">
      <c r="A73" s="2039"/>
      <c r="B73" s="538"/>
      <c r="C73" s="2034">
        <v>4</v>
      </c>
      <c r="D73" s="2032"/>
      <c r="E73" s="2033"/>
      <c r="F73" s="3362"/>
      <c r="G73" s="3362"/>
      <c r="H73" s="3362"/>
      <c r="I73" s="3362"/>
      <c r="J73" s="3362"/>
      <c r="K73" s="3362"/>
      <c r="L73" s="3362"/>
      <c r="M73" s="3363"/>
      <c r="S73" s="730"/>
    </row>
    <row r="74" spans="1:19" ht="13.2" customHeight="1">
      <c r="A74" s="2036"/>
      <c r="C74" s="2034">
        <v>4</v>
      </c>
      <c r="D74" s="2032"/>
      <c r="E74" s="2033"/>
      <c r="F74" s="3362"/>
      <c r="G74" s="3362"/>
      <c r="H74" s="3362"/>
      <c r="I74" s="3362"/>
      <c r="J74" s="3362"/>
      <c r="K74" s="3362"/>
      <c r="L74" s="3362"/>
      <c r="M74" s="3363"/>
      <c r="S74" s="730"/>
    </row>
    <row r="75" spans="1:19" ht="13.2" customHeight="1">
      <c r="A75" s="2036"/>
      <c r="C75" s="2034">
        <v>4</v>
      </c>
      <c r="D75" s="2032"/>
      <c r="E75" s="2033"/>
      <c r="F75" s="3362"/>
      <c r="G75" s="3362"/>
      <c r="H75" s="3362"/>
      <c r="I75" s="3362"/>
      <c r="J75" s="3362"/>
      <c r="K75" s="3362"/>
      <c r="L75" s="3362"/>
      <c r="M75" s="3363"/>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0"/>
      <c r="G78" s="3361"/>
      <c r="H78" s="538"/>
      <c r="I78" s="737"/>
      <c r="J78" s="538"/>
      <c r="K78" s="538"/>
      <c r="L78" s="538"/>
      <c r="M78" s="538"/>
      <c r="S78" s="730"/>
    </row>
    <row r="79" spans="1:19" ht="13.2" customHeight="1">
      <c r="A79" s="2039"/>
      <c r="B79" s="538"/>
      <c r="C79" s="538" t="s">
        <v>551</v>
      </c>
      <c r="D79" s="2032"/>
      <c r="E79" s="2033"/>
      <c r="F79" s="3362"/>
      <c r="G79" s="3362"/>
      <c r="H79" s="3362"/>
      <c r="I79" s="3362"/>
      <c r="J79" s="3362"/>
      <c r="K79" s="3362"/>
      <c r="L79" s="3362"/>
      <c r="M79" s="3363"/>
      <c r="S79" s="730"/>
    </row>
    <row r="80" spans="1:19" ht="13.2" customHeight="1">
      <c r="A80" s="2039"/>
      <c r="B80" s="538"/>
      <c r="C80" s="538" t="s">
        <v>551</v>
      </c>
      <c r="D80" s="2032"/>
      <c r="E80" s="2033"/>
      <c r="F80" s="3362"/>
      <c r="G80" s="3362"/>
      <c r="H80" s="3362"/>
      <c r="I80" s="3362"/>
      <c r="J80" s="3362"/>
      <c r="K80" s="3362"/>
      <c r="L80" s="3362"/>
      <c r="M80" s="3363"/>
      <c r="S80" s="730"/>
    </row>
    <row r="81" spans="1:19" ht="13.2" customHeight="1">
      <c r="A81" s="2039"/>
      <c r="B81" s="538"/>
      <c r="C81" s="538" t="s">
        <v>551</v>
      </c>
      <c r="D81" s="2032"/>
      <c r="E81" s="2033"/>
      <c r="F81" s="3362"/>
      <c r="G81" s="3362"/>
      <c r="H81" s="3362"/>
      <c r="I81" s="3362"/>
      <c r="J81" s="3362"/>
      <c r="K81" s="3362"/>
      <c r="L81" s="3362"/>
      <c r="M81" s="3363"/>
      <c r="S81" s="730"/>
    </row>
    <row r="82" spans="1:19" ht="13.2" customHeight="1">
      <c r="A82" s="2035">
        <f>A78</f>
        <v>40</v>
      </c>
      <c r="B82" s="812" t="str">
        <f>IF('Part VI-Revenues &amp; Expenses'!$L$60=0,"",'Part VI-Revenues &amp; Expenses'!$L$60)</f>
        <v/>
      </c>
      <c r="C82" s="2031">
        <v>1</v>
      </c>
      <c r="D82" s="538"/>
      <c r="E82" s="538"/>
      <c r="F82" s="3360"/>
      <c r="G82" s="3361"/>
      <c r="H82" s="2031"/>
      <c r="I82" s="2031"/>
      <c r="J82" s="2031"/>
      <c r="K82" s="2031"/>
      <c r="L82" s="2031"/>
      <c r="M82" s="2031"/>
      <c r="S82" s="730"/>
    </row>
    <row r="83" spans="1:19" ht="13.2" customHeight="1">
      <c r="A83" s="2035"/>
      <c r="B83" s="538"/>
      <c r="C83" s="2034">
        <v>1</v>
      </c>
      <c r="D83" s="2032"/>
      <c r="E83" s="2033"/>
      <c r="F83" s="3362"/>
      <c r="G83" s="3362"/>
      <c r="H83" s="3362"/>
      <c r="I83" s="3362"/>
      <c r="J83" s="3362"/>
      <c r="K83" s="3362"/>
      <c r="L83" s="3362"/>
      <c r="M83" s="3363"/>
      <c r="S83" s="730"/>
    </row>
    <row r="84" spans="1:19" ht="13.2" customHeight="1">
      <c r="A84" s="2035"/>
      <c r="B84" s="538"/>
      <c r="C84" s="2034">
        <v>1</v>
      </c>
      <c r="D84" s="2032"/>
      <c r="E84" s="2033"/>
      <c r="F84" s="3362"/>
      <c r="G84" s="3362"/>
      <c r="H84" s="3362"/>
      <c r="I84" s="3362"/>
      <c r="J84" s="3362"/>
      <c r="K84" s="3362"/>
      <c r="L84" s="3362"/>
      <c r="M84" s="3363"/>
      <c r="S84" s="730"/>
    </row>
    <row r="85" spans="1:19" ht="13.2" customHeight="1">
      <c r="A85" s="2035"/>
      <c r="B85" s="538"/>
      <c r="C85" s="2034">
        <v>1</v>
      </c>
      <c r="D85" s="2032"/>
      <c r="E85" s="2033"/>
      <c r="F85" s="3362"/>
      <c r="G85" s="3362"/>
      <c r="H85" s="3362"/>
      <c r="I85" s="3362"/>
      <c r="J85" s="3362"/>
      <c r="K85" s="3362"/>
      <c r="L85" s="3362"/>
      <c r="M85" s="3363"/>
      <c r="S85" s="730"/>
    </row>
    <row r="86" spans="1:19" ht="13.2" customHeight="1">
      <c r="A86" s="2035">
        <f>A78</f>
        <v>40</v>
      </c>
      <c r="B86" s="812" t="str">
        <f>IF('Part VI-Revenues &amp; Expenses'!$M$60=0,"",'Part VI-Revenues &amp; Expenses'!$M$60)</f>
        <v/>
      </c>
      <c r="C86" s="2031">
        <v>2</v>
      </c>
      <c r="D86" s="538"/>
      <c r="E86" s="538"/>
      <c r="F86" s="3360"/>
      <c r="G86" s="3361"/>
      <c r="H86" s="2031"/>
      <c r="I86" s="2031"/>
      <c r="J86" s="2031"/>
      <c r="K86" s="2031"/>
      <c r="L86" s="2031"/>
      <c r="M86" s="2031"/>
      <c r="S86" s="730"/>
    </row>
    <row r="87" spans="1:19" ht="13.2" customHeight="1">
      <c r="A87" s="2035"/>
      <c r="B87" s="538"/>
      <c r="C87" s="2034">
        <v>2</v>
      </c>
      <c r="D87" s="2032"/>
      <c r="E87" s="2033"/>
      <c r="F87" s="3362"/>
      <c r="G87" s="3362"/>
      <c r="H87" s="3362"/>
      <c r="I87" s="3362"/>
      <c r="J87" s="3362"/>
      <c r="K87" s="3362"/>
      <c r="L87" s="3362"/>
      <c r="M87" s="3363"/>
      <c r="S87" s="730"/>
    </row>
    <row r="88" spans="1:19" ht="13.2" customHeight="1">
      <c r="A88" s="2035"/>
      <c r="B88" s="538"/>
      <c r="C88" s="2034">
        <v>2</v>
      </c>
      <c r="D88" s="2032"/>
      <c r="E88" s="2033"/>
      <c r="F88" s="3362"/>
      <c r="G88" s="3362"/>
      <c r="H88" s="3362"/>
      <c r="I88" s="3362"/>
      <c r="J88" s="3362"/>
      <c r="K88" s="3362"/>
      <c r="L88" s="3362"/>
      <c r="M88" s="3363"/>
      <c r="S88" s="730"/>
    </row>
    <row r="89" spans="1:19" ht="13.2" customHeight="1">
      <c r="A89" s="2035"/>
      <c r="B89" s="538"/>
      <c r="C89" s="2034">
        <v>2</v>
      </c>
      <c r="D89" s="2032"/>
      <c r="E89" s="2033"/>
      <c r="F89" s="3362"/>
      <c r="G89" s="3362"/>
      <c r="H89" s="3362"/>
      <c r="I89" s="3362"/>
      <c r="J89" s="3362"/>
      <c r="K89" s="3362"/>
      <c r="L89" s="3362"/>
      <c r="M89" s="3363"/>
      <c r="S89" s="730"/>
    </row>
    <row r="90" spans="1:19" ht="13.2" customHeight="1">
      <c r="A90" s="2035"/>
      <c r="B90" s="538"/>
      <c r="C90" s="2034">
        <v>2</v>
      </c>
      <c r="D90" s="2032"/>
      <c r="E90" s="2033"/>
      <c r="F90" s="3362"/>
      <c r="G90" s="3362"/>
      <c r="H90" s="3362"/>
      <c r="I90" s="3362"/>
      <c r="J90" s="3362"/>
      <c r="K90" s="3362"/>
      <c r="L90" s="3362"/>
      <c r="M90" s="3363"/>
      <c r="S90" s="730"/>
    </row>
    <row r="91" spans="1:19" ht="13.2" customHeight="1">
      <c r="A91" s="2035">
        <f>A78</f>
        <v>40</v>
      </c>
      <c r="B91" s="812" t="str">
        <f>IF('Part VI-Revenues &amp; Expenses'!$N$60=0,"",'Part VI-Revenues &amp; Expenses'!$N$60)</f>
        <v/>
      </c>
      <c r="C91" s="2031">
        <v>3</v>
      </c>
      <c r="D91" s="538"/>
      <c r="E91" s="538"/>
      <c r="F91" s="3360"/>
      <c r="G91" s="3361"/>
      <c r="H91" s="2031"/>
      <c r="I91" s="2031"/>
      <c r="J91" s="2031"/>
      <c r="K91" s="2031"/>
      <c r="L91" s="2031"/>
      <c r="M91" s="2031"/>
      <c r="S91" s="730"/>
    </row>
    <row r="92" spans="1:19" ht="13.2" customHeight="1">
      <c r="A92" s="2035"/>
      <c r="B92" s="538"/>
      <c r="C92" s="2034">
        <v>3</v>
      </c>
      <c r="D92" s="2032"/>
      <c r="E92" s="2033"/>
      <c r="F92" s="3362"/>
      <c r="G92" s="3362"/>
      <c r="H92" s="3362"/>
      <c r="I92" s="3362"/>
      <c r="J92" s="3362"/>
      <c r="K92" s="3362"/>
      <c r="L92" s="3362"/>
      <c r="M92" s="3363"/>
      <c r="S92" s="730"/>
    </row>
    <row r="93" spans="1:19" ht="13.2" customHeight="1">
      <c r="A93" s="2035"/>
      <c r="B93" s="538"/>
      <c r="C93" s="2034">
        <v>3</v>
      </c>
      <c r="D93" s="2032"/>
      <c r="E93" s="2033"/>
      <c r="F93" s="3362"/>
      <c r="G93" s="3362"/>
      <c r="H93" s="3362"/>
      <c r="I93" s="3362"/>
      <c r="J93" s="3362"/>
      <c r="K93" s="3362"/>
      <c r="L93" s="3362"/>
      <c r="M93" s="3363"/>
      <c r="S93" s="730"/>
    </row>
    <row r="94" spans="1:19" ht="13.2" customHeight="1">
      <c r="A94" s="2035"/>
      <c r="B94" s="538"/>
      <c r="C94" s="2034">
        <v>3</v>
      </c>
      <c r="D94" s="2032"/>
      <c r="E94" s="2033"/>
      <c r="F94" s="3362"/>
      <c r="G94" s="3362"/>
      <c r="H94" s="3362"/>
      <c r="I94" s="3362"/>
      <c r="J94" s="3362"/>
      <c r="K94" s="3362"/>
      <c r="L94" s="3362"/>
      <c r="M94" s="3363"/>
      <c r="S94" s="730"/>
    </row>
    <row r="95" spans="1:19" ht="13.2" customHeight="1">
      <c r="A95" s="2035"/>
      <c r="B95" s="538"/>
      <c r="C95" s="2034">
        <v>3</v>
      </c>
      <c r="D95" s="2032"/>
      <c r="E95" s="2033"/>
      <c r="F95" s="3362"/>
      <c r="G95" s="3362"/>
      <c r="H95" s="3362"/>
      <c r="I95" s="3362"/>
      <c r="J95" s="3362"/>
      <c r="K95" s="3362"/>
      <c r="L95" s="3362"/>
      <c r="M95" s="3363"/>
      <c r="S95" s="730"/>
    </row>
    <row r="96" spans="1:19" ht="13.2" customHeight="1">
      <c r="A96" s="2035">
        <f>A78</f>
        <v>40</v>
      </c>
      <c r="B96" s="812" t="str">
        <f>IF('Part VI-Revenues &amp; Expenses'!$O$60=0,"",'Part VI-Revenues &amp; Expenses'!$O$60)</f>
        <v/>
      </c>
      <c r="C96" s="2031">
        <v>4</v>
      </c>
      <c r="D96" s="538"/>
      <c r="E96" s="538"/>
      <c r="F96" s="3360"/>
      <c r="G96" s="3361"/>
      <c r="H96" s="2031"/>
      <c r="I96" s="2031"/>
      <c r="J96" s="2031"/>
      <c r="K96" s="2031"/>
      <c r="L96" s="2031"/>
      <c r="M96" s="2031"/>
      <c r="S96" s="730"/>
    </row>
    <row r="97" spans="1:19" ht="13.2" customHeight="1">
      <c r="A97" s="2039"/>
      <c r="B97" s="538"/>
      <c r="C97" s="2034">
        <v>4</v>
      </c>
      <c r="D97" s="2032"/>
      <c r="E97" s="2033"/>
      <c r="F97" s="3362"/>
      <c r="G97" s="3362"/>
      <c r="H97" s="3362"/>
      <c r="I97" s="3362"/>
      <c r="J97" s="3362"/>
      <c r="K97" s="3362"/>
      <c r="L97" s="3362"/>
      <c r="M97" s="3363"/>
      <c r="S97" s="730"/>
    </row>
    <row r="98" spans="1:19" ht="13.2" customHeight="1">
      <c r="A98" s="2036"/>
      <c r="C98" s="2034">
        <v>4</v>
      </c>
      <c r="D98" s="2032"/>
      <c r="E98" s="2033"/>
      <c r="F98" s="3362"/>
      <c r="G98" s="3362"/>
      <c r="H98" s="3362"/>
      <c r="I98" s="3362"/>
      <c r="J98" s="3362"/>
      <c r="K98" s="3362"/>
      <c r="L98" s="3362"/>
      <c r="M98" s="3363"/>
      <c r="S98" s="730"/>
    </row>
    <row r="99" spans="1:19" ht="13.2" customHeight="1">
      <c r="A99" s="2036"/>
      <c r="C99" s="2034">
        <v>4</v>
      </c>
      <c r="D99" s="2032"/>
      <c r="E99" s="2033"/>
      <c r="F99" s="3362"/>
      <c r="G99" s="3362"/>
      <c r="H99" s="3362"/>
      <c r="I99" s="3362"/>
      <c r="J99" s="3362"/>
      <c r="K99" s="3362"/>
      <c r="L99" s="3362"/>
      <c r="M99" s="3363"/>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f>IF('Part VI-Revenues &amp; Expenses'!$K$59=0,"",'Part VI-Revenues &amp; Expenses'!$K$59)</f>
        <v>11</v>
      </c>
      <c r="C102" s="748" t="s">
        <v>551</v>
      </c>
      <c r="D102" s="538"/>
      <c r="E102" s="538"/>
      <c r="F102" s="3360"/>
      <c r="G102" s="3361"/>
      <c r="H102" s="538"/>
      <c r="I102" s="737"/>
      <c r="J102" s="538"/>
      <c r="K102" s="538"/>
      <c r="L102" s="538"/>
      <c r="M102" s="538"/>
      <c r="S102" s="730"/>
    </row>
    <row r="103" spans="1:19" ht="13.2" customHeight="1">
      <c r="A103" s="2039"/>
      <c r="B103" s="538"/>
      <c r="C103" s="538" t="s">
        <v>551</v>
      </c>
      <c r="D103" s="2032"/>
      <c r="E103" s="2033"/>
      <c r="F103" s="3362"/>
      <c r="G103" s="3362"/>
      <c r="H103" s="3362"/>
      <c r="I103" s="3362"/>
      <c r="J103" s="3362"/>
      <c r="K103" s="3362"/>
      <c r="L103" s="3362"/>
      <c r="M103" s="3363"/>
      <c r="S103" s="730"/>
    </row>
    <row r="104" spans="1:19" ht="13.2" customHeight="1">
      <c r="A104" s="2039"/>
      <c r="B104" s="538"/>
      <c r="C104" s="538" t="s">
        <v>551</v>
      </c>
      <c r="D104" s="2032"/>
      <c r="E104" s="2033"/>
      <c r="F104" s="3362"/>
      <c r="G104" s="3362"/>
      <c r="H104" s="3362"/>
      <c r="I104" s="3362"/>
      <c r="J104" s="3362"/>
      <c r="K104" s="3362"/>
      <c r="L104" s="3362"/>
      <c r="M104" s="3363"/>
      <c r="S104" s="730"/>
    </row>
    <row r="105" spans="1:19" ht="13.2" customHeight="1">
      <c r="A105" s="2039"/>
      <c r="B105" s="538"/>
      <c r="C105" s="538" t="s">
        <v>551</v>
      </c>
      <c r="D105" s="2032"/>
      <c r="E105" s="2033"/>
      <c r="F105" s="3362"/>
      <c r="G105" s="3362"/>
      <c r="H105" s="3362"/>
      <c r="I105" s="3362"/>
      <c r="J105" s="3362"/>
      <c r="K105" s="3362"/>
      <c r="L105" s="3362"/>
      <c r="M105" s="3363"/>
      <c r="S105" s="730"/>
    </row>
    <row r="106" spans="1:19" ht="13.2" customHeight="1">
      <c r="A106" s="2035">
        <f>A102</f>
        <v>50</v>
      </c>
      <c r="B106" s="812">
        <f>IF('Part VI-Revenues &amp; Expenses'!$L$59=0,"",'Part VI-Revenues &amp; Expenses'!$L$59)</f>
        <v>11</v>
      </c>
      <c r="C106" s="2031">
        <v>1</v>
      </c>
      <c r="D106" s="538"/>
      <c r="E106" s="538"/>
      <c r="F106" s="3360"/>
      <c r="G106" s="3361"/>
      <c r="H106" s="2031"/>
      <c r="I106" s="2031"/>
      <c r="J106" s="2031"/>
      <c r="K106" s="2031"/>
      <c r="L106" s="2031"/>
      <c r="M106" s="2031"/>
      <c r="S106" s="730"/>
    </row>
    <row r="107" spans="1:19" ht="13.2" customHeight="1">
      <c r="A107" s="2035"/>
      <c r="B107" s="538"/>
      <c r="C107" s="2034">
        <v>1</v>
      </c>
      <c r="D107" s="2032"/>
      <c r="E107" s="2033"/>
      <c r="F107" s="3362"/>
      <c r="G107" s="3362"/>
      <c r="H107" s="3362"/>
      <c r="I107" s="3362"/>
      <c r="J107" s="3362"/>
      <c r="K107" s="3362"/>
      <c r="L107" s="3362"/>
      <c r="M107" s="3363"/>
      <c r="S107" s="730"/>
    </row>
    <row r="108" spans="1:19" ht="13.2" customHeight="1">
      <c r="A108" s="2035"/>
      <c r="B108" s="538"/>
      <c r="C108" s="2034">
        <v>1</v>
      </c>
      <c r="D108" s="2032"/>
      <c r="E108" s="2033"/>
      <c r="F108" s="3362"/>
      <c r="G108" s="3362"/>
      <c r="H108" s="3362"/>
      <c r="I108" s="3362"/>
      <c r="J108" s="3362"/>
      <c r="K108" s="3362"/>
      <c r="L108" s="3362"/>
      <c r="M108" s="3363"/>
      <c r="S108" s="730"/>
    </row>
    <row r="109" spans="1:19" ht="13.2" customHeight="1">
      <c r="A109" s="2035"/>
      <c r="B109" s="538"/>
      <c r="C109" s="2034">
        <v>1</v>
      </c>
      <c r="D109" s="2032"/>
      <c r="E109" s="2033"/>
      <c r="F109" s="3362"/>
      <c r="G109" s="3362"/>
      <c r="H109" s="3362"/>
      <c r="I109" s="3362"/>
      <c r="J109" s="3362"/>
      <c r="K109" s="3362"/>
      <c r="L109" s="3362"/>
      <c r="M109" s="3363"/>
      <c r="S109" s="730"/>
    </row>
    <row r="110" spans="1:19" ht="13.2" customHeight="1">
      <c r="A110" s="2035">
        <f>A102</f>
        <v>50</v>
      </c>
      <c r="B110" s="812">
        <f>IF('Part VI-Revenues &amp; Expenses'!$M$59=0,"",'Part VI-Revenues &amp; Expenses'!$M$59)</f>
        <v>3</v>
      </c>
      <c r="C110" s="2031">
        <v>2</v>
      </c>
      <c r="D110" s="538"/>
      <c r="E110" s="538"/>
      <c r="F110" s="3360"/>
      <c r="G110" s="3361"/>
      <c r="H110" s="2031"/>
      <c r="I110" s="2031"/>
      <c r="J110" s="2031"/>
      <c r="K110" s="2031"/>
      <c r="L110" s="2031"/>
      <c r="M110" s="2031"/>
      <c r="S110" s="730"/>
    </row>
    <row r="111" spans="1:19" ht="13.2" customHeight="1">
      <c r="A111" s="2035"/>
      <c r="B111" s="538"/>
      <c r="C111" s="2034">
        <v>2</v>
      </c>
      <c r="D111" s="2032"/>
      <c r="E111" s="2033"/>
      <c r="F111" s="3362"/>
      <c r="G111" s="3362"/>
      <c r="H111" s="3362"/>
      <c r="I111" s="3362"/>
      <c r="J111" s="3362"/>
      <c r="K111" s="3362"/>
      <c r="L111" s="3362"/>
      <c r="M111" s="3363"/>
      <c r="S111" s="730"/>
    </row>
    <row r="112" spans="1:19" ht="13.2" customHeight="1">
      <c r="A112" s="2035"/>
      <c r="B112" s="538"/>
      <c r="C112" s="2034">
        <v>2</v>
      </c>
      <c r="D112" s="2032"/>
      <c r="E112" s="2033"/>
      <c r="F112" s="3362"/>
      <c r="G112" s="3362"/>
      <c r="H112" s="3362"/>
      <c r="I112" s="3362"/>
      <c r="J112" s="3362"/>
      <c r="K112" s="3362"/>
      <c r="L112" s="3362"/>
      <c r="M112" s="3363"/>
      <c r="S112" s="730"/>
    </row>
    <row r="113" spans="1:19" ht="13.2" customHeight="1">
      <c r="A113" s="2035"/>
      <c r="B113" s="538"/>
      <c r="C113" s="2034">
        <v>2</v>
      </c>
      <c r="D113" s="2032"/>
      <c r="E113" s="2033"/>
      <c r="F113" s="3362"/>
      <c r="G113" s="3362"/>
      <c r="H113" s="3362"/>
      <c r="I113" s="3362"/>
      <c r="J113" s="3362"/>
      <c r="K113" s="3362"/>
      <c r="L113" s="3362"/>
      <c r="M113" s="3363"/>
      <c r="S113" s="730"/>
    </row>
    <row r="114" spans="1:19" ht="13.2" customHeight="1">
      <c r="A114" s="2035"/>
      <c r="B114" s="538"/>
      <c r="C114" s="2034">
        <v>2</v>
      </c>
      <c r="D114" s="2032"/>
      <c r="E114" s="2033"/>
      <c r="F114" s="3362"/>
      <c r="G114" s="3362"/>
      <c r="H114" s="3362"/>
      <c r="I114" s="3362"/>
      <c r="J114" s="3362"/>
      <c r="K114" s="3362"/>
      <c r="L114" s="3362"/>
      <c r="M114" s="3363"/>
      <c r="S114" s="730"/>
    </row>
    <row r="115" spans="1:19" ht="13.2" customHeight="1">
      <c r="A115" s="2035">
        <f>A102</f>
        <v>50</v>
      </c>
      <c r="B115" s="812" t="str">
        <f>IF('Part VI-Revenues &amp; Expenses'!$N$59=0,"",'Part VI-Revenues &amp; Expenses'!$N$59)</f>
        <v/>
      </c>
      <c r="C115" s="2031">
        <v>3</v>
      </c>
      <c r="D115" s="538"/>
      <c r="E115" s="538"/>
      <c r="F115" s="3360"/>
      <c r="G115" s="3361"/>
      <c r="H115" s="2031"/>
      <c r="I115" s="2031"/>
      <c r="J115" s="2031"/>
      <c r="K115" s="2031"/>
      <c r="L115" s="2031"/>
      <c r="M115" s="2031"/>
      <c r="S115" s="730"/>
    </row>
    <row r="116" spans="1:19" ht="13.2" customHeight="1">
      <c r="A116" s="2035"/>
      <c r="B116" s="538"/>
      <c r="C116" s="2034">
        <v>3</v>
      </c>
      <c r="D116" s="2032"/>
      <c r="E116" s="2033"/>
      <c r="F116" s="3362"/>
      <c r="G116" s="3362"/>
      <c r="H116" s="3362"/>
      <c r="I116" s="3362"/>
      <c r="J116" s="3362"/>
      <c r="K116" s="3362"/>
      <c r="L116" s="3362"/>
      <c r="M116" s="3363"/>
      <c r="S116" s="730"/>
    </row>
    <row r="117" spans="1:19" ht="13.2" customHeight="1">
      <c r="A117" s="2035"/>
      <c r="B117" s="538"/>
      <c r="C117" s="2034">
        <v>3</v>
      </c>
      <c r="D117" s="2032"/>
      <c r="E117" s="2033"/>
      <c r="F117" s="3362"/>
      <c r="G117" s="3362"/>
      <c r="H117" s="3362"/>
      <c r="I117" s="3362"/>
      <c r="J117" s="3362"/>
      <c r="K117" s="3362"/>
      <c r="L117" s="3362"/>
      <c r="M117" s="3363"/>
      <c r="S117" s="730"/>
    </row>
    <row r="118" spans="1:19" ht="13.2" customHeight="1">
      <c r="A118" s="2035"/>
      <c r="B118" s="538"/>
      <c r="C118" s="2034">
        <v>3</v>
      </c>
      <c r="D118" s="2032"/>
      <c r="E118" s="2033"/>
      <c r="F118" s="3362"/>
      <c r="G118" s="3362"/>
      <c r="H118" s="3362"/>
      <c r="I118" s="3362"/>
      <c r="J118" s="3362"/>
      <c r="K118" s="3362"/>
      <c r="L118" s="3362"/>
      <c r="M118" s="3363"/>
      <c r="S118" s="730"/>
    </row>
    <row r="119" spans="1:19" ht="13.2" customHeight="1">
      <c r="A119" s="2035"/>
      <c r="B119" s="538"/>
      <c r="C119" s="2034">
        <v>3</v>
      </c>
      <c r="D119" s="2032"/>
      <c r="E119" s="2033"/>
      <c r="F119" s="3362"/>
      <c r="G119" s="3362"/>
      <c r="H119" s="3362"/>
      <c r="I119" s="3362"/>
      <c r="J119" s="3362"/>
      <c r="K119" s="3362"/>
      <c r="L119" s="3362"/>
      <c r="M119" s="3363"/>
      <c r="S119" s="730"/>
    </row>
    <row r="120" spans="1:19" ht="13.2" customHeight="1">
      <c r="A120" s="2035">
        <f>A102</f>
        <v>50</v>
      </c>
      <c r="B120" s="812" t="str">
        <f>IF('Part VI-Revenues &amp; Expenses'!$O$59=0,"",'Part VI-Revenues &amp; Expenses'!$O$59)</f>
        <v/>
      </c>
      <c r="C120" s="2031">
        <v>4</v>
      </c>
      <c r="D120" s="538"/>
      <c r="E120" s="538"/>
      <c r="F120" s="3360"/>
      <c r="G120" s="3361"/>
      <c r="H120" s="2031"/>
      <c r="I120" s="2031"/>
      <c r="J120" s="2031"/>
      <c r="K120" s="2031"/>
      <c r="L120" s="2031"/>
      <c r="M120" s="2031"/>
      <c r="S120" s="730"/>
    </row>
    <row r="121" spans="1:19" ht="13.2" customHeight="1">
      <c r="A121" s="2039"/>
      <c r="B121" s="538"/>
      <c r="C121" s="2034">
        <v>4</v>
      </c>
      <c r="D121" s="2032"/>
      <c r="E121" s="2033"/>
      <c r="F121" s="3362"/>
      <c r="G121" s="3362"/>
      <c r="H121" s="3362"/>
      <c r="I121" s="3362"/>
      <c r="J121" s="3362"/>
      <c r="K121" s="3362"/>
      <c r="L121" s="3362"/>
      <c r="M121" s="3363"/>
      <c r="S121" s="730"/>
    </row>
    <row r="122" spans="1:19" ht="13.2" customHeight="1">
      <c r="A122" s="2036"/>
      <c r="C122" s="2034">
        <v>4</v>
      </c>
      <c r="D122" s="2032"/>
      <c r="E122" s="2033"/>
      <c r="F122" s="3362"/>
      <c r="G122" s="3362"/>
      <c r="H122" s="3362"/>
      <c r="I122" s="3362"/>
      <c r="J122" s="3362"/>
      <c r="K122" s="3362"/>
      <c r="L122" s="3362"/>
      <c r="M122" s="3363"/>
      <c r="S122" s="730"/>
    </row>
    <row r="123" spans="1:19" ht="13.2" customHeight="1">
      <c r="A123" s="2036"/>
      <c r="C123" s="2034">
        <v>4</v>
      </c>
      <c r="D123" s="2032"/>
      <c r="E123" s="2033"/>
      <c r="F123" s="3362"/>
      <c r="G123" s="3362"/>
      <c r="H123" s="3362"/>
      <c r="I123" s="3362"/>
      <c r="J123" s="3362"/>
      <c r="K123" s="3362"/>
      <c r="L123" s="3362"/>
      <c r="M123" s="3363"/>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f>IF('Part VI-Revenues &amp; Expenses'!$K$58=0,"",'Part VI-Revenues &amp; Expenses'!$K$58)</f>
        <v>9</v>
      </c>
      <c r="C126" s="748" t="s">
        <v>551</v>
      </c>
      <c r="D126" s="538"/>
      <c r="E126" s="538"/>
      <c r="F126" s="3360"/>
      <c r="G126" s="3361"/>
      <c r="H126" s="538"/>
      <c r="I126" s="737"/>
      <c r="J126" s="538"/>
      <c r="K126" s="538"/>
      <c r="L126" s="538"/>
      <c r="M126" s="538"/>
      <c r="S126" s="730"/>
    </row>
    <row r="127" spans="1:19" ht="13.2" customHeight="1">
      <c r="A127" s="2039"/>
      <c r="B127" s="538"/>
      <c r="C127" s="538" t="s">
        <v>551</v>
      </c>
      <c r="D127" s="2032"/>
      <c r="E127" s="2033"/>
      <c r="F127" s="3362"/>
      <c r="G127" s="3362"/>
      <c r="H127" s="3362"/>
      <c r="I127" s="3362"/>
      <c r="J127" s="3362"/>
      <c r="K127" s="3362"/>
      <c r="L127" s="3362"/>
      <c r="M127" s="3363"/>
      <c r="S127" s="730"/>
    </row>
    <row r="128" spans="1:19" ht="13.2" customHeight="1">
      <c r="A128" s="2039"/>
      <c r="B128" s="538"/>
      <c r="C128" s="538" t="s">
        <v>551</v>
      </c>
      <c r="D128" s="2032"/>
      <c r="E128" s="2033"/>
      <c r="F128" s="3362"/>
      <c r="G128" s="3362"/>
      <c r="H128" s="3362"/>
      <c r="I128" s="3362"/>
      <c r="J128" s="3362"/>
      <c r="K128" s="3362"/>
      <c r="L128" s="3362"/>
      <c r="M128" s="3363"/>
      <c r="S128" s="730"/>
    </row>
    <row r="129" spans="1:19" ht="13.2" customHeight="1">
      <c r="A129" s="2039"/>
      <c r="B129" s="538"/>
      <c r="C129" s="538" t="s">
        <v>551</v>
      </c>
      <c r="D129" s="2032"/>
      <c r="E129" s="2033"/>
      <c r="F129" s="3362"/>
      <c r="G129" s="3362"/>
      <c r="H129" s="3362"/>
      <c r="I129" s="3362"/>
      <c r="J129" s="3362"/>
      <c r="K129" s="3362"/>
      <c r="L129" s="3362"/>
      <c r="M129" s="3363"/>
      <c r="S129" s="730"/>
    </row>
    <row r="130" spans="1:19" ht="13.2" customHeight="1">
      <c r="A130" s="2035">
        <f>A126</f>
        <v>60</v>
      </c>
      <c r="B130" s="812">
        <f>IF('Part VI-Revenues &amp; Expenses'!$L$58=0,"",'Part VI-Revenues &amp; Expenses'!$L$58)</f>
        <v>9</v>
      </c>
      <c r="C130" s="2031">
        <v>1</v>
      </c>
      <c r="D130" s="538"/>
      <c r="E130" s="538"/>
      <c r="F130" s="3360"/>
      <c r="G130" s="3361"/>
      <c r="H130" s="2031"/>
      <c r="I130" s="2031"/>
      <c r="J130" s="2031"/>
      <c r="K130" s="2031"/>
      <c r="L130" s="2031"/>
      <c r="M130" s="2031"/>
      <c r="S130" s="730"/>
    </row>
    <row r="131" spans="1:19" ht="13.2" customHeight="1">
      <c r="A131" s="2035"/>
      <c r="B131" s="538"/>
      <c r="C131" s="2034">
        <v>1</v>
      </c>
      <c r="D131" s="2032"/>
      <c r="E131" s="2033"/>
      <c r="F131" s="3362"/>
      <c r="G131" s="3362"/>
      <c r="H131" s="3362"/>
      <c r="I131" s="3362"/>
      <c r="J131" s="3362"/>
      <c r="K131" s="3362"/>
      <c r="L131" s="3362"/>
      <c r="M131" s="3363"/>
      <c r="S131" s="730"/>
    </row>
    <row r="132" spans="1:19" ht="13.2" customHeight="1">
      <c r="A132" s="2035"/>
      <c r="B132" s="538"/>
      <c r="C132" s="2034">
        <v>1</v>
      </c>
      <c r="D132" s="2032"/>
      <c r="E132" s="2033"/>
      <c r="F132" s="3362"/>
      <c r="G132" s="3362"/>
      <c r="H132" s="3362"/>
      <c r="I132" s="3362"/>
      <c r="J132" s="3362"/>
      <c r="K132" s="3362"/>
      <c r="L132" s="3362"/>
      <c r="M132" s="3363"/>
      <c r="S132" s="730"/>
    </row>
    <row r="133" spans="1:19" ht="13.2" customHeight="1">
      <c r="A133" s="2035"/>
      <c r="B133" s="538"/>
      <c r="C133" s="2034">
        <v>1</v>
      </c>
      <c r="D133" s="2032"/>
      <c r="E133" s="2033"/>
      <c r="F133" s="3362"/>
      <c r="G133" s="3362"/>
      <c r="H133" s="3362"/>
      <c r="I133" s="3362"/>
      <c r="J133" s="3362"/>
      <c r="K133" s="3362"/>
      <c r="L133" s="3362"/>
      <c r="M133" s="3363"/>
      <c r="S133" s="730"/>
    </row>
    <row r="134" spans="1:19" ht="13.2" customHeight="1">
      <c r="A134" s="2035">
        <f>A126</f>
        <v>60</v>
      </c>
      <c r="B134" s="812">
        <f>IF('Part VI-Revenues &amp; Expenses'!$M$58=0,"",'Part VI-Revenues &amp; Expenses'!$M$58)</f>
        <v>2</v>
      </c>
      <c r="C134" s="2031">
        <v>2</v>
      </c>
      <c r="D134" s="538"/>
      <c r="E134" s="538"/>
      <c r="F134" s="3360"/>
      <c r="G134" s="3361"/>
      <c r="H134" s="2031"/>
      <c r="I134" s="2031"/>
      <c r="J134" s="2031"/>
      <c r="K134" s="2031"/>
      <c r="L134" s="2031"/>
      <c r="M134" s="2031"/>
      <c r="S134" s="730"/>
    </row>
    <row r="135" spans="1:19" ht="13.2" customHeight="1">
      <c r="A135" s="2035"/>
      <c r="B135" s="538"/>
      <c r="C135" s="2034">
        <v>2</v>
      </c>
      <c r="D135" s="2032"/>
      <c r="E135" s="2033"/>
      <c r="F135" s="3362"/>
      <c r="G135" s="3362"/>
      <c r="H135" s="3362"/>
      <c r="I135" s="3362"/>
      <c r="J135" s="3362"/>
      <c r="K135" s="3362"/>
      <c r="L135" s="3362"/>
      <c r="M135" s="3363"/>
      <c r="S135" s="730"/>
    </row>
    <row r="136" spans="1:19" ht="13.2" customHeight="1">
      <c r="A136" s="2035"/>
      <c r="B136" s="538"/>
      <c r="C136" s="2034">
        <v>2</v>
      </c>
      <c r="D136" s="2032"/>
      <c r="E136" s="2033"/>
      <c r="F136" s="3362"/>
      <c r="G136" s="3362"/>
      <c r="H136" s="3362"/>
      <c r="I136" s="3362"/>
      <c r="J136" s="3362"/>
      <c r="K136" s="3362"/>
      <c r="L136" s="3362"/>
      <c r="M136" s="3363"/>
      <c r="S136" s="730"/>
    </row>
    <row r="137" spans="1:19" ht="13.2" customHeight="1">
      <c r="A137" s="2035"/>
      <c r="B137" s="538"/>
      <c r="C137" s="2034">
        <v>2</v>
      </c>
      <c r="D137" s="2032"/>
      <c r="E137" s="2033"/>
      <c r="F137" s="3362"/>
      <c r="G137" s="3362"/>
      <c r="H137" s="3362"/>
      <c r="I137" s="3362"/>
      <c r="J137" s="3362"/>
      <c r="K137" s="3362"/>
      <c r="L137" s="3362"/>
      <c r="M137" s="3363"/>
      <c r="S137" s="730"/>
    </row>
    <row r="138" spans="1:19" ht="13.2" customHeight="1">
      <c r="A138" s="2035"/>
      <c r="B138" s="538"/>
      <c r="C138" s="2034">
        <v>2</v>
      </c>
      <c r="D138" s="2032"/>
      <c r="E138" s="2033"/>
      <c r="F138" s="3362"/>
      <c r="G138" s="3362"/>
      <c r="H138" s="3362"/>
      <c r="I138" s="3362"/>
      <c r="J138" s="3362"/>
      <c r="K138" s="3362"/>
      <c r="L138" s="3362"/>
      <c r="M138" s="3363"/>
      <c r="S138" s="730"/>
    </row>
    <row r="139" spans="1:19" ht="13.2" customHeight="1">
      <c r="A139" s="2035">
        <f>A126</f>
        <v>60</v>
      </c>
      <c r="B139" s="812" t="str">
        <f>IF('Part VI-Revenues &amp; Expenses'!$N$58=0,"",'Part VI-Revenues &amp; Expenses'!$N$58)</f>
        <v/>
      </c>
      <c r="C139" s="2031">
        <v>3</v>
      </c>
      <c r="D139" s="538"/>
      <c r="E139" s="538"/>
      <c r="F139" s="3360"/>
      <c r="G139" s="3361"/>
      <c r="H139" s="2031"/>
      <c r="I139" s="2031"/>
      <c r="J139" s="2031"/>
      <c r="K139" s="2031"/>
      <c r="L139" s="2031"/>
      <c r="M139" s="2031"/>
      <c r="S139" s="730"/>
    </row>
    <row r="140" spans="1:19" ht="13.2" customHeight="1">
      <c r="A140" s="2035"/>
      <c r="B140" s="538"/>
      <c r="C140" s="2034">
        <v>3</v>
      </c>
      <c r="D140" s="2032"/>
      <c r="E140" s="2033"/>
      <c r="F140" s="3362"/>
      <c r="G140" s="3362"/>
      <c r="H140" s="3362"/>
      <c r="I140" s="3362"/>
      <c r="J140" s="3362"/>
      <c r="K140" s="3362"/>
      <c r="L140" s="3362"/>
      <c r="M140" s="3363"/>
      <c r="S140" s="730"/>
    </row>
    <row r="141" spans="1:19" ht="13.2" customHeight="1">
      <c r="A141" s="2035"/>
      <c r="B141" s="538"/>
      <c r="C141" s="2034">
        <v>3</v>
      </c>
      <c r="D141" s="2032"/>
      <c r="E141" s="2033"/>
      <c r="F141" s="3362"/>
      <c r="G141" s="3362"/>
      <c r="H141" s="3362"/>
      <c r="I141" s="3362"/>
      <c r="J141" s="3362"/>
      <c r="K141" s="3362"/>
      <c r="L141" s="3362"/>
      <c r="M141" s="3363"/>
      <c r="S141" s="730"/>
    </row>
    <row r="142" spans="1:19" ht="13.2" customHeight="1">
      <c r="A142" s="2035"/>
      <c r="B142" s="538"/>
      <c r="C142" s="2034">
        <v>3</v>
      </c>
      <c r="D142" s="2032"/>
      <c r="E142" s="2033"/>
      <c r="F142" s="3362"/>
      <c r="G142" s="3362"/>
      <c r="H142" s="3362"/>
      <c r="I142" s="3362"/>
      <c r="J142" s="3362"/>
      <c r="K142" s="3362"/>
      <c r="L142" s="3362"/>
      <c r="M142" s="3363"/>
      <c r="S142" s="730"/>
    </row>
    <row r="143" spans="1:19" ht="13.2" customHeight="1">
      <c r="A143" s="2035"/>
      <c r="B143" s="538"/>
      <c r="C143" s="2034">
        <v>3</v>
      </c>
      <c r="D143" s="2032"/>
      <c r="E143" s="2033"/>
      <c r="F143" s="3362"/>
      <c r="G143" s="3362"/>
      <c r="H143" s="3362"/>
      <c r="I143" s="3362"/>
      <c r="J143" s="3362"/>
      <c r="K143" s="3362"/>
      <c r="L143" s="3362"/>
      <c r="M143" s="3363"/>
      <c r="S143" s="730"/>
    </row>
    <row r="144" spans="1:19" ht="13.2" customHeight="1">
      <c r="A144" s="2035">
        <f>A126</f>
        <v>60</v>
      </c>
      <c r="B144" s="812" t="str">
        <f>IF('Part VI-Revenues &amp; Expenses'!$O$58=0,"",'Part VI-Revenues &amp; Expenses'!$O$58)</f>
        <v/>
      </c>
      <c r="C144" s="2031">
        <v>4</v>
      </c>
      <c r="D144" s="538"/>
      <c r="E144" s="538"/>
      <c r="F144" s="3360"/>
      <c r="G144" s="3361"/>
      <c r="H144" s="2031"/>
      <c r="I144" s="2031"/>
      <c r="J144" s="2031"/>
      <c r="K144" s="2031"/>
      <c r="L144" s="2031"/>
      <c r="M144" s="2031"/>
      <c r="S144" s="730"/>
    </row>
    <row r="145" spans="1:19" ht="13.2" customHeight="1">
      <c r="A145" s="2039"/>
      <c r="B145" s="538"/>
      <c r="C145" s="2034">
        <v>4</v>
      </c>
      <c r="D145" s="2032"/>
      <c r="E145" s="2033"/>
      <c r="F145" s="3362"/>
      <c r="G145" s="3362"/>
      <c r="H145" s="3362"/>
      <c r="I145" s="3362"/>
      <c r="J145" s="3362"/>
      <c r="K145" s="3362"/>
      <c r="L145" s="3362"/>
      <c r="M145" s="3363"/>
      <c r="S145" s="730"/>
    </row>
    <row r="146" spans="1:19" ht="13.2" customHeight="1">
      <c r="A146" s="2036"/>
      <c r="C146" s="2034">
        <v>4</v>
      </c>
      <c r="D146" s="2032"/>
      <c r="E146" s="2033"/>
      <c r="F146" s="3362"/>
      <c r="G146" s="3362"/>
      <c r="H146" s="3362"/>
      <c r="I146" s="3362"/>
      <c r="J146" s="3362"/>
      <c r="K146" s="3362"/>
      <c r="L146" s="3362"/>
      <c r="M146" s="3363"/>
      <c r="S146" s="730"/>
    </row>
    <row r="147" spans="1:19" ht="13.2" customHeight="1">
      <c r="A147" s="2036"/>
      <c r="C147" s="2034">
        <v>4</v>
      </c>
      <c r="D147" s="2032"/>
      <c r="E147" s="2033"/>
      <c r="F147" s="3362"/>
      <c r="G147" s="3362"/>
      <c r="H147" s="3362"/>
      <c r="I147" s="3362"/>
      <c r="J147" s="3362"/>
      <c r="K147" s="3362"/>
      <c r="L147" s="3362"/>
      <c r="M147" s="3363"/>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0"/>
      <c r="G150" s="3361"/>
      <c r="H150" s="538"/>
      <c r="I150" s="737"/>
      <c r="J150" s="538"/>
      <c r="K150" s="538"/>
      <c r="L150" s="538"/>
      <c r="M150" s="538"/>
      <c r="S150" s="730"/>
    </row>
    <row r="151" spans="1:19" ht="13.2" customHeight="1">
      <c r="A151" s="2039"/>
      <c r="B151" s="538"/>
      <c r="C151" s="538" t="s">
        <v>551</v>
      </c>
      <c r="D151" s="2032"/>
      <c r="E151" s="2033"/>
      <c r="F151" s="3362"/>
      <c r="G151" s="3362"/>
      <c r="H151" s="3362"/>
      <c r="I151" s="3362"/>
      <c r="J151" s="3362"/>
      <c r="K151" s="3362"/>
      <c r="L151" s="3362"/>
      <c r="M151" s="3363"/>
      <c r="S151" s="730"/>
    </row>
    <row r="152" spans="1:19" ht="13.2" customHeight="1">
      <c r="A152" s="2039"/>
      <c r="B152" s="538"/>
      <c r="C152" s="538" t="s">
        <v>551</v>
      </c>
      <c r="D152" s="2032"/>
      <c r="E152" s="2033"/>
      <c r="F152" s="3362"/>
      <c r="G152" s="3362"/>
      <c r="H152" s="3362"/>
      <c r="I152" s="3362"/>
      <c r="J152" s="3362"/>
      <c r="K152" s="3362"/>
      <c r="L152" s="3362"/>
      <c r="M152" s="3363"/>
      <c r="S152" s="730"/>
    </row>
    <row r="153" spans="1:19" ht="13.2" customHeight="1">
      <c r="A153" s="2039"/>
      <c r="B153" s="538"/>
      <c r="C153" s="538" t="s">
        <v>551</v>
      </c>
      <c r="D153" s="2032"/>
      <c r="E153" s="2033"/>
      <c r="F153" s="3362"/>
      <c r="G153" s="3362"/>
      <c r="H153" s="3362"/>
      <c r="I153" s="3362"/>
      <c r="J153" s="3362"/>
      <c r="K153" s="3362"/>
      <c r="L153" s="3362"/>
      <c r="M153" s="3363"/>
      <c r="S153" s="730"/>
    </row>
    <row r="154" spans="1:19" ht="13.2" customHeight="1">
      <c r="A154" s="2035">
        <f>A150</f>
        <v>70</v>
      </c>
      <c r="B154" s="812" t="str">
        <f>IF('Part VI-Revenues &amp; Expenses'!$L$57=0,"",'Part VI-Revenues &amp; Expenses'!$L$57)</f>
        <v/>
      </c>
      <c r="C154" s="2031">
        <v>1</v>
      </c>
      <c r="D154" s="538"/>
      <c r="E154" s="538"/>
      <c r="F154" s="3360"/>
      <c r="G154" s="3361"/>
      <c r="H154" s="2031"/>
      <c r="I154" s="2031"/>
      <c r="J154" s="2031"/>
      <c r="K154" s="2031"/>
      <c r="L154" s="2031"/>
      <c r="M154" s="2031"/>
      <c r="S154" s="730"/>
    </row>
    <row r="155" spans="1:19" ht="13.2" customHeight="1">
      <c r="A155" s="2035"/>
      <c r="B155" s="538"/>
      <c r="C155" s="2034">
        <v>1</v>
      </c>
      <c r="D155" s="2032"/>
      <c r="E155" s="2033"/>
      <c r="F155" s="3362"/>
      <c r="G155" s="3362"/>
      <c r="H155" s="3362"/>
      <c r="I155" s="3362"/>
      <c r="J155" s="3362"/>
      <c r="K155" s="3362"/>
      <c r="L155" s="3362"/>
      <c r="M155" s="3363"/>
      <c r="S155" s="730"/>
    </row>
    <row r="156" spans="1:19" ht="13.2" customHeight="1">
      <c r="A156" s="2035"/>
      <c r="B156" s="538"/>
      <c r="C156" s="2034">
        <v>1</v>
      </c>
      <c r="D156" s="2032"/>
      <c r="E156" s="2033"/>
      <c r="F156" s="3362"/>
      <c r="G156" s="3362"/>
      <c r="H156" s="3362"/>
      <c r="I156" s="3362"/>
      <c r="J156" s="3362"/>
      <c r="K156" s="3362"/>
      <c r="L156" s="3362"/>
      <c r="M156" s="3363"/>
      <c r="S156" s="730"/>
    </row>
    <row r="157" spans="1:19" ht="13.2" customHeight="1">
      <c r="A157" s="2035"/>
      <c r="B157" s="538"/>
      <c r="C157" s="2034">
        <v>1</v>
      </c>
      <c r="D157" s="2032"/>
      <c r="E157" s="2033"/>
      <c r="F157" s="3362"/>
      <c r="G157" s="3362"/>
      <c r="H157" s="3362"/>
      <c r="I157" s="3362"/>
      <c r="J157" s="3362"/>
      <c r="K157" s="3362"/>
      <c r="L157" s="3362"/>
      <c r="M157" s="3363"/>
      <c r="S157" s="730"/>
    </row>
    <row r="158" spans="1:19" ht="13.2" customHeight="1">
      <c r="A158" s="2035">
        <f>A150</f>
        <v>70</v>
      </c>
      <c r="B158" s="812" t="str">
        <f>IF('Part VI-Revenues &amp; Expenses'!$M$57=0,"",'Part VI-Revenues &amp; Expenses'!$M$57)</f>
        <v/>
      </c>
      <c r="C158" s="2031">
        <v>2</v>
      </c>
      <c r="D158" s="538"/>
      <c r="E158" s="538"/>
      <c r="F158" s="3360"/>
      <c r="G158" s="3361"/>
      <c r="H158" s="2031"/>
      <c r="I158" s="2031"/>
      <c r="J158" s="2031"/>
      <c r="K158" s="2031"/>
      <c r="L158" s="2031"/>
      <c r="M158" s="2031"/>
      <c r="S158" s="730"/>
    </row>
    <row r="159" spans="1:19" ht="13.2" customHeight="1">
      <c r="A159" s="2035"/>
      <c r="B159" s="538"/>
      <c r="C159" s="2034">
        <v>2</v>
      </c>
      <c r="D159" s="2032"/>
      <c r="E159" s="2033"/>
      <c r="F159" s="3362"/>
      <c r="G159" s="3362"/>
      <c r="H159" s="3362"/>
      <c r="I159" s="3362"/>
      <c r="J159" s="3362"/>
      <c r="K159" s="3362"/>
      <c r="L159" s="3362"/>
      <c r="M159" s="3363"/>
      <c r="S159" s="730"/>
    </row>
    <row r="160" spans="1:19" ht="13.2" customHeight="1">
      <c r="A160" s="2035"/>
      <c r="B160" s="538"/>
      <c r="C160" s="2034">
        <v>2</v>
      </c>
      <c r="D160" s="2032"/>
      <c r="E160" s="2033"/>
      <c r="F160" s="3362"/>
      <c r="G160" s="3362"/>
      <c r="H160" s="3362"/>
      <c r="I160" s="3362"/>
      <c r="J160" s="3362"/>
      <c r="K160" s="3362"/>
      <c r="L160" s="3362"/>
      <c r="M160" s="3363"/>
      <c r="S160" s="730"/>
    </row>
    <row r="161" spans="1:19" ht="13.2" customHeight="1">
      <c r="A161" s="2035"/>
      <c r="B161" s="538"/>
      <c r="C161" s="2034">
        <v>2</v>
      </c>
      <c r="D161" s="2032"/>
      <c r="E161" s="2033"/>
      <c r="F161" s="3362"/>
      <c r="G161" s="3362"/>
      <c r="H161" s="3362"/>
      <c r="I161" s="3362"/>
      <c r="J161" s="3362"/>
      <c r="K161" s="3362"/>
      <c r="L161" s="3362"/>
      <c r="M161" s="3363"/>
      <c r="S161" s="730"/>
    </row>
    <row r="162" spans="1:19" ht="13.2" customHeight="1">
      <c r="A162" s="2035"/>
      <c r="B162" s="538"/>
      <c r="C162" s="2034">
        <v>2</v>
      </c>
      <c r="D162" s="2032"/>
      <c r="E162" s="2033"/>
      <c r="F162" s="3362"/>
      <c r="G162" s="3362"/>
      <c r="H162" s="3362"/>
      <c r="I162" s="3362"/>
      <c r="J162" s="3362"/>
      <c r="K162" s="3362"/>
      <c r="L162" s="3362"/>
      <c r="M162" s="3363"/>
      <c r="S162" s="730"/>
    </row>
    <row r="163" spans="1:19" ht="13.2" customHeight="1">
      <c r="A163" s="2035">
        <f>A150</f>
        <v>70</v>
      </c>
      <c r="B163" s="812" t="str">
        <f>IF('Part VI-Revenues &amp; Expenses'!$N$57=0,"",'Part VI-Revenues &amp; Expenses'!$N$57)</f>
        <v/>
      </c>
      <c r="C163" s="2031">
        <v>3</v>
      </c>
      <c r="D163" s="538"/>
      <c r="E163" s="538"/>
      <c r="F163" s="3360"/>
      <c r="G163" s="3361"/>
      <c r="H163" s="2031"/>
      <c r="I163" s="2031"/>
      <c r="J163" s="2031"/>
      <c r="K163" s="2031"/>
      <c r="L163" s="2031"/>
      <c r="M163" s="2031"/>
      <c r="S163" s="730"/>
    </row>
    <row r="164" spans="1:19" ht="13.2" customHeight="1">
      <c r="A164" s="2035"/>
      <c r="B164" s="538"/>
      <c r="C164" s="2034">
        <v>3</v>
      </c>
      <c r="D164" s="2032"/>
      <c r="E164" s="2033"/>
      <c r="F164" s="3362"/>
      <c r="G164" s="3362"/>
      <c r="H164" s="3362"/>
      <c r="I164" s="3362"/>
      <c r="J164" s="3362"/>
      <c r="K164" s="3362"/>
      <c r="L164" s="3362"/>
      <c r="M164" s="3363"/>
      <c r="S164" s="730"/>
    </row>
    <row r="165" spans="1:19" ht="13.2" customHeight="1">
      <c r="A165" s="2035"/>
      <c r="B165" s="538"/>
      <c r="C165" s="2034">
        <v>3</v>
      </c>
      <c r="D165" s="2032"/>
      <c r="E165" s="2033"/>
      <c r="F165" s="3362"/>
      <c r="G165" s="3362"/>
      <c r="H165" s="3362"/>
      <c r="I165" s="3362"/>
      <c r="J165" s="3362"/>
      <c r="K165" s="3362"/>
      <c r="L165" s="3362"/>
      <c r="M165" s="3363"/>
      <c r="S165" s="730"/>
    </row>
    <row r="166" spans="1:19" ht="13.2" customHeight="1">
      <c r="A166" s="2035"/>
      <c r="B166" s="538"/>
      <c r="C166" s="2034">
        <v>3</v>
      </c>
      <c r="D166" s="2032"/>
      <c r="E166" s="2033"/>
      <c r="F166" s="3362"/>
      <c r="G166" s="3362"/>
      <c r="H166" s="3362"/>
      <c r="I166" s="3362"/>
      <c r="J166" s="3362"/>
      <c r="K166" s="3362"/>
      <c r="L166" s="3362"/>
      <c r="M166" s="3363"/>
      <c r="S166" s="730"/>
    </row>
    <row r="167" spans="1:19" ht="13.2" customHeight="1">
      <c r="A167" s="2035"/>
      <c r="B167" s="538"/>
      <c r="C167" s="2034">
        <v>3</v>
      </c>
      <c r="D167" s="2032"/>
      <c r="E167" s="2033"/>
      <c r="F167" s="3362"/>
      <c r="G167" s="3362"/>
      <c r="H167" s="3362"/>
      <c r="I167" s="3362"/>
      <c r="J167" s="3362"/>
      <c r="K167" s="3362"/>
      <c r="L167" s="3362"/>
      <c r="M167" s="3363"/>
      <c r="S167" s="730"/>
    </row>
    <row r="168" spans="1:19" ht="13.2" customHeight="1">
      <c r="A168" s="2035">
        <f>A150</f>
        <v>70</v>
      </c>
      <c r="B168" s="812" t="str">
        <f>IF('Part VI-Revenues &amp; Expenses'!$O$57=0,"",'Part VI-Revenues &amp; Expenses'!$O$57)</f>
        <v/>
      </c>
      <c r="C168" s="2031">
        <v>4</v>
      </c>
      <c r="D168" s="538"/>
      <c r="E168" s="538"/>
      <c r="F168" s="3360"/>
      <c r="G168" s="3361"/>
      <c r="H168" s="2031"/>
      <c r="I168" s="2031"/>
      <c r="J168" s="2031"/>
      <c r="K168" s="2031"/>
      <c r="L168" s="2031"/>
      <c r="M168" s="2031"/>
      <c r="S168" s="730"/>
    </row>
    <row r="169" spans="1:19" ht="13.2" customHeight="1">
      <c r="A169" s="2039"/>
      <c r="B169" s="538"/>
      <c r="C169" s="2034">
        <v>4</v>
      </c>
      <c r="D169" s="2032"/>
      <c r="E169" s="2033"/>
      <c r="F169" s="3362"/>
      <c r="G169" s="3362"/>
      <c r="H169" s="3362"/>
      <c r="I169" s="3362"/>
      <c r="J169" s="3362"/>
      <c r="K169" s="3362"/>
      <c r="L169" s="3362"/>
      <c r="M169" s="3363"/>
      <c r="S169" s="730"/>
    </row>
    <row r="170" spans="1:19" ht="13.2" customHeight="1">
      <c r="A170" s="2036"/>
      <c r="C170" s="2034">
        <v>4</v>
      </c>
      <c r="D170" s="2032"/>
      <c r="E170" s="2033"/>
      <c r="F170" s="3362"/>
      <c r="G170" s="3362"/>
      <c r="H170" s="3362"/>
      <c r="I170" s="3362"/>
      <c r="J170" s="3362"/>
      <c r="K170" s="3362"/>
      <c r="L170" s="3362"/>
      <c r="M170" s="3363"/>
      <c r="S170" s="730"/>
    </row>
    <row r="171" spans="1:19" ht="13.2" customHeight="1">
      <c r="A171" s="2036"/>
      <c r="C171" s="2034">
        <v>4</v>
      </c>
      <c r="D171" s="2032"/>
      <c r="E171" s="2033"/>
      <c r="F171" s="3362"/>
      <c r="G171" s="3362"/>
      <c r="H171" s="3362"/>
      <c r="I171" s="3362"/>
      <c r="J171" s="3362"/>
      <c r="K171" s="3362"/>
      <c r="L171" s="3362"/>
      <c r="M171" s="3363"/>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f>IF('Part VI-Revenues &amp; Expenses'!$K$56=0,"",'Part VI-Revenues &amp; Expenses'!$K$56)</f>
        <v>2</v>
      </c>
      <c r="C174" s="748" t="s">
        <v>551</v>
      </c>
      <c r="D174" s="538"/>
      <c r="E174" s="538"/>
      <c r="F174" s="3360"/>
      <c r="G174" s="3361"/>
      <c r="H174" s="538"/>
      <c r="I174" s="737"/>
      <c r="J174" s="538"/>
      <c r="K174" s="538"/>
      <c r="L174" s="538"/>
      <c r="M174" s="538"/>
      <c r="S174" s="730"/>
    </row>
    <row r="175" spans="1:19" ht="13.2" customHeight="1">
      <c r="A175" s="2039"/>
      <c r="B175" s="538"/>
      <c r="C175" s="538" t="s">
        <v>551</v>
      </c>
      <c r="D175" s="2032"/>
      <c r="E175" s="2033"/>
      <c r="F175" s="3362"/>
      <c r="G175" s="3362"/>
      <c r="H175" s="3362"/>
      <c r="I175" s="3362"/>
      <c r="J175" s="3362"/>
      <c r="K175" s="3362"/>
      <c r="L175" s="3362"/>
      <c r="M175" s="3363"/>
      <c r="S175" s="730"/>
    </row>
    <row r="176" spans="1:19" ht="13.2" customHeight="1">
      <c r="A176" s="2039"/>
      <c r="B176" s="538"/>
      <c r="C176" s="538" t="s">
        <v>551</v>
      </c>
      <c r="D176" s="2032"/>
      <c r="E176" s="2033"/>
      <c r="F176" s="3362"/>
      <c r="G176" s="3362"/>
      <c r="H176" s="3362"/>
      <c r="I176" s="3362"/>
      <c r="J176" s="3362"/>
      <c r="K176" s="3362"/>
      <c r="L176" s="3362"/>
      <c r="M176" s="3363"/>
      <c r="S176" s="730"/>
    </row>
    <row r="177" spans="1:19" ht="13.2" customHeight="1">
      <c r="A177" s="2039"/>
      <c r="B177" s="538"/>
      <c r="C177" s="538" t="s">
        <v>551</v>
      </c>
      <c r="D177" s="2032"/>
      <c r="E177" s="2033"/>
      <c r="F177" s="3362"/>
      <c r="G177" s="3362"/>
      <c r="H177" s="3362"/>
      <c r="I177" s="3362"/>
      <c r="J177" s="3362"/>
      <c r="K177" s="3362"/>
      <c r="L177" s="3362"/>
      <c r="M177" s="3363"/>
      <c r="S177" s="730"/>
    </row>
    <row r="178" spans="1:19" ht="13.2" customHeight="1">
      <c r="A178" s="2035">
        <f>A174</f>
        <v>80</v>
      </c>
      <c r="B178" s="812">
        <f>IF('Part VI-Revenues &amp; Expenses'!$L$56=0,"",'Part VI-Revenues &amp; Expenses'!$L$56)</f>
        <v>2</v>
      </c>
      <c r="C178" s="2031">
        <v>1</v>
      </c>
      <c r="D178" s="538"/>
      <c r="E178" s="538"/>
      <c r="F178" s="3360"/>
      <c r="G178" s="3361"/>
      <c r="H178" s="2031"/>
      <c r="I178" s="2031"/>
      <c r="J178" s="2031"/>
      <c r="K178" s="2031"/>
      <c r="L178" s="2031"/>
      <c r="M178" s="2031"/>
      <c r="S178" s="730"/>
    </row>
    <row r="179" spans="1:19" ht="13.2" customHeight="1">
      <c r="A179" s="2035"/>
      <c r="B179" s="538"/>
      <c r="C179" s="2034">
        <v>1</v>
      </c>
      <c r="D179" s="2032"/>
      <c r="E179" s="2033"/>
      <c r="F179" s="3362"/>
      <c r="G179" s="3362"/>
      <c r="H179" s="3362"/>
      <c r="I179" s="3362"/>
      <c r="J179" s="3362"/>
      <c r="K179" s="3362"/>
      <c r="L179" s="3362"/>
      <c r="M179" s="3363"/>
      <c r="S179" s="730"/>
    </row>
    <row r="180" spans="1:19" ht="13.2" customHeight="1">
      <c r="A180" s="2035"/>
      <c r="B180" s="538"/>
      <c r="C180" s="2034">
        <v>1</v>
      </c>
      <c r="D180" s="2032"/>
      <c r="E180" s="2033"/>
      <c r="F180" s="3362"/>
      <c r="G180" s="3362"/>
      <c r="H180" s="3362"/>
      <c r="I180" s="3362"/>
      <c r="J180" s="3362"/>
      <c r="K180" s="3362"/>
      <c r="L180" s="3362"/>
      <c r="M180" s="3363"/>
      <c r="S180" s="730"/>
    </row>
    <row r="181" spans="1:19" ht="13.2" customHeight="1">
      <c r="A181" s="2035"/>
      <c r="B181" s="538"/>
      <c r="C181" s="2034">
        <v>1</v>
      </c>
      <c r="D181" s="2032"/>
      <c r="E181" s="2033"/>
      <c r="F181" s="3362"/>
      <c r="G181" s="3362"/>
      <c r="H181" s="3362"/>
      <c r="I181" s="3362"/>
      <c r="J181" s="3362"/>
      <c r="K181" s="3362"/>
      <c r="L181" s="3362"/>
      <c r="M181" s="3363"/>
      <c r="S181" s="730"/>
    </row>
    <row r="182" spans="1:19" ht="13.2" customHeight="1">
      <c r="A182" s="2035">
        <f>A174</f>
        <v>80</v>
      </c>
      <c r="B182" s="812">
        <f>IF('Part VI-Revenues &amp; Expenses'!$M$56=0,"",'Part VI-Revenues &amp; Expenses'!$M$56)</f>
        <v>1</v>
      </c>
      <c r="C182" s="2031">
        <v>2</v>
      </c>
      <c r="D182" s="538"/>
      <c r="E182" s="538"/>
      <c r="F182" s="3360"/>
      <c r="G182" s="3361"/>
      <c r="H182" s="2031"/>
      <c r="I182" s="2031"/>
      <c r="J182" s="2031"/>
      <c r="K182" s="2031"/>
      <c r="L182" s="2031"/>
      <c r="M182" s="2031"/>
      <c r="S182" s="730"/>
    </row>
    <row r="183" spans="1:19" ht="13.2" customHeight="1">
      <c r="A183" s="2035"/>
      <c r="B183" s="538"/>
      <c r="C183" s="2034">
        <v>2</v>
      </c>
      <c r="D183" s="2032"/>
      <c r="E183" s="2033"/>
      <c r="F183" s="3362"/>
      <c r="G183" s="3362"/>
      <c r="H183" s="3362"/>
      <c r="I183" s="3362"/>
      <c r="J183" s="3362"/>
      <c r="K183" s="3362"/>
      <c r="L183" s="3362"/>
      <c r="M183" s="3363"/>
      <c r="S183" s="730"/>
    </row>
    <row r="184" spans="1:19" ht="13.2" customHeight="1">
      <c r="A184" s="2035"/>
      <c r="B184" s="538"/>
      <c r="C184" s="2034">
        <v>2</v>
      </c>
      <c r="D184" s="2032"/>
      <c r="E184" s="2033"/>
      <c r="F184" s="3362"/>
      <c r="G184" s="3362"/>
      <c r="H184" s="3362"/>
      <c r="I184" s="3362"/>
      <c r="J184" s="3362"/>
      <c r="K184" s="3362"/>
      <c r="L184" s="3362"/>
      <c r="M184" s="3363"/>
      <c r="S184" s="730"/>
    </row>
    <row r="185" spans="1:19" ht="13.2" customHeight="1">
      <c r="A185" s="2035"/>
      <c r="B185" s="538"/>
      <c r="C185" s="2034">
        <v>2</v>
      </c>
      <c r="D185" s="2032"/>
      <c r="E185" s="2033"/>
      <c r="F185" s="3362"/>
      <c r="G185" s="3362"/>
      <c r="H185" s="3362"/>
      <c r="I185" s="3362"/>
      <c r="J185" s="3362"/>
      <c r="K185" s="3362"/>
      <c r="L185" s="3362"/>
      <c r="M185" s="3363"/>
      <c r="S185" s="730"/>
    </row>
    <row r="186" spans="1:19" ht="13.2" customHeight="1">
      <c r="A186" s="2035"/>
      <c r="B186" s="538"/>
      <c r="C186" s="2034">
        <v>2</v>
      </c>
      <c r="D186" s="2032"/>
      <c r="E186" s="2033"/>
      <c r="F186" s="3362"/>
      <c r="G186" s="3362"/>
      <c r="H186" s="3362"/>
      <c r="I186" s="3362"/>
      <c r="J186" s="3362"/>
      <c r="K186" s="3362"/>
      <c r="L186" s="3362"/>
      <c r="M186" s="3363"/>
      <c r="S186" s="730"/>
    </row>
    <row r="187" spans="1:19" ht="13.2" customHeight="1">
      <c r="A187" s="2035">
        <f>A174</f>
        <v>80</v>
      </c>
      <c r="B187" s="812" t="str">
        <f>IF('Part VI-Revenues &amp; Expenses'!$N$56=0,"",'Part VI-Revenues &amp; Expenses'!$N$56)</f>
        <v/>
      </c>
      <c r="C187" s="2031">
        <v>3</v>
      </c>
      <c r="D187" s="538"/>
      <c r="E187" s="538"/>
      <c r="F187" s="3360"/>
      <c r="G187" s="3361"/>
      <c r="H187" s="2031"/>
      <c r="I187" s="2031"/>
      <c r="J187" s="2031"/>
      <c r="K187" s="2031"/>
      <c r="L187" s="2031"/>
      <c r="M187" s="2031"/>
      <c r="S187" s="730"/>
    </row>
    <row r="188" spans="1:19" ht="13.2" customHeight="1">
      <c r="A188" s="2035"/>
      <c r="B188" s="538"/>
      <c r="C188" s="2034">
        <v>3</v>
      </c>
      <c r="D188" s="2032"/>
      <c r="E188" s="2033"/>
      <c r="F188" s="3362"/>
      <c r="G188" s="3362"/>
      <c r="H188" s="3362"/>
      <c r="I188" s="3362"/>
      <c r="J188" s="3362"/>
      <c r="K188" s="3362"/>
      <c r="L188" s="3362"/>
      <c r="M188" s="3363"/>
      <c r="S188" s="730"/>
    </row>
    <row r="189" spans="1:19" ht="13.2" customHeight="1">
      <c r="A189" s="2035"/>
      <c r="B189" s="538"/>
      <c r="C189" s="2034">
        <v>3</v>
      </c>
      <c r="D189" s="2032"/>
      <c r="E189" s="2033"/>
      <c r="F189" s="3362"/>
      <c r="G189" s="3362"/>
      <c r="H189" s="3362"/>
      <c r="I189" s="3362"/>
      <c r="J189" s="3362"/>
      <c r="K189" s="3362"/>
      <c r="L189" s="3362"/>
      <c r="M189" s="3363"/>
      <c r="S189" s="730"/>
    </row>
    <row r="190" spans="1:19" ht="13.2" customHeight="1">
      <c r="A190" s="2035"/>
      <c r="B190" s="538"/>
      <c r="C190" s="2034">
        <v>3</v>
      </c>
      <c r="D190" s="2032"/>
      <c r="E190" s="2033"/>
      <c r="F190" s="3362"/>
      <c r="G190" s="3362"/>
      <c r="H190" s="3362"/>
      <c r="I190" s="3362"/>
      <c r="J190" s="3362"/>
      <c r="K190" s="3362"/>
      <c r="L190" s="3362"/>
      <c r="M190" s="3363"/>
      <c r="S190" s="730"/>
    </row>
    <row r="191" spans="1:19" ht="13.2" customHeight="1">
      <c r="A191" s="2035"/>
      <c r="B191" s="538"/>
      <c r="C191" s="2034">
        <v>3</v>
      </c>
      <c r="D191" s="2032"/>
      <c r="E191" s="2033"/>
      <c r="F191" s="3362"/>
      <c r="G191" s="3362"/>
      <c r="H191" s="3362"/>
      <c r="I191" s="3362"/>
      <c r="J191" s="3362"/>
      <c r="K191" s="3362"/>
      <c r="L191" s="3362"/>
      <c r="M191" s="3363"/>
      <c r="S191" s="730"/>
    </row>
    <row r="192" spans="1:19" ht="13.2" customHeight="1">
      <c r="A192" s="2035">
        <f>A174</f>
        <v>80</v>
      </c>
      <c r="B192" s="812" t="str">
        <f>IF('Part VI-Revenues &amp; Expenses'!$O$56=0,"",'Part VI-Revenues &amp; Expenses'!$O$56)</f>
        <v/>
      </c>
      <c r="C192" s="2031">
        <v>4</v>
      </c>
      <c r="D192" s="538"/>
      <c r="E192" s="538"/>
      <c r="F192" s="3360"/>
      <c r="G192" s="3361"/>
      <c r="H192" s="2031"/>
      <c r="I192" s="2031"/>
      <c r="J192" s="2031"/>
      <c r="K192" s="2031"/>
      <c r="L192" s="2031"/>
      <c r="M192" s="2031"/>
      <c r="S192" s="730"/>
    </row>
    <row r="193" spans="1:19" ht="13.2" customHeight="1">
      <c r="A193" s="2039"/>
      <c r="B193" s="538"/>
      <c r="C193" s="2034">
        <v>4</v>
      </c>
      <c r="D193" s="2032"/>
      <c r="E193" s="2033"/>
      <c r="F193" s="3362"/>
      <c r="G193" s="3362"/>
      <c r="H193" s="3362"/>
      <c r="I193" s="3362"/>
      <c r="J193" s="3362"/>
      <c r="K193" s="3362"/>
      <c r="L193" s="3362"/>
      <c r="M193" s="3363"/>
      <c r="S193" s="730"/>
    </row>
    <row r="194" spans="1:19" ht="13.2" customHeight="1">
      <c r="A194" s="2036"/>
      <c r="C194" s="2034">
        <v>4</v>
      </c>
      <c r="D194" s="2032"/>
      <c r="E194" s="2033"/>
      <c r="F194" s="3362"/>
      <c r="G194" s="3362"/>
      <c r="H194" s="3362"/>
      <c r="I194" s="3362"/>
      <c r="J194" s="3362"/>
      <c r="K194" s="3362"/>
      <c r="L194" s="3362"/>
      <c r="M194" s="3363"/>
      <c r="S194" s="730"/>
    </row>
    <row r="195" spans="1:19" ht="13.2" customHeight="1">
      <c r="A195" s="2036"/>
      <c r="C195" s="2034">
        <v>4</v>
      </c>
      <c r="D195" s="2032"/>
      <c r="E195" s="2033"/>
      <c r="F195" s="3362"/>
      <c r="G195" s="3362"/>
      <c r="H195" s="3362"/>
      <c r="I195" s="3362"/>
      <c r="J195" s="3362"/>
      <c r="K195" s="3362"/>
      <c r="L195" s="3362"/>
      <c r="M195" s="3363"/>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1" t="s">
        <v>3915</v>
      </c>
      <c r="C1" s="3401"/>
      <c r="D1" s="3401"/>
      <c r="E1" s="3401"/>
      <c r="F1" s="3401"/>
      <c r="G1" s="3401"/>
      <c r="H1" s="3401"/>
      <c r="I1" s="3401"/>
    </row>
    <row r="2" spans="2:13" ht="13.8">
      <c r="B2" s="1260" t="s">
        <v>3903</v>
      </c>
      <c r="C2" s="778"/>
      <c r="D2" s="778"/>
      <c r="E2" s="778"/>
      <c r="F2" s="778"/>
      <c r="G2" s="778"/>
      <c r="H2" s="778"/>
      <c r="I2" s="778"/>
    </row>
    <row r="3" spans="2:13" ht="13.8">
      <c r="B3" s="1261" t="s">
        <v>3910</v>
      </c>
      <c r="C3" s="778"/>
      <c r="D3" s="778"/>
      <c r="E3" s="778"/>
      <c r="F3" s="778"/>
      <c r="G3" s="778"/>
      <c r="H3" s="778"/>
      <c r="I3" s="778"/>
    </row>
    <row r="4" spans="2:13">
      <c r="B4" s="3402" t="s">
        <v>3140</v>
      </c>
      <c r="C4" s="3402"/>
      <c r="D4" s="3402"/>
      <c r="E4" s="3407" t="s">
        <v>3141</v>
      </c>
      <c r="F4" s="3409"/>
      <c r="G4" s="3407" t="s">
        <v>599</v>
      </c>
      <c r="H4" s="3408"/>
      <c r="I4" s="3409"/>
      <c r="J4" s="1254" t="s">
        <v>2986</v>
      </c>
      <c r="K4" s="1254"/>
      <c r="L4" s="1262"/>
      <c r="M4" s="1262"/>
    </row>
    <row r="5" spans="2:13">
      <c r="B5" s="3403" t="str">
        <f>'Closing term sheet'!C8</f>
        <v>Dublin Veterans Residences Limited Partnership</v>
      </c>
      <c r="C5" s="3404"/>
      <c r="D5" s="3404"/>
      <c r="E5" s="3413"/>
      <c r="F5" s="3414"/>
      <c r="G5" s="3410" t="str">
        <f>'Closing term sheet'!C28</f>
        <v>Freedom's Path at Dublin</v>
      </c>
      <c r="H5" s="3411"/>
      <c r="I5" s="3412"/>
      <c r="K5" s="730"/>
    </row>
    <row r="6" spans="2:13" ht="4.5" customHeight="1">
      <c r="D6" s="1263"/>
      <c r="E6" s="1263"/>
      <c r="F6" s="1263"/>
      <c r="G6" s="1263"/>
      <c r="H6" s="1263"/>
      <c r="I6" s="1263"/>
      <c r="K6" s="730"/>
    </row>
    <row r="7" spans="2:13">
      <c r="B7" s="3396" t="s">
        <v>3142</v>
      </c>
      <c r="C7" s="3396"/>
      <c r="D7" s="1264"/>
      <c r="E7" s="1264"/>
      <c r="F7" s="1264"/>
      <c r="G7" s="1264"/>
      <c r="H7" s="3405">
        <f>'Preview term'!E9</f>
        <v>0</v>
      </c>
      <c r="I7" s="3406"/>
    </row>
    <row r="8" spans="2:13" ht="4.5" customHeight="1">
      <c r="B8" s="1264"/>
      <c r="C8" s="1264"/>
      <c r="D8" s="1264"/>
      <c r="E8" s="1264"/>
      <c r="F8" s="1264"/>
      <c r="G8" s="1264"/>
      <c r="H8" s="1264"/>
      <c r="I8" s="1264"/>
      <c r="J8" s="1264"/>
    </row>
    <row r="9" spans="2:13">
      <c r="B9" s="1265" t="s">
        <v>3143</v>
      </c>
      <c r="C9" s="1265"/>
      <c r="D9" s="1264"/>
      <c r="E9" s="787" t="s">
        <v>3905</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3902</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3906</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3907</v>
      </c>
      <c r="C19" s="1264"/>
      <c r="D19" s="1264"/>
      <c r="E19" s="1264"/>
      <c r="F19" s="1264"/>
      <c r="G19" s="1264"/>
      <c r="H19" s="1264"/>
      <c r="I19" s="1281"/>
    </row>
    <row r="20" spans="2:9" ht="7.5" customHeight="1">
      <c r="B20" s="1275"/>
      <c r="C20" s="1264"/>
      <c r="D20" s="1264"/>
      <c r="E20" s="1264"/>
      <c r="F20" s="1264"/>
      <c r="G20" s="1264"/>
      <c r="H20" s="1264"/>
      <c r="I20" s="1281"/>
    </row>
    <row r="21" spans="2:9">
      <c r="B21" s="1275" t="s">
        <v>3904</v>
      </c>
      <c r="C21" s="1264"/>
      <c r="D21" s="1264"/>
      <c r="E21" s="1264"/>
      <c r="F21" s="1264"/>
      <c r="G21" s="1264"/>
      <c r="H21" s="1264"/>
      <c r="I21" s="1276"/>
    </row>
    <row r="22" spans="2:9">
      <c r="B22" s="1280" t="s">
        <v>3908</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3909</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3911</v>
      </c>
    </row>
    <row r="34" spans="2:9" ht="3" customHeight="1">
      <c r="B34" s="1285"/>
      <c r="C34" s="1270"/>
      <c r="D34" s="1270"/>
      <c r="E34" s="1270"/>
      <c r="F34" s="1270"/>
      <c r="G34" s="1270"/>
      <c r="H34" s="1270"/>
      <c r="I34" s="1286"/>
    </row>
    <row r="35" spans="2:9">
      <c r="B35" s="1275" t="s">
        <v>3914</v>
      </c>
      <c r="C35" s="1264"/>
      <c r="D35" s="1264"/>
      <c r="F35" s="1290"/>
      <c r="H35" s="3415" t="s">
        <v>3923</v>
      </c>
      <c r="I35" s="3416"/>
    </row>
    <row r="36" spans="2:9">
      <c r="B36" s="1291" t="s">
        <v>3922</v>
      </c>
      <c r="C36" s="1289"/>
      <c r="D36" s="1289"/>
      <c r="E36" s="1264"/>
      <c r="F36" s="1533"/>
      <c r="G36" s="1292"/>
      <c r="H36" s="3415"/>
      <c r="I36" s="3416"/>
    </row>
    <row r="37" spans="2:9">
      <c r="B37" s="1291" t="s">
        <v>3920</v>
      </c>
      <c r="D37" s="1289"/>
      <c r="E37" s="1264"/>
      <c r="F37" s="1534"/>
      <c r="G37" s="1292"/>
      <c r="H37" s="3415"/>
      <c r="I37" s="3416"/>
    </row>
    <row r="38" spans="2:9">
      <c r="B38" s="1291" t="s">
        <v>3921</v>
      </c>
      <c r="D38" s="1264"/>
      <c r="E38" s="1264"/>
      <c r="F38" s="1534"/>
      <c r="G38" s="1292"/>
      <c r="H38" s="1292"/>
      <c r="I38" s="1293"/>
    </row>
    <row r="39" spans="2:9" ht="12.75" customHeight="1">
      <c r="B39" s="1291" t="s">
        <v>3919</v>
      </c>
      <c r="C39" s="1264"/>
      <c r="D39" s="1264"/>
      <c r="E39" s="1264"/>
      <c r="F39" s="1534"/>
      <c r="G39" s="1292"/>
      <c r="H39" s="1292"/>
      <c r="I39" s="1293"/>
    </row>
    <row r="40" spans="2:9">
      <c r="B40" s="1294" t="s">
        <v>3918</v>
      </c>
      <c r="C40" s="1295"/>
      <c r="D40" s="1296"/>
      <c r="E40" s="1297"/>
      <c r="F40" s="1534"/>
      <c r="G40" s="1297"/>
      <c r="H40" s="1532"/>
      <c r="I40" s="1274"/>
    </row>
    <row r="41" spans="2:9">
      <c r="B41" s="1294" t="s">
        <v>3917</v>
      </c>
      <c r="C41" s="1295"/>
      <c r="D41" s="1296"/>
      <c r="E41" s="1264"/>
      <c r="F41" s="1534"/>
      <c r="G41" s="1264"/>
      <c r="H41" s="1264"/>
      <c r="I41" s="1274"/>
    </row>
    <row r="42" spans="2:9">
      <c r="B42" s="1298" t="s">
        <v>3916</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3913</v>
      </c>
    </row>
    <row r="46" spans="2:9" ht="3" customHeight="1">
      <c r="B46" s="1285"/>
      <c r="C46" s="1270"/>
      <c r="D46" s="1270"/>
      <c r="E46" s="1270"/>
      <c r="F46" s="1270"/>
      <c r="G46" s="1270"/>
      <c r="H46" s="1270"/>
      <c r="I46" s="1286"/>
    </row>
    <row r="47" spans="2:9" ht="19.2">
      <c r="B47" s="1275" t="s">
        <v>3912</v>
      </c>
      <c r="C47" s="1264"/>
      <c r="D47" s="1300"/>
      <c r="E47" s="1301" t="str">
        <f>'Sensitivity Analysis'!H7</f>
        <v>Substantial Rehabilitation</v>
      </c>
      <c r="F47" s="754" t="s">
        <v>3924</v>
      </c>
      <c r="H47" s="1264"/>
      <c r="I47" s="1274"/>
    </row>
    <row r="48" spans="2:9">
      <c r="B48" s="1280" t="s">
        <v>3155</v>
      </c>
      <c r="C48" s="1289"/>
      <c r="D48" s="1289" t="s">
        <v>3156</v>
      </c>
      <c r="E48" s="1264"/>
      <c r="F48" s="3424" t="str">
        <f>'Closing term sheet'!$C$30</f>
        <v>1826 Veterans Boulevard</v>
      </c>
      <c r="G48" s="3425"/>
      <c r="H48" s="3425"/>
      <c r="I48" s="3426"/>
    </row>
    <row r="49" spans="2:9">
      <c r="B49" s="1280" t="s">
        <v>3157</v>
      </c>
      <c r="D49" s="1289" t="s">
        <v>3158</v>
      </c>
      <c r="E49" s="1264"/>
      <c r="F49" s="3427"/>
      <c r="G49" s="3428"/>
      <c r="H49" s="3428"/>
      <c r="I49" s="3429"/>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3925</v>
      </c>
      <c r="C52" s="3392" t="str">
        <f>'Part I-Project Information'!F38</f>
        <v>Dublin</v>
      </c>
      <c r="D52" s="3393"/>
      <c r="E52" s="1306" t="s">
        <v>3926</v>
      </c>
      <c r="F52" s="1266" t="s">
        <v>828</v>
      </c>
      <c r="G52" s="1306" t="s">
        <v>3927</v>
      </c>
      <c r="H52" s="1307">
        <f>'Part I-Project Information'!J38</f>
        <v>310213620</v>
      </c>
      <c r="I52" s="1274"/>
    </row>
    <row r="53" spans="2:9">
      <c r="B53" s="1305" t="s">
        <v>4089</v>
      </c>
      <c r="D53" s="1308" t="e">
        <f>VLOOKUP("='Part I-Project Information'!$J$39",'DCA Underwriting Assumptions'!$G$173:$O$332,9)</f>
        <v>#N/A</v>
      </c>
      <c r="I53" s="1274"/>
    </row>
    <row r="54" spans="2:9">
      <c r="B54" s="1305" t="s">
        <v>4090</v>
      </c>
      <c r="D54" s="1264"/>
      <c r="E54" s="1264"/>
      <c r="F54" s="1264"/>
      <c r="G54" s="1264"/>
      <c r="I54" s="1274"/>
    </row>
    <row r="55" spans="2:9">
      <c r="B55" s="1298" t="s">
        <v>4091</v>
      </c>
      <c r="D55" s="1309">
        <f>'Closing term sheet'!$D$33</f>
        <v>50</v>
      </c>
      <c r="E55" s="1310"/>
      <c r="F55" s="787" t="s">
        <v>3160</v>
      </c>
      <c r="G55" s="1264"/>
      <c r="H55" s="1264"/>
      <c r="I55" s="1274"/>
    </row>
    <row r="56" spans="2:9">
      <c r="B56" s="1298" t="s">
        <v>4093</v>
      </c>
      <c r="D56" s="1311">
        <f>'Closing term sheet'!$D$62</f>
        <v>5000000</v>
      </c>
      <c r="E56" s="1312"/>
      <c r="F56" s="787" t="s">
        <v>3161</v>
      </c>
      <c r="G56" s="1264"/>
      <c r="H56" s="1264"/>
      <c r="I56" s="1274"/>
    </row>
    <row r="57" spans="2:9">
      <c r="B57" s="1291" t="s">
        <v>4092</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398" t="s">
        <v>3163</v>
      </c>
      <c r="C61" s="3399"/>
      <c r="D61" s="3399"/>
      <c r="E61" s="3399"/>
      <c r="F61" s="3399"/>
      <c r="G61" s="3399"/>
      <c r="H61" s="3399"/>
      <c r="I61" s="3400"/>
    </row>
    <row r="62" spans="2:9" ht="7.5" customHeight="1">
      <c r="B62" s="3394"/>
      <c r="C62" s="3395"/>
      <c r="D62" s="3395"/>
      <c r="E62" s="1264"/>
      <c r="F62" s="1264"/>
      <c r="G62" s="1314"/>
      <c r="H62" s="1264"/>
      <c r="I62" s="1274"/>
    </row>
    <row r="63" spans="2:9">
      <c r="B63" s="1315" t="s">
        <v>3165</v>
      </c>
      <c r="C63" s="1264"/>
      <c r="D63" s="1309">
        <v>4</v>
      </c>
      <c r="F63" s="1264"/>
      <c r="G63" s="3396" t="s">
        <v>3164</v>
      </c>
      <c r="H63" s="3396"/>
      <c r="I63" s="3397"/>
    </row>
    <row r="64" spans="2:9">
      <c r="B64" s="1272"/>
      <c r="C64" s="1289" t="s">
        <v>3168</v>
      </c>
      <c r="D64" s="1289" t="s">
        <v>3169</v>
      </c>
      <c r="F64" s="1264"/>
      <c r="G64" s="799" t="s">
        <v>3166</v>
      </c>
      <c r="H64" s="1264"/>
      <c r="I64" s="1316">
        <f>'Closing term sheet'!$D$35</f>
        <v>50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398" t="s">
        <v>3176</v>
      </c>
      <c r="C81" s="3399"/>
      <c r="D81" s="3399"/>
      <c r="E81" s="3399"/>
      <c r="F81" s="3399"/>
      <c r="G81" s="3399"/>
      <c r="H81" s="3399"/>
      <c r="I81" s="3400"/>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20">
        <f>'Closing term sheet'!D62</f>
        <v>5000000</v>
      </c>
      <c r="G84" s="3420"/>
      <c r="H84" s="1264"/>
      <c r="I84" s="1274"/>
    </row>
    <row r="85" spans="2:9">
      <c r="B85" s="1272"/>
      <c r="C85" s="807" t="s">
        <v>3179</v>
      </c>
      <c r="D85" s="1264"/>
      <c r="E85" s="1264"/>
      <c r="F85" s="3391">
        <f>'Part III-Sources of Funds'!I45+'Part III-Sources of Funds'!L45</f>
        <v>83512.146705021398</v>
      </c>
      <c r="G85" s="3391"/>
      <c r="H85" s="1264"/>
      <c r="I85" s="1274"/>
    </row>
    <row r="86" spans="2:9">
      <c r="B86" s="1272"/>
      <c r="C86" s="807" t="s">
        <v>3180</v>
      </c>
      <c r="D86" s="1264"/>
      <c r="E86" s="1264"/>
      <c r="F86" s="3390"/>
      <c r="G86" s="3390"/>
      <c r="H86" s="1264"/>
      <c r="I86" s="1274"/>
    </row>
    <row r="87" spans="2:9">
      <c r="B87" s="1272"/>
      <c r="C87" s="1289" t="s">
        <v>3181</v>
      </c>
      <c r="D87" s="1264"/>
      <c r="E87" s="1264"/>
      <c r="F87" s="3391">
        <v>11000</v>
      </c>
      <c r="G87" s="3391"/>
      <c r="H87" s="1264"/>
      <c r="I87" s="1274"/>
    </row>
    <row r="88" spans="2:9">
      <c r="B88" s="1272"/>
      <c r="C88" s="807" t="s">
        <v>3182</v>
      </c>
      <c r="D88" s="1264"/>
      <c r="E88" s="1264"/>
      <c r="F88" s="3423"/>
      <c r="G88" s="3423"/>
      <c r="H88" s="1264"/>
      <c r="I88" s="1274"/>
    </row>
    <row r="89" spans="2:9">
      <c r="B89" s="1272"/>
      <c r="C89" s="787" t="s">
        <v>3183</v>
      </c>
      <c r="D89" s="1264"/>
      <c r="E89" s="1264"/>
      <c r="F89" s="3418">
        <f>SUM(F84:G88)</f>
        <v>5094512.1467050212</v>
      </c>
      <c r="G89" s="3418"/>
      <c r="H89" s="1264"/>
      <c r="I89" s="1274"/>
    </row>
    <row r="90" spans="2:9">
      <c r="B90" s="1272"/>
      <c r="C90" s="1264"/>
      <c r="D90" s="1264"/>
      <c r="E90" s="1264"/>
      <c r="F90" s="3419"/>
      <c r="G90" s="3419"/>
      <c r="H90" s="1264"/>
      <c r="I90" s="1274"/>
    </row>
    <row r="91" spans="2:9">
      <c r="B91" s="1275" t="s">
        <v>3184</v>
      </c>
      <c r="C91" s="1264"/>
      <c r="D91" s="1264"/>
      <c r="E91" s="1264"/>
      <c r="F91" s="1264"/>
      <c r="G91" s="1264"/>
      <c r="H91" s="1264"/>
      <c r="I91" s="1274"/>
    </row>
    <row r="92" spans="2:9">
      <c r="B92" s="1272"/>
      <c r="C92" s="807" t="s">
        <v>3185</v>
      </c>
      <c r="D92" s="1264"/>
      <c r="E92" s="1264"/>
      <c r="F92" s="3420"/>
      <c r="G92" s="3420"/>
      <c r="H92" s="1264"/>
      <c r="I92" s="1274"/>
    </row>
    <row r="93" spans="2:9">
      <c r="B93" s="1272"/>
      <c r="C93" s="807" t="s">
        <v>3186</v>
      </c>
      <c r="D93" s="1264"/>
      <c r="E93" s="1264"/>
      <c r="F93" s="3421"/>
      <c r="G93" s="3421"/>
      <c r="H93" s="1264"/>
      <c r="I93" s="1274"/>
    </row>
    <row r="94" spans="2:9">
      <c r="B94" s="1272"/>
      <c r="C94" s="807" t="s">
        <v>3187</v>
      </c>
      <c r="D94" s="1264"/>
      <c r="E94" s="1264"/>
      <c r="F94" s="3422" t="s">
        <v>3062</v>
      </c>
      <c r="G94" s="3417"/>
      <c r="H94" s="1264"/>
      <c r="I94" s="1274"/>
    </row>
    <row r="95" spans="2:9">
      <c r="B95" s="1272"/>
      <c r="C95" s="787" t="s">
        <v>3188</v>
      </c>
      <c r="D95" s="1264"/>
      <c r="E95" s="1264"/>
      <c r="F95" s="3418">
        <f>+SUM(F92:G94)</f>
        <v>0</v>
      </c>
      <c r="G95" s="3418"/>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20"/>
      <c r="G98" s="3420"/>
      <c r="H98" s="1264"/>
      <c r="I98" s="1274"/>
    </row>
    <row r="99" spans="2:9">
      <c r="B99" s="1272"/>
      <c r="C99" s="807" t="s">
        <v>3191</v>
      </c>
      <c r="D99" s="1264"/>
      <c r="E99" s="1264"/>
      <c r="F99" s="3421"/>
      <c r="G99" s="3421"/>
      <c r="H99" s="1264"/>
      <c r="I99" s="1274"/>
    </row>
    <row r="100" spans="2:9">
      <c r="B100" s="1272"/>
      <c r="C100" s="807" t="s">
        <v>3192</v>
      </c>
      <c r="D100" s="1264"/>
      <c r="E100" s="1264"/>
      <c r="F100" s="3423"/>
      <c r="G100" s="3423"/>
      <c r="H100" s="1264"/>
      <c r="I100" s="1274"/>
    </row>
    <row r="101" spans="2:9">
      <c r="B101" s="1272"/>
      <c r="C101" s="787" t="s">
        <v>3193</v>
      </c>
      <c r="D101" s="1264"/>
      <c r="E101" s="1264"/>
      <c r="F101" s="3418">
        <f>+SUM(F98:G100)</f>
        <v>0</v>
      </c>
      <c r="G101" s="3418"/>
      <c r="H101" s="1264"/>
      <c r="I101" s="1274"/>
    </row>
    <row r="102" spans="2:9">
      <c r="B102" s="1272"/>
      <c r="C102" s="1264"/>
      <c r="D102" s="1264"/>
      <c r="E102" s="1264"/>
      <c r="F102" s="1264"/>
      <c r="G102" s="1264"/>
      <c r="H102" s="1264"/>
      <c r="I102" s="1274"/>
    </row>
    <row r="103" spans="2:9">
      <c r="B103" s="1315" t="s">
        <v>3194</v>
      </c>
      <c r="C103" s="807"/>
      <c r="D103" s="1264"/>
      <c r="E103" s="1264"/>
      <c r="F103" s="3417">
        <f>'Part III-Sources of Funds'!I46+'Part III-Sources of Funds'!I47</f>
        <v>0</v>
      </c>
      <c r="G103" s="3417"/>
      <c r="H103" s="1264"/>
      <c r="I103" s="1274"/>
    </row>
    <row r="104" spans="2:9">
      <c r="B104" s="1272"/>
      <c r="C104" s="1264"/>
      <c r="D104" s="1264"/>
      <c r="E104" s="1264"/>
      <c r="F104" s="1264"/>
      <c r="G104" s="1264"/>
      <c r="H104" s="1264"/>
      <c r="I104" s="1320" t="s">
        <v>3195</v>
      </c>
    </row>
    <row r="105" spans="2:9">
      <c r="B105" s="1275" t="s">
        <v>3196</v>
      </c>
      <c r="C105" s="1264"/>
      <c r="D105" s="1264"/>
      <c r="E105" s="1264"/>
      <c r="F105" s="3417">
        <f>+F103+F101+F95+F89</f>
        <v>5094512.1467050212</v>
      </c>
      <c r="G105" s="3417"/>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5" customWidth="1"/>
    <col min="2" max="13" width="7.88671875" style="4225" customWidth="1"/>
    <col min="14" max="15" width="5.88671875" style="4225" customWidth="1"/>
    <col min="16" max="16384" width="8.88671875" style="4225"/>
  </cols>
  <sheetData>
    <row r="1" spans="1:26" ht="18">
      <c r="N1" s="4226" t="s">
        <v>1467</v>
      </c>
      <c r="O1" s="4226"/>
      <c r="P1" s="4226"/>
      <c r="Q1" s="4226"/>
      <c r="R1" s="4226"/>
      <c r="S1" s="4226"/>
      <c r="T1" s="4226"/>
      <c r="U1" s="4226"/>
      <c r="V1" s="4226"/>
      <c r="W1" s="4226"/>
      <c r="X1" s="4226"/>
      <c r="Y1" s="4226"/>
      <c r="Z1" s="4226"/>
    </row>
    <row r="2" spans="1:26">
      <c r="N2" s="4227" t="s">
        <v>1468</v>
      </c>
      <c r="O2" s="4227"/>
      <c r="P2" s="4227"/>
      <c r="Q2" s="4227"/>
      <c r="R2" s="4227"/>
      <c r="S2" s="4227"/>
      <c r="T2" s="4227"/>
      <c r="U2" s="4227"/>
      <c r="V2" s="4227"/>
      <c r="W2" s="4227"/>
      <c r="X2" s="4227"/>
      <c r="Y2" s="4227"/>
      <c r="Z2" s="4227"/>
    </row>
    <row r="3" spans="1:26">
      <c r="N3" s="4228" t="s">
        <v>1469</v>
      </c>
      <c r="O3" s="4228"/>
      <c r="P3" s="4228"/>
      <c r="Q3" s="4228"/>
      <c r="R3" s="4228"/>
      <c r="S3" s="4228"/>
      <c r="T3" s="4228"/>
      <c r="U3" s="4228"/>
      <c r="V3" s="4228"/>
      <c r="W3" s="4228"/>
      <c r="X3" s="4228"/>
      <c r="Y3" s="4228"/>
      <c r="Z3" s="4228"/>
    </row>
    <row r="4" spans="1:26">
      <c r="B4" s="4229"/>
      <c r="C4" s="4229"/>
      <c r="D4" s="4229"/>
      <c r="E4" s="4229"/>
      <c r="F4" s="4229"/>
      <c r="G4" s="4229"/>
      <c r="H4" s="4229"/>
      <c r="I4" s="4229"/>
      <c r="J4" s="4229"/>
      <c r="K4" s="4229"/>
      <c r="L4" s="4229"/>
      <c r="M4" s="4229"/>
      <c r="N4" s="4230" t="s">
        <v>684</v>
      </c>
    </row>
    <row r="5" spans="1:26" ht="59.25" customHeight="1">
      <c r="A5" s="4231" t="s">
        <v>2661</v>
      </c>
      <c r="B5" s="4231"/>
      <c r="C5" s="4231"/>
      <c r="D5" s="4231"/>
      <c r="E5" s="4231"/>
      <c r="F5" s="4231"/>
      <c r="G5" s="4231"/>
      <c r="H5" s="4231"/>
      <c r="I5" s="4231"/>
      <c r="J5" s="4231"/>
      <c r="K5" s="4231"/>
      <c r="L5" s="4231"/>
      <c r="M5" s="4231"/>
    </row>
    <row r="6" spans="1:26" ht="11.4" customHeight="1">
      <c r="A6" s="4229"/>
      <c r="B6" s="4229"/>
      <c r="C6" s="4229"/>
      <c r="D6" s="4229"/>
      <c r="E6" s="4229"/>
      <c r="F6" s="4229"/>
      <c r="G6" s="4229"/>
      <c r="H6" s="4229"/>
      <c r="I6" s="4229"/>
      <c r="J6" s="4229"/>
      <c r="K6" s="4229"/>
      <c r="L6" s="4229"/>
      <c r="M6" s="4229"/>
    </row>
    <row r="7" spans="1:26">
      <c r="A7" s="4229" t="s">
        <v>689</v>
      </c>
      <c r="B7" s="4229"/>
      <c r="C7" s="4229"/>
      <c r="D7" s="4229"/>
      <c r="E7" s="4229"/>
      <c r="F7" s="4229"/>
      <c r="G7" s="4229"/>
      <c r="H7" s="4229"/>
      <c r="I7" s="4229"/>
      <c r="J7" s="4229"/>
      <c r="K7" s="4229"/>
      <c r="L7" s="4229"/>
      <c r="M7" s="4229"/>
    </row>
    <row r="8" spans="1:26" ht="11.4" customHeight="1">
      <c r="A8" s="4229"/>
      <c r="B8" s="4229"/>
      <c r="C8" s="4229"/>
      <c r="D8" s="4229"/>
      <c r="E8" s="4229"/>
      <c r="F8" s="4229"/>
      <c r="G8" s="4229"/>
      <c r="H8" s="4229"/>
      <c r="I8" s="4229"/>
      <c r="J8" s="4229"/>
      <c r="K8" s="4229"/>
      <c r="L8" s="4229"/>
      <c r="M8" s="4229"/>
    </row>
    <row r="9" spans="1:26">
      <c r="A9" s="4232" t="s">
        <v>1858</v>
      </c>
      <c r="B9" s="4232"/>
      <c r="C9" s="4232"/>
      <c r="D9" s="4232"/>
      <c r="E9" s="4232"/>
      <c r="F9" s="4232"/>
      <c r="G9" s="4232"/>
      <c r="H9" s="4232"/>
      <c r="I9" s="4232"/>
      <c r="J9" s="4232"/>
      <c r="K9" s="4232"/>
      <c r="L9" s="4232"/>
      <c r="M9" s="4232"/>
    </row>
    <row r="10" spans="1:26" ht="6.75" customHeight="1">
      <c r="A10" s="4232"/>
      <c r="B10" s="4232"/>
      <c r="C10" s="4232"/>
      <c r="D10" s="4232"/>
      <c r="E10" s="4232"/>
      <c r="F10" s="4232"/>
      <c r="G10" s="4232"/>
      <c r="H10" s="4232"/>
      <c r="I10" s="4232"/>
      <c r="J10" s="4232"/>
      <c r="K10" s="4232"/>
      <c r="L10" s="4232"/>
      <c r="M10" s="4232"/>
    </row>
    <row r="11" spans="1:26" ht="44.25" customHeight="1">
      <c r="A11" s="4233" t="s">
        <v>4490</v>
      </c>
      <c r="B11" s="4233"/>
      <c r="C11" s="4233"/>
      <c r="D11" s="4233"/>
      <c r="E11" s="4233"/>
      <c r="F11" s="4233"/>
      <c r="G11" s="4233"/>
      <c r="H11" s="4233"/>
      <c r="I11" s="4233"/>
      <c r="J11" s="4233"/>
      <c r="K11" s="4233"/>
      <c r="L11" s="4233"/>
      <c r="M11" s="4233"/>
    </row>
    <row r="12" spans="1:26" ht="3" customHeight="1">
      <c r="A12" s="4232"/>
      <c r="B12" s="4232"/>
      <c r="C12" s="4232"/>
      <c r="D12" s="4232"/>
      <c r="E12" s="4232"/>
      <c r="F12" s="4232"/>
      <c r="G12" s="4232"/>
      <c r="H12" s="4232"/>
      <c r="I12" s="4232"/>
      <c r="J12" s="4232"/>
      <c r="K12" s="4232"/>
      <c r="L12" s="4232"/>
      <c r="M12" s="4232"/>
    </row>
    <row r="13" spans="1:26" ht="96" customHeight="1">
      <c r="A13" s="4234" t="s">
        <v>1694</v>
      </c>
      <c r="B13" s="4235" t="s">
        <v>3500</v>
      </c>
      <c r="C13" s="4235"/>
      <c r="D13" s="4235"/>
      <c r="E13" s="4235"/>
      <c r="F13" s="4235"/>
      <c r="G13" s="4235"/>
      <c r="H13" s="4235"/>
      <c r="I13" s="4235"/>
      <c r="J13" s="4235"/>
      <c r="K13" s="4235"/>
      <c r="L13" s="4235"/>
      <c r="M13" s="4235"/>
    </row>
    <row r="14" spans="1:26" ht="47.25" customHeight="1">
      <c r="A14" s="4234" t="s">
        <v>1695</v>
      </c>
      <c r="B14" s="4235" t="s">
        <v>3501</v>
      </c>
      <c r="C14" s="4235"/>
      <c r="D14" s="4235"/>
      <c r="E14" s="4235"/>
      <c r="F14" s="4235"/>
      <c r="G14" s="4235"/>
      <c r="H14" s="4235"/>
      <c r="I14" s="4235"/>
      <c r="J14" s="4235"/>
      <c r="K14" s="4235"/>
      <c r="L14" s="4235"/>
      <c r="M14" s="4235"/>
    </row>
    <row r="15" spans="1:26" ht="117" customHeight="1">
      <c r="A15" s="4234" t="s">
        <v>1696</v>
      </c>
      <c r="B15" s="4235" t="s">
        <v>3502</v>
      </c>
      <c r="C15" s="4235"/>
      <c r="D15" s="4235"/>
      <c r="E15" s="4235"/>
      <c r="F15" s="4235"/>
      <c r="G15" s="4235"/>
      <c r="H15" s="4235"/>
      <c r="I15" s="4235"/>
      <c r="J15" s="4235"/>
      <c r="K15" s="4235"/>
      <c r="L15" s="4235"/>
      <c r="M15" s="4235"/>
    </row>
    <row r="16" spans="1:26" ht="147" customHeight="1">
      <c r="A16" s="4234" t="s">
        <v>2304</v>
      </c>
      <c r="B16" s="4235" t="s">
        <v>3341</v>
      </c>
      <c r="C16" s="4235"/>
      <c r="D16" s="4235"/>
      <c r="E16" s="4235"/>
      <c r="F16" s="4235"/>
      <c r="G16" s="4235"/>
      <c r="H16" s="4235"/>
      <c r="I16" s="4235"/>
      <c r="J16" s="4235"/>
      <c r="K16" s="4235"/>
      <c r="L16" s="4235"/>
      <c r="M16" s="4235"/>
    </row>
    <row r="17" spans="1:13" ht="48.75" customHeight="1">
      <c r="A17" s="4234" t="s">
        <v>1516</v>
      </c>
      <c r="B17" s="4235" t="s">
        <v>665</v>
      </c>
      <c r="C17" s="4235"/>
      <c r="D17" s="4235"/>
      <c r="E17" s="4235"/>
      <c r="F17" s="4235"/>
      <c r="G17" s="4235"/>
      <c r="H17" s="4235"/>
      <c r="I17" s="4235"/>
      <c r="J17" s="4235"/>
      <c r="K17" s="4235"/>
      <c r="L17" s="4235"/>
      <c r="M17" s="4235"/>
    </row>
    <row r="18" spans="1:13" ht="165" customHeight="1">
      <c r="A18" s="4234" t="s">
        <v>1517</v>
      </c>
      <c r="B18" s="4235" t="s">
        <v>3340</v>
      </c>
      <c r="C18" s="4235"/>
      <c r="D18" s="4235"/>
      <c r="E18" s="4235"/>
      <c r="F18" s="4235"/>
      <c r="G18" s="4235"/>
      <c r="H18" s="4235"/>
      <c r="I18" s="4235"/>
      <c r="J18" s="4235"/>
      <c r="K18" s="4235"/>
      <c r="L18" s="4235"/>
      <c r="M18" s="4235"/>
    </row>
    <row r="19" spans="1:13" ht="48.75" customHeight="1">
      <c r="A19" s="4234" t="s">
        <v>96</v>
      </c>
      <c r="B19" s="4236" t="s">
        <v>3503</v>
      </c>
      <c r="C19" s="4236"/>
      <c r="D19" s="4236"/>
      <c r="E19" s="4236"/>
      <c r="F19" s="4236"/>
      <c r="G19" s="4236"/>
      <c r="H19" s="4236"/>
      <c r="I19" s="4236"/>
      <c r="J19" s="4236"/>
      <c r="K19" s="4236"/>
      <c r="L19" s="4236"/>
      <c r="M19" s="4236"/>
    </row>
    <row r="20" spans="1:13" ht="50.25" customHeight="1">
      <c r="A20" s="4234" t="s">
        <v>500</v>
      </c>
      <c r="B20" s="4235" t="s">
        <v>3343</v>
      </c>
      <c r="C20" s="4235"/>
      <c r="D20" s="4235"/>
      <c r="E20" s="4235"/>
      <c r="F20" s="4235"/>
      <c r="G20" s="4235"/>
      <c r="H20" s="4235"/>
      <c r="I20" s="4235"/>
      <c r="J20" s="4235"/>
      <c r="K20" s="4235"/>
      <c r="L20" s="4235"/>
      <c r="M20" s="4235"/>
    </row>
    <row r="21" spans="1:13" ht="31.5" customHeight="1">
      <c r="A21" s="4234" t="s">
        <v>501</v>
      </c>
      <c r="B21" s="4235" t="s">
        <v>3362</v>
      </c>
      <c r="C21" s="4235"/>
      <c r="D21" s="4235"/>
      <c r="E21" s="4235"/>
      <c r="F21" s="4235"/>
      <c r="G21" s="4235"/>
      <c r="H21" s="4235"/>
      <c r="I21" s="4235"/>
      <c r="J21" s="4235"/>
      <c r="K21" s="4235"/>
      <c r="L21" s="4235"/>
      <c r="M21" s="4235"/>
    </row>
    <row r="22" spans="1:13" ht="1.5" customHeight="1">
      <c r="A22" s="4232"/>
      <c r="B22" s="4232"/>
      <c r="C22" s="4232"/>
      <c r="D22" s="4232"/>
      <c r="E22" s="4232"/>
      <c r="F22" s="4232"/>
      <c r="G22" s="4232"/>
      <c r="H22" s="4232"/>
      <c r="I22" s="4232"/>
      <c r="J22" s="4232"/>
      <c r="K22" s="4232"/>
      <c r="L22" s="4232"/>
      <c r="M22" s="4232"/>
    </row>
    <row r="23" spans="1:13" ht="3" customHeight="1">
      <c r="A23" s="4232"/>
      <c r="B23" s="4232"/>
      <c r="C23" s="4232"/>
      <c r="D23" s="4232"/>
      <c r="E23" s="4232"/>
      <c r="F23" s="4232"/>
      <c r="G23" s="4232"/>
      <c r="H23" s="4232"/>
      <c r="I23" s="4232"/>
      <c r="J23" s="4232"/>
      <c r="K23" s="4232"/>
      <c r="L23" s="4232"/>
      <c r="M23" s="4232"/>
    </row>
    <row r="24" spans="1:13" ht="13.5" customHeight="1">
      <c r="A24" s="4232" t="s">
        <v>1436</v>
      </c>
      <c r="B24" s="4232"/>
      <c r="C24" s="4232"/>
      <c r="D24" s="4232"/>
      <c r="E24" s="4232"/>
      <c r="F24" s="4232"/>
      <c r="G24" s="4232"/>
      <c r="H24" s="4232"/>
      <c r="I24" s="4232"/>
      <c r="J24" s="4232"/>
      <c r="K24" s="4232"/>
      <c r="L24" s="4232"/>
      <c r="M24" s="4232"/>
    </row>
    <row r="25" spans="1:13" ht="32.25" customHeight="1">
      <c r="A25" s="4234" t="s">
        <v>1437</v>
      </c>
      <c r="B25" s="4235" t="s">
        <v>3363</v>
      </c>
      <c r="C25" s="4235"/>
      <c r="D25" s="4235"/>
      <c r="E25" s="4235"/>
      <c r="F25" s="4235"/>
      <c r="G25" s="4235"/>
      <c r="H25" s="4235"/>
      <c r="I25" s="4235"/>
      <c r="J25" s="4235"/>
      <c r="K25" s="4235"/>
      <c r="L25" s="4235"/>
      <c r="M25" s="4235"/>
    </row>
    <row r="26" spans="1:13" ht="31.5" customHeight="1">
      <c r="A26" s="4234" t="s">
        <v>1437</v>
      </c>
      <c r="B26" s="4235" t="s">
        <v>3364</v>
      </c>
      <c r="C26" s="4235"/>
      <c r="D26" s="4235"/>
      <c r="E26" s="4235"/>
      <c r="F26" s="4235"/>
      <c r="G26" s="4235"/>
      <c r="H26" s="4235"/>
      <c r="I26" s="4235"/>
      <c r="J26" s="4235"/>
      <c r="K26" s="4235"/>
      <c r="L26" s="4235"/>
      <c r="M26" s="4235"/>
    </row>
    <row r="27" spans="1:13" ht="78.75" customHeight="1">
      <c r="A27" s="4234" t="s">
        <v>1437</v>
      </c>
      <c r="B27" s="4235" t="s">
        <v>2662</v>
      </c>
      <c r="C27" s="4235"/>
      <c r="D27" s="4235"/>
      <c r="E27" s="4235"/>
      <c r="F27" s="4235"/>
      <c r="G27" s="4235"/>
      <c r="H27" s="4235"/>
      <c r="I27" s="4235"/>
      <c r="J27" s="4235"/>
      <c r="K27" s="4235"/>
      <c r="L27" s="4235"/>
      <c r="M27" s="4235"/>
    </row>
    <row r="28" spans="1:13" ht="7.5" customHeight="1">
      <c r="A28" s="4232"/>
      <c r="B28" s="4232"/>
      <c r="C28" s="4232"/>
      <c r="D28" s="4232"/>
      <c r="E28" s="4232"/>
      <c r="F28" s="4232"/>
      <c r="G28" s="4232"/>
      <c r="H28" s="4232"/>
      <c r="I28" s="4232"/>
      <c r="J28" s="4232"/>
      <c r="K28" s="4232"/>
      <c r="L28" s="4232"/>
      <c r="M28" s="4232"/>
    </row>
    <row r="29" spans="1:13" ht="43.5" customHeight="1">
      <c r="A29" s="4235" t="s">
        <v>924</v>
      </c>
      <c r="B29" s="4235"/>
      <c r="C29" s="4235"/>
      <c r="D29" s="4235"/>
      <c r="E29" s="4235"/>
      <c r="F29" s="4235"/>
      <c r="G29" s="4235"/>
      <c r="H29" s="4235"/>
      <c r="I29" s="4235"/>
      <c r="J29" s="4235"/>
      <c r="K29" s="4235"/>
      <c r="L29" s="4235"/>
      <c r="M29" s="4235"/>
    </row>
    <row r="30" spans="1:13" ht="3" customHeight="1">
      <c r="A30" s="4232"/>
      <c r="B30" s="4232"/>
      <c r="C30" s="4232"/>
      <c r="D30" s="4232"/>
      <c r="E30" s="4232"/>
      <c r="F30" s="4232"/>
      <c r="G30" s="4232"/>
      <c r="H30" s="4232"/>
      <c r="I30" s="4232"/>
      <c r="J30" s="4232"/>
      <c r="K30" s="4232"/>
      <c r="L30" s="4232"/>
      <c r="M30" s="4232"/>
    </row>
    <row r="31" spans="1:13" ht="32.25" customHeight="1">
      <c r="A31" s="4235" t="s">
        <v>2663</v>
      </c>
      <c r="B31" s="4235"/>
      <c r="C31" s="4235"/>
      <c r="D31" s="4235"/>
      <c r="E31" s="4235"/>
      <c r="F31" s="4235"/>
      <c r="G31" s="4235"/>
      <c r="H31" s="4235"/>
      <c r="I31" s="4235"/>
      <c r="J31" s="4235"/>
      <c r="K31" s="4235"/>
      <c r="L31" s="4235"/>
      <c r="M31" s="4235"/>
    </row>
    <row r="32" spans="1:13" ht="4.5" customHeight="1">
      <c r="A32" s="4232"/>
      <c r="B32" s="4232"/>
      <c r="C32" s="4232"/>
      <c r="D32" s="4232"/>
      <c r="E32" s="4232"/>
      <c r="F32" s="4232"/>
      <c r="G32" s="4232"/>
      <c r="H32" s="4232"/>
      <c r="I32" s="4232"/>
      <c r="J32" s="4232"/>
      <c r="K32" s="4232"/>
      <c r="L32" s="4232"/>
      <c r="M32" s="4232"/>
    </row>
    <row r="33" spans="1:13">
      <c r="A33" s="4232" t="s">
        <v>901</v>
      </c>
      <c r="B33" s="4232"/>
      <c r="C33" s="4232"/>
      <c r="D33" s="4232"/>
      <c r="E33" s="4232"/>
      <c r="F33" s="4232"/>
      <c r="G33" s="4232"/>
      <c r="H33" s="4232"/>
      <c r="I33" s="4232"/>
      <c r="J33" s="4232"/>
      <c r="K33" s="4232"/>
      <c r="L33" s="4232"/>
      <c r="M33" s="4232"/>
    </row>
    <row r="34" spans="1:13" ht="6" customHeight="1">
      <c r="A34" s="4237"/>
      <c r="B34" s="4237"/>
      <c r="C34" s="4237"/>
      <c r="D34" s="4237"/>
      <c r="E34" s="4237"/>
      <c r="F34" s="4237"/>
      <c r="G34" s="4237"/>
      <c r="H34" s="4237"/>
      <c r="I34" s="4237"/>
      <c r="J34" s="4237"/>
      <c r="K34" s="4237"/>
      <c r="L34" s="4237"/>
      <c r="M34" s="4237"/>
    </row>
    <row r="35" spans="1:13">
      <c r="A35" s="4238"/>
      <c r="B35" s="4238"/>
      <c r="C35" s="4238"/>
      <c r="D35" s="4238"/>
      <c r="E35" s="4238"/>
      <c r="F35" s="4238"/>
      <c r="G35" s="4239"/>
      <c r="H35" s="4238"/>
      <c r="I35" s="4238"/>
      <c r="J35" s="4238"/>
      <c r="K35" s="4238"/>
      <c r="L35" s="4238"/>
      <c r="M35" s="4238"/>
    </row>
    <row r="36" spans="1:13" ht="12" customHeight="1">
      <c r="A36" s="4240" t="s">
        <v>902</v>
      </c>
      <c r="B36" s="4240"/>
      <c r="C36" s="4240"/>
      <c r="D36" s="4240"/>
      <c r="E36" s="4240"/>
      <c r="F36" s="4240"/>
      <c r="G36" s="4239"/>
      <c r="H36" s="4240" t="s">
        <v>1932</v>
      </c>
      <c r="I36" s="4240"/>
      <c r="J36" s="4240"/>
      <c r="K36" s="4240"/>
      <c r="L36" s="4240"/>
      <c r="M36" s="4240"/>
    </row>
    <row r="37" spans="1:13" ht="6" customHeight="1">
      <c r="A37" s="4239"/>
      <c r="B37" s="4239"/>
      <c r="C37" s="4239"/>
      <c r="D37" s="4239"/>
      <c r="E37" s="4239"/>
      <c r="F37" s="4239"/>
      <c r="G37" s="4239"/>
      <c r="H37" s="4239"/>
      <c r="I37" s="4239"/>
      <c r="J37" s="4239"/>
      <c r="K37" s="4239"/>
      <c r="L37" s="4239"/>
      <c r="M37" s="4239"/>
    </row>
    <row r="38" spans="1:13">
      <c r="A38" s="4238"/>
      <c r="B38" s="4238"/>
      <c r="C38" s="4238"/>
      <c r="D38" s="4238"/>
      <c r="E38" s="4238"/>
      <c r="F38" s="4238"/>
      <c r="G38" s="4239"/>
      <c r="H38" s="4241"/>
      <c r="I38" s="4241"/>
      <c r="J38" s="4241"/>
      <c r="K38" s="4241"/>
      <c r="L38" s="4241"/>
      <c r="M38" s="4241"/>
    </row>
    <row r="39" spans="1:13" ht="12" customHeight="1">
      <c r="A39" s="4240" t="s">
        <v>903</v>
      </c>
      <c r="B39" s="4240"/>
      <c r="C39" s="4240"/>
      <c r="D39" s="4240"/>
      <c r="E39" s="4240"/>
      <c r="F39" s="4240"/>
      <c r="G39" s="4239"/>
      <c r="H39" s="4240" t="s">
        <v>904</v>
      </c>
      <c r="I39" s="4240"/>
      <c r="J39" s="4240"/>
      <c r="K39" s="4240"/>
      <c r="L39" s="4240"/>
      <c r="M39" s="4240"/>
    </row>
    <row r="40" spans="1:13" ht="3" customHeight="1">
      <c r="A40" s="4242"/>
      <c r="B40" s="4242"/>
      <c r="C40" s="4242"/>
      <c r="D40" s="4242"/>
      <c r="E40" s="4242"/>
      <c r="F40" s="4242"/>
      <c r="G40" s="4239"/>
      <c r="H40" s="4242"/>
      <c r="I40" s="4242"/>
      <c r="J40" s="4242"/>
      <c r="K40" s="4242"/>
      <c r="L40" s="4242"/>
      <c r="M40" s="4242"/>
    </row>
    <row r="41" spans="1:13" ht="11.4" customHeight="1">
      <c r="A41" s="4229"/>
      <c r="B41" s="4229"/>
      <c r="C41" s="4229"/>
      <c r="D41" s="4229"/>
      <c r="E41" s="4229"/>
      <c r="F41" s="4229"/>
      <c r="G41" s="4229"/>
      <c r="H41" s="4243" t="s">
        <v>905</v>
      </c>
      <c r="I41" s="4243"/>
      <c r="J41" s="4243"/>
      <c r="K41" s="4243"/>
      <c r="L41" s="4243"/>
      <c r="M41" s="4243"/>
    </row>
    <row r="42" spans="1:13" ht="11.4" customHeight="1">
      <c r="A42" s="4229"/>
      <c r="B42" s="4229"/>
      <c r="C42" s="4229"/>
      <c r="D42" s="4229"/>
      <c r="E42" s="4229"/>
      <c r="F42" s="4229"/>
      <c r="G42" s="4229"/>
    </row>
    <row r="43" spans="1:13" ht="11.4" customHeight="1">
      <c r="A43" s="4229"/>
      <c r="B43" s="4229"/>
      <c r="C43" s="4229"/>
      <c r="D43" s="4229"/>
      <c r="E43" s="4229"/>
      <c r="F43" s="4229"/>
      <c r="G43" s="4229"/>
      <c r="H43" s="4229"/>
      <c r="I43" s="4229"/>
      <c r="J43" s="4229"/>
      <c r="K43" s="4229"/>
      <c r="L43" s="4229"/>
      <c r="M43" s="4229"/>
    </row>
    <row r="44" spans="1:13" ht="11.4" customHeight="1">
      <c r="A44" s="4229"/>
      <c r="B44" s="4229"/>
      <c r="C44" s="4229"/>
      <c r="D44" s="4229"/>
      <c r="E44" s="4229"/>
      <c r="F44" s="4229"/>
      <c r="G44" s="4229"/>
      <c r="H44" s="4229"/>
      <c r="I44" s="4229"/>
      <c r="J44" s="4229"/>
      <c r="K44" s="4229"/>
      <c r="L44" s="4229"/>
      <c r="M44" s="4229"/>
    </row>
    <row r="45" spans="1:13" ht="11.4" customHeight="1"/>
    <row r="46" spans="1:13" ht="11.4" customHeight="1"/>
    <row r="47" spans="1:13" ht="11.4" customHeight="1"/>
    <row r="48" spans="1:13" ht="11.4" customHeight="1"/>
    <row r="49" ht="11.4" customHeight="1"/>
  </sheetData>
  <sheetProtection algorithmName="SHA-512" hashValue="kTygvyqrA2Pzu/axKY2slBErK2WWR2Eym5GuvBOXCJF8WSyQvMycUFhRQHNWj7VHBhoomUqRIa/Zm1euTtruFA==" saltValue="tLNDQJQTUejzT848miG+F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5" t="s">
        <v>703</v>
      </c>
      <c r="B2" s="3436"/>
      <c r="C2" s="3436"/>
      <c r="D2" s="3436"/>
      <c r="E2" s="3436"/>
      <c r="F2" s="3436"/>
      <c r="G2" s="3436"/>
      <c r="H2" s="3436"/>
      <c r="I2" s="3436"/>
      <c r="J2" s="3436"/>
      <c r="K2" s="3436"/>
      <c r="L2" s="3436"/>
      <c r="M2" s="3436"/>
      <c r="N2" s="3436"/>
      <c r="O2" s="3436"/>
      <c r="P2" s="3436"/>
      <c r="Q2" s="3436"/>
      <c r="R2" s="3437"/>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3441</v>
      </c>
      <c r="K12" s="280"/>
      <c r="M12" s="280"/>
      <c r="N12" s="280"/>
      <c r="O12" s="170"/>
      <c r="Q12" s="3430">
        <v>0.1</v>
      </c>
      <c r="R12" s="3431"/>
      <c r="S12" s="291"/>
      <c r="T12" s="168"/>
      <c r="U12" s="168"/>
      <c r="V12" s="945"/>
      <c r="W12" s="945"/>
      <c r="X12" s="945"/>
      <c r="AA12" s="502"/>
      <c r="AB12" s="502"/>
    </row>
    <row r="13" spans="1:28" s="270" customFormat="1" ht="12.75" customHeight="1">
      <c r="A13" s="170"/>
      <c r="B13" s="170"/>
      <c r="C13" s="170"/>
      <c r="F13" s="1563" t="s">
        <v>2633</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38" t="s">
        <v>3252</v>
      </c>
      <c r="G20" s="3439"/>
      <c r="H20" s="3439"/>
      <c r="I20" s="3439"/>
      <c r="J20" s="3440"/>
      <c r="K20" s="280"/>
      <c r="L20" s="542" t="s">
        <v>3441</v>
      </c>
      <c r="M20" s="280"/>
      <c r="N20" s="3438" t="s">
        <v>3252</v>
      </c>
      <c r="O20" s="3439"/>
      <c r="P20" s="3439"/>
      <c r="Q20" s="3439"/>
      <c r="R20" s="3440"/>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3441">
        <v>1000</v>
      </c>
      <c r="R81" s="3442"/>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1">
        <v>500</v>
      </c>
      <c r="R82" s="3442"/>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41">
        <v>1500</v>
      </c>
      <c r="R83" s="3442"/>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41">
        <v>1500</v>
      </c>
      <c r="R84" s="3442"/>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41">
        <v>1500</v>
      </c>
      <c r="R85" s="3442"/>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41">
        <v>1500</v>
      </c>
      <c r="R86" s="3442"/>
      <c r="S86" s="282"/>
      <c r="T86" s="282"/>
      <c r="U86" s="282"/>
      <c r="AA86" s="502"/>
      <c r="AB86" s="502"/>
    </row>
    <row r="87" spans="1:28" s="270" customFormat="1" ht="11.4" customHeight="1">
      <c r="A87" s="170"/>
      <c r="B87" s="170"/>
      <c r="C87" s="170"/>
      <c r="D87" s="170"/>
      <c r="E87" s="168"/>
      <c r="F87" s="172" t="s">
        <v>4234</v>
      </c>
      <c r="G87" s="170"/>
      <c r="H87" s="168"/>
      <c r="I87" s="168"/>
      <c r="J87" s="170" t="s">
        <v>1174</v>
      </c>
      <c r="K87" s="170"/>
      <c r="L87" s="170"/>
      <c r="M87" s="170"/>
      <c r="N87" s="170"/>
      <c r="O87" s="170"/>
      <c r="P87" s="168"/>
      <c r="Q87" s="3441">
        <v>6500</v>
      </c>
      <c r="R87" s="3442"/>
      <c r="S87" s="282"/>
      <c r="T87" s="282"/>
      <c r="U87" s="282"/>
      <c r="AA87" s="502"/>
      <c r="AB87" s="502"/>
    </row>
    <row r="88" spans="1:28" s="270" customFormat="1" ht="11.4" customHeight="1">
      <c r="A88" s="170"/>
      <c r="B88" s="170"/>
      <c r="C88" s="170"/>
      <c r="D88" s="170"/>
      <c r="E88" s="168"/>
      <c r="F88" s="172" t="s">
        <v>4234</v>
      </c>
      <c r="G88" s="170"/>
      <c r="H88" s="168"/>
      <c r="I88" s="168"/>
      <c r="J88" s="170" t="s">
        <v>1175</v>
      </c>
      <c r="K88" s="170"/>
      <c r="L88" s="170"/>
      <c r="M88" s="170"/>
      <c r="N88" s="170"/>
      <c r="O88" s="170"/>
      <c r="P88" s="168"/>
      <c r="Q88" s="3441">
        <v>5500</v>
      </c>
      <c r="R88" s="3442"/>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1">
        <v>5000</v>
      </c>
      <c r="R89" s="3442"/>
      <c r="S89" s="282"/>
      <c r="T89" s="282"/>
      <c r="U89" s="282"/>
      <c r="AA89" s="502"/>
      <c r="AB89" s="502"/>
    </row>
    <row r="90" spans="1:28" s="270" customFormat="1" ht="11.4" customHeight="1">
      <c r="A90" s="170"/>
      <c r="B90" s="170"/>
      <c r="C90" s="170"/>
      <c r="D90" s="170"/>
      <c r="E90" s="168"/>
      <c r="F90" s="172"/>
      <c r="G90" s="170" t="s">
        <v>4232</v>
      </c>
      <c r="H90" s="168"/>
      <c r="I90" s="168"/>
      <c r="J90" s="170" t="s">
        <v>4233</v>
      </c>
      <c r="K90" s="170"/>
      <c r="L90" s="170"/>
      <c r="M90" s="170"/>
      <c r="N90" s="170"/>
      <c r="O90" s="170"/>
      <c r="P90" s="168"/>
      <c r="Q90" s="3441">
        <v>500</v>
      </c>
      <c r="R90" s="3442"/>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41">
        <v>1500</v>
      </c>
      <c r="R91" s="3442"/>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4">
        <v>0.08</v>
      </c>
      <c r="R92" s="3434"/>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4">
        <v>0.08</v>
      </c>
      <c r="R93" s="3434"/>
      <c r="S93" s="282"/>
      <c r="T93" s="282"/>
      <c r="U93" s="282"/>
      <c r="AA93" s="502"/>
      <c r="AB93" s="502"/>
    </row>
    <row r="94" spans="1:28" s="270" customFormat="1" ht="11.4" customHeight="1">
      <c r="A94" s="170"/>
      <c r="C94" s="170"/>
      <c r="D94" s="168"/>
      <c r="E94" s="168"/>
      <c r="F94" s="172" t="s">
        <v>4235</v>
      </c>
      <c r="H94" s="170"/>
      <c r="I94" s="168"/>
      <c r="J94" s="170"/>
      <c r="K94" s="170"/>
      <c r="L94" s="170"/>
      <c r="M94" s="170"/>
      <c r="N94" s="170"/>
      <c r="O94" s="170"/>
      <c r="P94" s="168"/>
      <c r="Q94" s="3441">
        <v>3000</v>
      </c>
      <c r="R94" s="3442"/>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3441">
        <v>1500</v>
      </c>
      <c r="R95" s="3442"/>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1">
        <v>800</v>
      </c>
      <c r="R96" s="3442"/>
      <c r="S96" s="282"/>
      <c r="T96" s="282"/>
      <c r="U96" s="282"/>
      <c r="AA96" s="502"/>
      <c r="AB96" s="502"/>
    </row>
    <row r="97" spans="1:28" s="270" customFormat="1" ht="11.4" customHeight="1">
      <c r="A97" s="170"/>
      <c r="C97" s="170"/>
      <c r="D97" s="168"/>
      <c r="E97" s="168"/>
      <c r="F97" s="170"/>
      <c r="H97" s="170"/>
      <c r="I97" s="170" t="s">
        <v>4236</v>
      </c>
      <c r="J97" s="170" t="s">
        <v>1498</v>
      </c>
      <c r="K97" s="170"/>
      <c r="L97" s="170"/>
      <c r="M97" s="170"/>
      <c r="N97" s="170"/>
      <c r="O97" s="170"/>
      <c r="P97" s="168"/>
      <c r="Q97" s="3441">
        <v>1000</v>
      </c>
      <c r="R97" s="3442"/>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41">
        <v>800</v>
      </c>
      <c r="R98" s="3442"/>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1">
        <v>1500</v>
      </c>
      <c r="R99" s="3442"/>
      <c r="S99" s="282"/>
      <c r="T99" s="282"/>
      <c r="U99" s="282"/>
      <c r="AA99" s="502"/>
      <c r="AB99" s="502"/>
    </row>
    <row r="100" spans="1:28" s="270" customFormat="1" ht="11.4" customHeight="1">
      <c r="A100" s="170"/>
      <c r="B100" s="170"/>
      <c r="C100" s="170"/>
      <c r="D100" s="168"/>
      <c r="E100" s="168"/>
      <c r="F100" s="170" t="s">
        <v>3843</v>
      </c>
      <c r="I100" s="168"/>
      <c r="J100" s="170" t="s">
        <v>4238</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4237</v>
      </c>
      <c r="I101" s="168"/>
      <c r="J101" s="170" t="s">
        <v>1719</v>
      </c>
      <c r="K101" s="170"/>
      <c r="L101" s="170"/>
      <c r="M101" s="170"/>
      <c r="N101" s="170"/>
      <c r="O101" s="170"/>
      <c r="P101" s="168"/>
      <c r="Q101" s="3441">
        <v>3000</v>
      </c>
      <c r="R101" s="3442"/>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41">
        <v>75</v>
      </c>
      <c r="R102" s="3442"/>
      <c r="S102" s="282"/>
      <c r="T102" s="282"/>
      <c r="U102" s="282"/>
      <c r="AA102" s="502"/>
      <c r="AB102" s="502"/>
    </row>
    <row r="103" spans="1:28" customFormat="1" ht="11.25" customHeight="1">
      <c r="B103" s="170" t="s">
        <v>1815</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49">
        <v>25000</v>
      </c>
      <c r="R104" s="3449"/>
    </row>
    <row r="105" spans="1:28" customFormat="1" ht="11.25" customHeight="1">
      <c r="B105" s="27"/>
      <c r="C105" s="27"/>
      <c r="F105" s="158"/>
      <c r="G105" s="27"/>
      <c r="H105" s="1576"/>
      <c r="I105" s="27"/>
      <c r="J105" s="1582">
        <v>51</v>
      </c>
      <c r="K105" s="1584">
        <v>70</v>
      </c>
      <c r="Q105" s="3448">
        <v>20000</v>
      </c>
      <c r="R105" s="3448"/>
    </row>
    <row r="106" spans="1:28" customFormat="1" ht="11.25" customHeight="1">
      <c r="B106" s="27"/>
      <c r="C106" s="27"/>
      <c r="F106" s="158"/>
      <c r="G106" s="27"/>
      <c r="H106" s="1576"/>
      <c r="I106" s="27"/>
      <c r="J106" s="1582">
        <v>71</v>
      </c>
      <c r="K106" s="1583"/>
      <c r="Q106" s="3447">
        <v>15000</v>
      </c>
      <c r="R106" s="3447"/>
    </row>
    <row r="107" spans="1:28" customFormat="1" ht="11.25" customHeight="1">
      <c r="B107" s="27"/>
      <c r="C107" s="27"/>
      <c r="F107" s="27"/>
      <c r="G107" s="27"/>
      <c r="H107" s="1575">
        <v>0.04</v>
      </c>
      <c r="I107" s="27"/>
      <c r="J107" s="1582">
        <v>1</v>
      </c>
      <c r="K107" s="1584">
        <v>100</v>
      </c>
      <c r="Q107" s="3449">
        <v>18000</v>
      </c>
      <c r="R107" s="3449"/>
    </row>
    <row r="108" spans="1:28" customFormat="1" ht="11.25" customHeight="1">
      <c r="B108" s="27"/>
      <c r="C108" s="27"/>
      <c r="F108" s="27"/>
      <c r="G108" s="27"/>
      <c r="H108" s="1577"/>
      <c r="I108" s="27"/>
      <c r="J108" s="1582">
        <v>101</v>
      </c>
      <c r="K108" s="1584">
        <v>130</v>
      </c>
      <c r="Q108" s="3448">
        <v>15500</v>
      </c>
      <c r="R108" s="3448"/>
    </row>
    <row r="109" spans="1:28" customFormat="1" ht="11.25" customHeight="1">
      <c r="B109" s="27"/>
      <c r="C109" s="27"/>
      <c r="F109" s="27"/>
      <c r="G109" s="27"/>
      <c r="H109" s="1577"/>
      <c r="I109" s="27"/>
      <c r="J109" s="1582">
        <v>131</v>
      </c>
      <c r="K109" s="1583"/>
      <c r="Q109" s="3447">
        <v>13000</v>
      </c>
      <c r="R109" s="3447"/>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50">
        <v>2000000</v>
      </c>
      <c r="R112" s="3450"/>
    </row>
    <row r="113" spans="1:28" customFormat="1" ht="11.25" customHeight="1">
      <c r="B113" s="27"/>
      <c r="C113" s="27"/>
      <c r="F113" s="27"/>
      <c r="G113" s="27"/>
      <c r="H113" s="1579">
        <v>0.04</v>
      </c>
      <c r="I113" s="1571"/>
      <c r="J113" s="27"/>
      <c r="Q113" s="3450">
        <v>3500000</v>
      </c>
      <c r="R113" s="3450"/>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45">
        <v>3500000</v>
      </c>
      <c r="R115" s="3446"/>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3">
        <v>0.15</v>
      </c>
      <c r="R116" s="3444"/>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3">
        <v>0.15</v>
      </c>
      <c r="R117" s="3444"/>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3">
        <v>0.15</v>
      </c>
      <c r="R118" s="3444"/>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3">
        <v>0.15</v>
      </c>
      <c r="R119" s="3444"/>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3">
        <v>0.15</v>
      </c>
      <c r="R120" s="3444"/>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3">
        <v>0.15</v>
      </c>
      <c r="R121" s="3444"/>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3" t="s">
        <v>2312</v>
      </c>
      <c r="R122" s="3444"/>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1">
        <v>3000</v>
      </c>
      <c r="R128" s="3442"/>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4">
        <v>0.02</v>
      </c>
      <c r="R136" s="3434"/>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4">
        <v>7.0000000000000007E-2</v>
      </c>
      <c r="R137" s="3434"/>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4">
        <v>7.0000000000000007E-2</v>
      </c>
      <c r="R138" s="3434"/>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4">
        <v>0.03</v>
      </c>
      <c r="R139" s="3434"/>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4">
        <v>0.03</v>
      </c>
      <c r="R140" s="3434"/>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4">
        <v>0</v>
      </c>
      <c r="R141" s="3434"/>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34">
        <v>0.1</v>
      </c>
      <c r="R143" s="3434"/>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33">
        <v>1000000</v>
      </c>
      <c r="R144" s="3433"/>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33">
        <v>1500000</v>
      </c>
      <c r="R145" s="3433"/>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33">
        <v>375000</v>
      </c>
      <c r="R146" s="3433"/>
      <c r="S146" s="276"/>
      <c r="T146" s="276"/>
      <c r="U146" s="168"/>
      <c r="V146" s="945"/>
      <c r="W146" s="945"/>
      <c r="X146" s="945"/>
      <c r="AA146" s="502"/>
      <c r="AB146" s="502"/>
    </row>
    <row r="147" spans="1:28" s="270" customFormat="1" ht="11.4" customHeight="1">
      <c r="A147" s="170"/>
      <c r="B147" s="170"/>
      <c r="C147" s="170"/>
      <c r="D147" s="168"/>
      <c r="E147" s="168"/>
      <c r="F147" s="170"/>
      <c r="G147" s="170"/>
      <c r="H147" s="170" t="s">
        <v>4230</v>
      </c>
      <c r="I147" s="168"/>
      <c r="J147" s="170"/>
      <c r="K147" s="170"/>
      <c r="L147" s="170"/>
      <c r="M147" s="170"/>
      <c r="N147" s="170"/>
      <c r="O147" s="170"/>
      <c r="P147" s="168"/>
      <c r="Q147" s="3433"/>
      <c r="R147" s="3433"/>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33">
        <v>4000000</v>
      </c>
      <c r="R148" s="3433"/>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4231</v>
      </c>
      <c r="K151" s="170"/>
      <c r="L151" s="170"/>
      <c r="M151" s="170"/>
      <c r="N151" s="170"/>
      <c r="O151" s="170"/>
      <c r="P151" s="168"/>
      <c r="Q151" s="3434">
        <v>0.35</v>
      </c>
      <c r="R151" s="3434"/>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34" t="s">
        <v>2723</v>
      </c>
      <c r="R152" s="3434"/>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34">
        <v>0.05</v>
      </c>
      <c r="R154" s="3434"/>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34">
        <v>0.4</v>
      </c>
      <c r="R155" s="3434"/>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34">
        <v>0.02</v>
      </c>
      <c r="R156" s="3434"/>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2" t="s">
        <v>3829</v>
      </c>
      <c r="E169" s="282"/>
      <c r="F169" s="282"/>
    </row>
    <row r="170" spans="2:37" ht="10.5" customHeight="1">
      <c r="C170" s="3432"/>
      <c r="E170" s="282"/>
      <c r="F170" s="282"/>
    </row>
    <row r="171" spans="2:37" ht="10.5" customHeight="1">
      <c r="C171" s="3432"/>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3664</v>
      </c>
      <c r="O172" s="528" t="s">
        <v>3928</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3929</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3930</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3931</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3932</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3933</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3934</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3935</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3936</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3937</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3938</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3939</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3940</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3941</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3942</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3943</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3944</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3945</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3946</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3947</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3948</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3949</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3950</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3951</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3952</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3953</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3954</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3955</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3956</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3957</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3958</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3959</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3960</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3961</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3962</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3963</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3964</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3965</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3966</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3967</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3968</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3969</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3970</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3971</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3972</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3973</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3974</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3975</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3976</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3977</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3978</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3979</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3980</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3981</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3982</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3983</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3984</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3985</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3986</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3987</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3988</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3989</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3990</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3991</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3992</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3993</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3994</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3995</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3996</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3997</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3998</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3999</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4000</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4001</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4002</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4003</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4004</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4005</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4006</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4007</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4008</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4009</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4010</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4011</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4012</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4013</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4014</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4015</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4016</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4017</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4018</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4019</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4020</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4021</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4022</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4023</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4024</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4025</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4026</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4027</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4028</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4029</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4030</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4031</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4032</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4033</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4034</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4035</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4036</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4037</v>
      </c>
      <c r="P281" s="530" t="s">
        <v>2269</v>
      </c>
      <c r="Q281" s="291"/>
      <c r="R281" s="170"/>
      <c r="S281" s="387"/>
      <c r="T281" s="491" t="s">
        <v>4239</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4038</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4039</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4040</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4041</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4042</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4043</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4044</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4045</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4046</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4047</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4048</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4049</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4050</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4051</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4052</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4053</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4054</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4055</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4056</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4057</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4058</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4059</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4060</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4061</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4062</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4063</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4064</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4065</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4066</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4067</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4068</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4069</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4070</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4071</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4072</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4073</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4074</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4075</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4076</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4077</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4078</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4079</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4080</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4081</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4082</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4083</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4084</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4085</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4086</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4087</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4088</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51">
        <v>2019</v>
      </c>
      <c r="D334" s="3452"/>
      <c r="E334" s="3452"/>
      <c r="F334" s="3452"/>
      <c r="G334" s="3451">
        <v>2020</v>
      </c>
      <c r="H334" s="3451"/>
      <c r="I334" s="3451"/>
      <c r="J334" s="3451"/>
      <c r="K334"/>
      <c r="L334" s="3453" t="s">
        <v>4764</v>
      </c>
      <c r="M334" s="3454"/>
      <c r="N334" s="3454"/>
      <c r="O334" s="3455"/>
      <c r="P334" s="530" t="s">
        <v>774</v>
      </c>
      <c r="Q334" s="291"/>
      <c r="R334" s="170"/>
      <c r="S334" s="387"/>
      <c r="T334" s="531" t="s">
        <v>671</v>
      </c>
      <c r="U334" s="531" t="s">
        <v>2126</v>
      </c>
      <c r="W334" s="427" t="s">
        <v>1422</v>
      </c>
      <c r="X334" s="427" t="s">
        <v>3278</v>
      </c>
      <c r="AA334" s="27"/>
      <c r="AB334" s="27"/>
      <c r="AC334" s="889"/>
      <c r="AD334" s="502"/>
    </row>
    <row r="335" spans="3:30" ht="10.5" customHeight="1">
      <c r="C335" s="3456" t="s">
        <v>4607</v>
      </c>
      <c r="D335" s="3457" t="s">
        <v>4608</v>
      </c>
      <c r="E335" s="3457" t="s">
        <v>4609</v>
      </c>
      <c r="F335" s="3457" t="s">
        <v>4610</v>
      </c>
      <c r="G335" s="3456" t="s">
        <v>4607</v>
      </c>
      <c r="H335" s="3457" t="s">
        <v>4608</v>
      </c>
      <c r="I335" s="3457" t="s">
        <v>4609</v>
      </c>
      <c r="J335" s="3457" t="s">
        <v>4610</v>
      </c>
      <c r="K335"/>
      <c r="L335" s="3456" t="s">
        <v>4607</v>
      </c>
      <c r="M335" s="3457" t="s">
        <v>4608</v>
      </c>
      <c r="N335" s="3457" t="s">
        <v>4609</v>
      </c>
      <c r="O335" s="3457" t="s">
        <v>4610</v>
      </c>
      <c r="P335" s="530" t="s">
        <v>2358</v>
      </c>
      <c r="Q335" s="291"/>
      <c r="R335" s="170"/>
      <c r="S335" s="387"/>
      <c r="T335" s="491" t="s">
        <v>151</v>
      </c>
      <c r="U335" s="491" t="s">
        <v>1828</v>
      </c>
      <c r="W335" s="427" t="s">
        <v>1549</v>
      </c>
      <c r="X335" s="427" t="s">
        <v>3278</v>
      </c>
      <c r="AA335" s="27"/>
      <c r="AB335" s="27"/>
      <c r="AC335" s="890"/>
      <c r="AD335" s="502"/>
    </row>
    <row r="336" spans="3:30" ht="10.5" customHeight="1">
      <c r="C336" s="3456"/>
      <c r="D336" s="3457"/>
      <c r="E336" s="3457"/>
      <c r="F336" s="3457"/>
      <c r="G336" s="3456"/>
      <c r="H336" s="3457"/>
      <c r="I336" s="3457"/>
      <c r="J336" s="3457"/>
      <c r="K336"/>
      <c r="L336" s="3456"/>
      <c r="M336" s="3457"/>
      <c r="N336" s="3457"/>
      <c r="O336" s="3457"/>
      <c r="P336" s="530" t="s">
        <v>2359</v>
      </c>
      <c r="Q336" s="291"/>
      <c r="R336" s="170"/>
      <c r="S336" s="387"/>
      <c r="T336" s="491" t="s">
        <v>192</v>
      </c>
      <c r="U336" s="491" t="s">
        <v>610</v>
      </c>
      <c r="W336" s="427" t="s">
        <v>2069</v>
      </c>
      <c r="X336" s="427" t="s">
        <v>3278</v>
      </c>
      <c r="AA336" s="27"/>
      <c r="AB336" s="27"/>
      <c r="AC336" s="889"/>
      <c r="AD336" s="502"/>
    </row>
    <row r="337" spans="3:30" ht="10.5" customHeight="1">
      <c r="C337" s="3456"/>
      <c r="D337" s="3457"/>
      <c r="E337" s="3457"/>
      <c r="F337" s="3457"/>
      <c r="G337" s="3456"/>
      <c r="H337" s="3457"/>
      <c r="I337" s="3457"/>
      <c r="J337" s="3457"/>
      <c r="K337"/>
      <c r="L337" s="3456"/>
      <c r="M337" s="3457"/>
      <c r="N337" s="3457"/>
      <c r="O337" s="3457"/>
      <c r="P337" s="530" t="s">
        <v>2361</v>
      </c>
      <c r="Q337" s="291"/>
      <c r="R337" s="170"/>
      <c r="S337" s="387"/>
      <c r="T337" s="491" t="s">
        <v>2501</v>
      </c>
      <c r="U337" s="491" t="s">
        <v>1961</v>
      </c>
      <c r="W337" s="427" t="s">
        <v>2071</v>
      </c>
      <c r="X337" s="427" t="s">
        <v>3278</v>
      </c>
      <c r="AA337" s="27"/>
      <c r="AB337" s="27"/>
      <c r="AC337" s="889"/>
      <c r="AD337" s="502"/>
    </row>
    <row r="338" spans="3:30" ht="10.5" customHeight="1">
      <c r="C338" s="3456"/>
      <c r="D338" s="3457"/>
      <c r="E338" s="3457"/>
      <c r="F338" s="3457"/>
      <c r="G338" s="3456"/>
      <c r="H338" s="3457"/>
      <c r="I338" s="3457"/>
      <c r="J338" s="3457"/>
      <c r="K338"/>
      <c r="L338" s="3456"/>
      <c r="M338" s="3457"/>
      <c r="N338" s="3457"/>
      <c r="O338" s="3457"/>
      <c r="P338" s="530" t="s">
        <v>2363</v>
      </c>
      <c r="Q338" s="291"/>
      <c r="R338" s="170"/>
      <c r="S338" s="387"/>
      <c r="T338" s="491" t="s">
        <v>771</v>
      </c>
      <c r="U338" s="491" t="s">
        <v>103</v>
      </c>
      <c r="W338" s="427" t="s">
        <v>1413</v>
      </c>
      <c r="X338" s="427" t="s">
        <v>3278</v>
      </c>
      <c r="AA338" s="27"/>
      <c r="AB338" s="27"/>
      <c r="AC338" s="889"/>
      <c r="AD338" s="502"/>
    </row>
    <row r="339" spans="3:30" ht="10.5" customHeight="1">
      <c r="C339" s="3456"/>
      <c r="D339" s="3457"/>
      <c r="E339" s="3457"/>
      <c r="F339" s="3457"/>
      <c r="G339" s="3456"/>
      <c r="H339" s="3457"/>
      <c r="I339" s="3457"/>
      <c r="J339" s="3457"/>
      <c r="K339"/>
      <c r="L339" s="3456"/>
      <c r="M339" s="3457"/>
      <c r="N339" s="3457"/>
      <c r="O339" s="3457"/>
      <c r="P339" s="530" t="s">
        <v>2364</v>
      </c>
      <c r="Q339" s="291"/>
      <c r="R339" s="170"/>
      <c r="S339" s="387"/>
      <c r="T339" s="491" t="s">
        <v>773</v>
      </c>
      <c r="U339" s="491" t="s">
        <v>119</v>
      </c>
      <c r="W339" s="427" t="s">
        <v>1523</v>
      </c>
      <c r="X339" s="427" t="s">
        <v>3278</v>
      </c>
      <c r="AA339" s="27"/>
      <c r="AB339" s="27"/>
      <c r="AC339" s="889"/>
      <c r="AD339" s="502"/>
    </row>
    <row r="340" spans="3:30" ht="10.5" customHeight="1">
      <c r="C340" s="3456"/>
      <c r="D340" s="3457"/>
      <c r="E340" s="3457"/>
      <c r="F340" s="3457"/>
      <c r="G340" s="3456"/>
      <c r="H340" s="3457"/>
      <c r="I340" s="3457"/>
      <c r="J340" s="3457"/>
      <c r="K340"/>
      <c r="L340" s="3456"/>
      <c r="M340" s="3457"/>
      <c r="N340" s="3457"/>
      <c r="O340" s="3457"/>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1887</v>
      </c>
      <c r="Q366" s="291"/>
      <c r="R366" s="170"/>
      <c r="S366" s="387"/>
      <c r="T366" s="531" t="s">
        <v>4240</v>
      </c>
      <c r="U366" s="531" t="s">
        <v>646</v>
      </c>
      <c r="W366" s="427" t="s">
        <v>2450</v>
      </c>
      <c r="X366" s="427" t="s">
        <v>3278</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3544</v>
      </c>
      <c r="Q394" s="291"/>
      <c r="R394" s="170"/>
      <c r="S394" s="387"/>
      <c r="T394" s="491" t="s">
        <v>2302</v>
      </c>
      <c r="U394" s="491" t="s">
        <v>2416</v>
      </c>
      <c r="W394" s="427" t="s">
        <v>1668</v>
      </c>
      <c r="X394" s="427" t="s">
        <v>3278</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1854</v>
      </c>
      <c r="Q693" s="291"/>
      <c r="R693" s="170"/>
      <c r="S693" s="387"/>
      <c r="T693" s="491" t="s">
        <v>4241</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1920</v>
      </c>
      <c r="Q706" s="291"/>
      <c r="R706" s="170"/>
      <c r="S706" s="387"/>
      <c r="T706" s="491" t="s">
        <v>4242</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idZ6dgpPVUC3a9MxrqD/0NMQJ1FhZDd28lIy46fH9c+hl7J7zXFWrUwGso5z2UEsCJWilgifyD+Epm1SRn1Gbw==" saltValue="Omfv4fTa9oM5ZfEAXPsyD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8671875" defaultRowHeight="13.2"/>
  <cols>
    <col min="1" max="1" width="9.109375" style="1995" bestFit="1" customWidth="1"/>
    <col min="2" max="2" width="10.109375" style="1995" bestFit="1" customWidth="1"/>
    <col min="3" max="7" width="9.5546875" style="1995" bestFit="1" customWidth="1"/>
    <col min="8" max="8" width="13.10937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44140625" style="1995" bestFit="1" customWidth="1"/>
    <col min="16" max="16" width="12.664062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Freedom's Path at Dublin</v>
      </c>
    </row>
    <row r="3" spans="1:6" ht="13.8">
      <c r="A3" s="1818" t="str">
        <f>CONCATENATE('Part I-Project Information'!F38,", ", 'Part I-Project Information'!J39," County")</f>
        <v>Dublin, Laurens County</v>
      </c>
    </row>
    <row r="5" spans="1:6" ht="13.2" customHeight="1">
      <c r="A5" s="1844" t="str">
        <f>'Project Narrative'!A5</f>
        <v xml:space="preserve">For the past eight years, the US Department of Veterans Affairs has been addressing several issues through one creative program called the Building Utilization Review and Repurposing (BURR) initiative.  Based on an audit of all VA facilities done about eight years ago, it was determined that there were approximately 1,400 vacant buildings on VA Medical Center campuses. The VA was spending millions to maintain the buildings to no benefit of anyone. At the same time, it was reported through the Annual Homeless Assessment Report provided to Congress each year that there were almost 80,000 homeless Veterans across the country, not to mention the number of disabled, senior and low income Veterans who were poorly housed or grossly rent-burdened.  This appalling situation was characterized as a national disgrace by politicians and bureaucrats across the political and agency landscape.
The VA decided to make a bold attempt to recruit the private sector in an effort to eliminate functional Veteran homelessness, reduce the number of vacant buildings on its campuses, and enhance the provision of services being offered to its homeless, disabled and low income Veterans through creative partnerships with developers and non-VA service providers.  Using its approved ability to lease land on its campuses (Enhanced Use Lease or EUL authority), the VA issued more than 50 Requests for Proposals across the country for this purpose.  Communities for Veterans (CfV) responded to several of these RFP’s and was eventually selected to redevelop ten properties, including this Carl Vinson VA/Dublin project in 2017.  Over the years (since 2012), CfV has completed  eight of the ten projects, which provide 423 units of housing for homeless, near homeless, disabled and senior low income Veterans in seven states.   Dublin will be the 10th to be redeveloped by CfV under this program.
The Dublin project includes 4.3 acres of land on which two historic VA structures are located.  The buildings were constructed toward the end of World War II to handle the needs of returning Veterans from that war.  Over the years with the development both of new buildings and new treatment modalities the buildings became obsolete.  In 2001 they were transferred to a State agency for residential services to patients with mental health challenges.  However, changes in Federal Laws, coupled with the deteriorating condition of the buildings led to their abandonment a second time with the buildings were transferred back to the VA.  Subsequently, they were offered through the RFP process referenced above, which is how CfV became involved.
This project includes the adaptive re-use and historic renovation of the two existing buildings to generate 44 units (22 efficiency and 22 one bedroom) with a leasing preference being afforded to Veterans who are homeless, near homeless, or disabled, who meet the income guidelines of the program.  Six two bedroom units are being developed to serve small households, which may include a single male or female Veteran or two parent households with a child.  With more women in the military, this has become an emerging issue in terms of housing Veterans with income or disability issues.
As noted above, the housing will include a preference for Veterans, but will not be restricted to Veterans.  Conversely, any Veterans with a HUD-VASH Housing Choice Voucher will be afforded a Housing First preference, meaning that typical underwriting that might preclude the Veteran from being able to access standard rental housing (e.g. job history, criminal record, prior rental history) will be relaxed.  The criterion for admission will be predicated on their selection for a Voucher by the PHA.
It has been shown through the Corporation for Supportive Housing, various National Equity Fund financed projects and through these completed VA BURR projects that Veterans living with other Veterans, in proximity to the panoply of VA services that are afforded to them via immediate access to the VA Medical Center that an on-campus housing option affords to them, has a remarkable success rate regarding remaining in permanent housing and moving forward with education, employment and life enrichment activities.  This is the model of housing and services, both VA and non-VA provided, that is being emulated here.
The City of Dublin has totally embraced this project and its goals, demonstrated in part by including this area of housing in its redevelopment plans and its Georgia Institute for Community Housing objectives. The City is also enabling this project to move forward with various fee waivers and other concessions to typical development and operating costs.  
The Dublin Housing Authority and Garrison for Veterans (a service connected disabled Veteran minority small business) are involved as joint venture partners with CfV, bringing local knowledge, relationships, services and resources to the project.  This is in addition to the VA itself, which will provide a tremendous array of medical, pharmacy, therapeutic and rehabilitation services to the future Veteran residents.  Finally, several Veteran Service Organizations and local non-profits will augment the services of the VA for those Veterans and non-Veterans (if any) who may elect not to utilize or not be eligible to use VA provided services.
The project will be financed using the availability of the land and buildings at no cost from the VA, federal and state historic tax credits, along with low income housing tax credits.  This is a model of financing that CfV has used in all of its other VA projects.  Given the population being served, this affords CfV the ability to utilize free cash flow to augment the VA and other non-profit services by contributing back into the project additional financial resources from cash flow.
The resident population will be drawn primarily from Veterans who are being treated at the Carl Vinson VA Medical Center upon their release as a transition from in-patient treatment programs to an out-patient locally available permanent housing option.  Further, Veterans reporting to the medical center as homeless or near homeless will be referred by the homeless coordinator for HUD-VASH voucher approval, or if resources through disability payments or other income can ensure the payment of rents, through direct provision of housing at the property.  The point here is that the VA Medical Center will be the primary locus of identification of Veterans who would need and benefit from the housing. 
The project will be managed by Pinnacle Management, a nationally recognized affordable housing property manager that manages all of the other CfV developed Veteran projects around the country.
CfV has successfully redeveloped three historic buildings on the Charlie Norwood VA Medical Center campus with a total of 98 units.  One of the two buildings on the Dublin campus is a scaled down version of one of the buildings on the Augusta campus, so there is a history of the successful completion of historic rehab projects in Georgia on a VA campus for Veterans.
</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4095</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6917</v>
      </c>
      <c r="H30" s="1819"/>
      <c r="I30" s="1819"/>
      <c r="J30" s="1819"/>
      <c r="K30" s="1819"/>
      <c r="L30" s="1821"/>
      <c r="M30" s="1819"/>
      <c r="N30" s="1819"/>
      <c r="O30" s="1819"/>
      <c r="P30" s="1826" t="s">
        <v>3648</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2020-042</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3603</v>
      </c>
      <c r="G34" s="1819"/>
      <c r="H34" s="1819"/>
      <c r="I34" s="1824">
        <f>'Part IV-A-Uses of Funds'!$J$184</f>
        <v>625000</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3534</v>
      </c>
      <c r="J36" s="1819" t="s">
        <v>6963</v>
      </c>
      <c r="K36" s="1819"/>
      <c r="L36" s="1821"/>
      <c r="M36" s="1819"/>
      <c r="N36" s="1819"/>
      <c r="O36" s="1819" t="str">
        <f>'Part I-Project Information'!O11</f>
        <v>2020PA-007</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No</v>
      </c>
      <c r="G39" s="1823" t="s">
        <v>4818</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4800</v>
      </c>
      <c r="C40" s="1819"/>
      <c r="D40" s="1819"/>
      <c r="E40" s="1819"/>
      <c r="F40" s="1965">
        <f>'Part I-Project Information'!F15</f>
        <v>0</v>
      </c>
      <c r="G40" s="1965"/>
      <c r="H40" s="1965"/>
      <c r="I40" s="1965"/>
      <c r="J40" s="1819" t="s">
        <v>4514</v>
      </c>
      <c r="K40" s="1819"/>
      <c r="L40" s="1819">
        <f>'Part I-Project Information'!L15</f>
        <v>0</v>
      </c>
      <c r="M40" s="1819"/>
      <c r="N40" s="1819" t="s">
        <v>4513</v>
      </c>
      <c r="O40" s="1819"/>
      <c r="P40" s="1832">
        <f>'Part I-Project Information'!P15</f>
        <v>0</v>
      </c>
      <c r="Q40" s="1819"/>
      <c r="R40" s="1819"/>
      <c r="S40" s="1819"/>
      <c r="T40" s="1819"/>
      <c r="U40" s="1819"/>
    </row>
    <row r="41" spans="1:21" ht="13.8">
      <c r="A41" s="1821"/>
      <c r="B41" s="1819" t="s">
        <v>3602</v>
      </c>
      <c r="C41" s="1819"/>
      <c r="D41" s="1819"/>
      <c r="E41" s="1819"/>
      <c r="F41" s="1861">
        <f>'Part I-Project Information'!F16</f>
        <v>0</v>
      </c>
      <c r="G41" s="1819" t="s">
        <v>4451</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4114</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3655</v>
      </c>
      <c r="C45" s="1819"/>
      <c r="D45" s="1819"/>
      <c r="E45" s="1819"/>
      <c r="F45" s="1819" t="str">
        <f>'Part I-Project Information'!F20</f>
        <v>Communities for Veterans LLC</v>
      </c>
      <c r="G45" s="1819"/>
      <c r="H45" s="1819"/>
      <c r="I45" s="1819" t="s">
        <v>1753</v>
      </c>
      <c r="J45" s="1819" t="str">
        <f>'Part I-Project Information'!J20</f>
        <v>Don Paxton</v>
      </c>
      <c r="K45" s="1819"/>
      <c r="L45" s="1819"/>
      <c r="M45" s="1823" t="s">
        <v>1932</v>
      </c>
      <c r="N45" s="1819" t="str">
        <f>'Part I-Project Information'!N20</f>
        <v>Member and Manager</v>
      </c>
      <c r="O45" s="1819"/>
      <c r="P45" s="1819"/>
      <c r="Q45" s="1819"/>
      <c r="R45" s="1819"/>
      <c r="S45" s="1819"/>
      <c r="T45" s="1819"/>
      <c r="U45" s="1819"/>
    </row>
    <row r="46" spans="1:21" ht="13.95" customHeight="1">
      <c r="A46" s="1819"/>
      <c r="B46" s="1823" t="s">
        <v>1933</v>
      </c>
      <c r="C46" s="1819"/>
      <c r="D46" s="1819"/>
      <c r="E46" s="1819"/>
      <c r="F46" s="1819" t="str">
        <f>'Part I-Project Information'!F21</f>
        <v>One Tower, 2 N. Tamiami Trail-Suite 800</v>
      </c>
      <c r="G46" s="1819"/>
      <c r="H46" s="1819"/>
      <c r="I46" s="1819"/>
      <c r="J46" s="1819"/>
      <c r="K46" s="1819"/>
      <c r="L46" s="1819"/>
      <c r="M46" s="1849" t="s">
        <v>3654</v>
      </c>
      <c r="N46" s="1849"/>
      <c r="O46" s="1849"/>
      <c r="P46" s="1849"/>
      <c r="Q46" s="1819"/>
      <c r="R46" s="1819"/>
      <c r="S46" s="1819"/>
      <c r="T46" s="1819"/>
      <c r="U46" s="1819"/>
    </row>
    <row r="47" spans="1:21" ht="13.8">
      <c r="A47" s="1819"/>
      <c r="B47" s="1823" t="s">
        <v>600</v>
      </c>
      <c r="C47" s="1819"/>
      <c r="D47" s="1819"/>
      <c r="E47" s="1819"/>
      <c r="F47" s="1819" t="str">
        <f>'Part I-Project Information'!F22</f>
        <v>Sarasota</v>
      </c>
      <c r="G47" s="1819"/>
      <c r="H47" s="1819"/>
      <c r="I47" s="1823" t="s">
        <v>1754</v>
      </c>
      <c r="J47" s="1838" t="str">
        <f>'Part I-Project Information'!J22</f>
        <v>FL</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342365559</v>
      </c>
      <c r="G48" s="2187"/>
      <c r="H48" s="2187"/>
      <c r="I48" s="1823" t="s">
        <v>1678</v>
      </c>
      <c r="J48" s="2188">
        <f>'Part I-Project Information'!J23</f>
        <v>9419291270</v>
      </c>
      <c r="K48" s="2188"/>
      <c r="L48" s="1821" t="s">
        <v>1677</v>
      </c>
      <c r="M48" s="1821">
        <f>'Part I-Project Information'!M23</f>
        <v>110</v>
      </c>
      <c r="N48" s="1823" t="s">
        <v>1679</v>
      </c>
      <c r="O48" s="2188">
        <f>'Part I-Project Information'!O23</f>
        <v>9412282185</v>
      </c>
      <c r="P48" s="2188"/>
      <c r="Q48" s="1819"/>
      <c r="R48" s="1819"/>
      <c r="S48" s="1819"/>
      <c r="T48" s="1819"/>
      <c r="U48" s="1819"/>
    </row>
    <row r="49" spans="1:21" ht="13.8">
      <c r="A49" s="1819"/>
      <c r="B49" s="1823" t="s">
        <v>1936</v>
      </c>
      <c r="C49" s="1819"/>
      <c r="D49" s="1819"/>
      <c r="E49" s="1819"/>
      <c r="F49" s="1819" t="str">
        <f>'Part I-Project Information'!F24</f>
        <v>dpaxton@cfveterans.com</v>
      </c>
      <c r="G49" s="1819"/>
      <c r="H49" s="1819"/>
      <c r="I49" s="1819"/>
      <c r="J49" s="1819"/>
      <c r="K49" s="1819"/>
      <c r="L49" s="1819"/>
      <c r="M49" s="1819"/>
      <c r="N49" s="1823" t="s">
        <v>1931</v>
      </c>
      <c r="O49" s="2188">
        <f>'Part I-Project Information'!O24</f>
        <v>9412282185</v>
      </c>
      <c r="P49" s="2188"/>
      <c r="Q49" s="1819"/>
      <c r="R49" s="1819"/>
      <c r="S49" s="1819"/>
      <c r="T49" s="1819"/>
      <c r="U49" s="1819"/>
    </row>
    <row r="50" spans="1:21" ht="13.8">
      <c r="A50" s="1821"/>
      <c r="B50" s="1819" t="s">
        <v>4113</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3655</v>
      </c>
      <c r="C51" s="1819"/>
      <c r="D51" s="1819"/>
      <c r="E51" s="1819"/>
      <c r="F51" s="1819" t="str">
        <f>'Part I-Project Information'!F26</f>
        <v>Garrison for Veterans, Inc.</v>
      </c>
      <c r="G51" s="1819"/>
      <c r="H51" s="1819"/>
      <c r="I51" s="1819" t="s">
        <v>1753</v>
      </c>
      <c r="J51" s="1819" t="str">
        <f>'Part I-Project Information'!J26</f>
        <v>Terell Brown</v>
      </c>
      <c r="K51" s="1819"/>
      <c r="L51" s="1819"/>
      <c r="M51" s="1823" t="s">
        <v>1932</v>
      </c>
      <c r="N51" s="1819" t="str">
        <f>'Part I-Project Information'!N26</f>
        <v>Owner</v>
      </c>
      <c r="O51" s="1819"/>
      <c r="P51" s="1819"/>
      <c r="Q51" s="1819"/>
      <c r="R51" s="1819"/>
      <c r="S51" s="1819"/>
      <c r="T51" s="1819"/>
      <c r="U51" s="1819"/>
    </row>
    <row r="52" spans="1:21" ht="13.95" customHeight="1">
      <c r="A52" s="1819"/>
      <c r="B52" s="1823" t="s">
        <v>1933</v>
      </c>
      <c r="C52" s="1819"/>
      <c r="D52" s="1819"/>
      <c r="E52" s="1819"/>
      <c r="F52" s="1819" t="str">
        <f>'Part I-Project Information'!F27</f>
        <v>4708 Shallow Ridge Road</v>
      </c>
      <c r="G52" s="1819"/>
      <c r="H52" s="1819"/>
      <c r="I52" s="1819"/>
      <c r="J52" s="1819"/>
      <c r="K52" s="1819"/>
      <c r="L52" s="1819"/>
      <c r="M52" s="1849" t="s">
        <v>3654</v>
      </c>
      <c r="N52" s="1849"/>
      <c r="O52" s="1849"/>
      <c r="P52" s="1849"/>
      <c r="Q52" s="1819"/>
      <c r="R52" s="1819"/>
      <c r="S52" s="1819"/>
      <c r="T52" s="1819"/>
      <c r="U52" s="1819"/>
    </row>
    <row r="53" spans="1:21" ht="13.8">
      <c r="A53" s="1819"/>
      <c r="B53" s="1823" t="s">
        <v>600</v>
      </c>
      <c r="C53" s="1819"/>
      <c r="D53" s="1819"/>
      <c r="E53" s="1819"/>
      <c r="F53" s="1819" t="str">
        <f>'Part I-Project Information'!F28</f>
        <v>Kennesaw</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301440000</v>
      </c>
      <c r="G54" s="2187"/>
      <c r="H54" s="2187"/>
      <c r="I54" s="1823" t="s">
        <v>1678</v>
      </c>
      <c r="J54" s="2188">
        <f>'Part I-Project Information'!J29</f>
        <v>4046108389</v>
      </c>
      <c r="K54" s="2188"/>
      <c r="L54" s="1821" t="s">
        <v>1677</v>
      </c>
      <c r="M54" s="1821">
        <f>'Part I-Project Information'!M29</f>
        <v>0</v>
      </c>
      <c r="N54" s="1823" t="s">
        <v>1679</v>
      </c>
      <c r="O54" s="2188">
        <f>'Part I-Project Information'!O29</f>
        <v>4046108389</v>
      </c>
      <c r="P54" s="2188"/>
      <c r="Q54" s="1819"/>
      <c r="R54" s="1819"/>
      <c r="S54" s="1819"/>
      <c r="T54" s="1819"/>
      <c r="U54" s="1819"/>
    </row>
    <row r="55" spans="1:21" ht="13.8">
      <c r="A55" s="1819"/>
      <c r="B55" s="1823" t="s">
        <v>1936</v>
      </c>
      <c r="C55" s="1819"/>
      <c r="D55" s="1819"/>
      <c r="E55" s="1819"/>
      <c r="F55" s="1819" t="str">
        <f>'Part I-Project Information'!F30</f>
        <v>tbrown@gfveterans.com</v>
      </c>
      <c r="G55" s="1819"/>
      <c r="H55" s="1819"/>
      <c r="I55" s="1819"/>
      <c r="J55" s="1819"/>
      <c r="K55" s="1819"/>
      <c r="L55" s="1819"/>
      <c r="M55" s="1819"/>
      <c r="N55" s="1823" t="s">
        <v>1931</v>
      </c>
      <c r="O55" s="2188">
        <f>'Part I-Project Information'!O30</f>
        <v>4046108389</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Freedom's Path at Dublin</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1826 Veterans Boulevard</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6849</v>
      </c>
      <c r="C61" s="1819"/>
      <c r="D61" s="1826"/>
      <c r="E61" s="1819"/>
      <c r="F61" s="1965">
        <f>'Part I-Project Information'!F36</f>
        <v>0</v>
      </c>
      <c r="G61" s="1965"/>
      <c r="H61" s="1965"/>
      <c r="I61" s="1965"/>
      <c r="J61" s="1965"/>
      <c r="K61" s="1965"/>
      <c r="L61" s="1823" t="s">
        <v>2001</v>
      </c>
      <c r="M61" s="1819"/>
      <c r="N61" s="1821" t="str">
        <f>'Part I-Project Information'!N36</f>
        <v>No</v>
      </c>
      <c r="O61" s="1821" t="s">
        <v>3505</v>
      </c>
      <c r="P61" s="1821">
        <f>'Part I-Project Information'!P36</f>
        <v>0</v>
      </c>
      <c r="Q61" s="1819"/>
      <c r="R61" s="1819"/>
      <c r="S61" s="1819"/>
      <c r="T61" s="1819"/>
      <c r="U61" s="1819"/>
    </row>
    <row r="62" spans="1:21" ht="13.8">
      <c r="A62" s="1826"/>
      <c r="B62" s="1819" t="s">
        <v>3552</v>
      </c>
      <c r="C62" s="1819"/>
      <c r="D62" s="1826"/>
      <c r="E62" s="1819"/>
      <c r="F62" s="1819" t="s">
        <v>3535</v>
      </c>
      <c r="G62" s="2189">
        <f>'Part I-Project Information'!G37</f>
        <v>32.538440000000001</v>
      </c>
      <c r="H62" s="2189"/>
      <c r="I62" s="1821" t="s">
        <v>3536</v>
      </c>
      <c r="J62" s="2189">
        <f>'Part I-Project Information'!J37</f>
        <v>-82.945049999999995</v>
      </c>
      <c r="K62" s="2189"/>
      <c r="L62" s="1823" t="s">
        <v>2224</v>
      </c>
      <c r="M62" s="1819"/>
      <c r="N62" s="1819"/>
      <c r="O62" s="2190">
        <f>'Part I-Project Information'!O37</f>
        <v>4.33</v>
      </c>
      <c r="P62" s="2190"/>
      <c r="Q62" s="1819"/>
      <c r="R62" s="1819"/>
      <c r="S62" s="1819"/>
      <c r="T62" s="1819"/>
      <c r="U62" s="1819"/>
    </row>
    <row r="63" spans="1:21" ht="14.4">
      <c r="A63" s="1821"/>
      <c r="B63" s="1819" t="s">
        <v>600</v>
      </c>
      <c r="C63" s="1819"/>
      <c r="D63" s="1819"/>
      <c r="E63" s="1819"/>
      <c r="F63" s="1819" t="str">
        <f>'Part I-Project Information'!F38</f>
        <v>Dublin</v>
      </c>
      <c r="G63" s="1819"/>
      <c r="H63" s="1819"/>
      <c r="I63" s="1829" t="s">
        <v>6964</v>
      </c>
      <c r="J63" s="2187">
        <f>'Part I-Project Information'!J38</f>
        <v>310213620</v>
      </c>
      <c r="K63" s="2187"/>
      <c r="L63" s="1819" t="str">
        <f>IF(AND(NOT(F59=""),NOT(F63="Select from list"),J63=""),"Enter Zip!","")</f>
        <v/>
      </c>
      <c r="M63" s="1830" t="s">
        <v>2802</v>
      </c>
      <c r="N63" s="1819"/>
      <c r="O63" s="2067" t="str">
        <f>'Part I-Project Information'!O38</f>
        <v>9505.00</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Laurens</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Laurens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2672</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12</v>
      </c>
      <c r="G68" s="2191"/>
      <c r="H68" s="2191">
        <f>'Part I-Project Information'!H43</f>
        <v>20</v>
      </c>
      <c r="I68" s="2191"/>
      <c r="J68" s="2191">
        <f>'Part I-Project Information'!J43</f>
        <v>150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Dublin</v>
      </c>
      <c r="G71" s="1882"/>
      <c r="H71" s="1882"/>
      <c r="I71" s="1882"/>
      <c r="J71" s="1882"/>
      <c r="K71" s="1882"/>
      <c r="L71" s="1833" t="s">
        <v>2624</v>
      </c>
      <c r="M71" s="1819" t="str">
        <f>'Part I-Project Information'!M46</f>
        <v>www.cityofdublin.org</v>
      </c>
      <c r="N71" s="1819"/>
      <c r="O71" s="1819"/>
      <c r="P71" s="1819"/>
      <c r="Q71" s="1819"/>
      <c r="R71" s="1819"/>
      <c r="S71" s="1819"/>
      <c r="T71" s="1819"/>
      <c r="U71" s="1819"/>
    </row>
    <row r="72" spans="1:21" ht="13.8">
      <c r="A72" s="1821"/>
      <c r="B72" s="1819" t="s">
        <v>620</v>
      </c>
      <c r="C72" s="1819"/>
      <c r="D72" s="1819"/>
      <c r="E72" s="1819"/>
      <c r="F72" s="1882" t="str">
        <f>'Part I-Project Information'!F47</f>
        <v>Phil Best</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100 S. Church Street</v>
      </c>
      <c r="G73" s="1882"/>
      <c r="H73" s="1882"/>
      <c r="I73" s="1882"/>
      <c r="J73" s="1882"/>
      <c r="K73" s="1882"/>
      <c r="L73" s="1823" t="s">
        <v>600</v>
      </c>
      <c r="M73" s="1882" t="str">
        <f>'Part I-Project Information'!M48</f>
        <v>Dublin</v>
      </c>
      <c r="N73" s="1882"/>
      <c r="O73" s="1882"/>
      <c r="P73" s="1882"/>
      <c r="Q73" s="1819"/>
      <c r="R73" s="1819"/>
      <c r="S73" s="1819"/>
      <c r="T73" s="1819"/>
      <c r="U73" s="1819"/>
    </row>
    <row r="74" spans="1:21" ht="13.8">
      <c r="A74" s="1821"/>
      <c r="B74" s="1823" t="s">
        <v>2172</v>
      </c>
      <c r="C74" s="1819"/>
      <c r="D74" s="1819"/>
      <c r="E74" s="1819"/>
      <c r="F74" s="2187">
        <f>'Part I-Project Information'!F49</f>
        <v>310215277</v>
      </c>
      <c r="G74" s="2187"/>
      <c r="H74" s="1821" t="s">
        <v>1934</v>
      </c>
      <c r="I74" s="2188">
        <f>'Part I-Project Information'!I49</f>
        <v>4782721620</v>
      </c>
      <c r="J74" s="2188"/>
      <c r="K74" s="2188"/>
      <c r="L74" s="1823" t="s">
        <v>1755</v>
      </c>
      <c r="M74" s="1882" t="str">
        <f>'Part I-Project Information'!M49</f>
        <v>mayorbest@dlcga.org</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6</v>
      </c>
      <c r="I79" s="1827"/>
      <c r="J79" s="1827"/>
      <c r="K79" s="1823" t="s">
        <v>3498</v>
      </c>
      <c r="L79" s="1819"/>
      <c r="M79" s="1955" t="s">
        <v>3497</v>
      </c>
      <c r="N79" s="1834">
        <f>'Part I-Project Information'!N54</f>
        <v>0</v>
      </c>
      <c r="O79" s="1868" t="s">
        <v>3250</v>
      </c>
      <c r="P79" s="1834">
        <f>'Part I-Project Information'!P54</f>
        <v>44</v>
      </c>
      <c r="Q79" s="1821"/>
      <c r="R79" s="1827"/>
      <c r="S79" s="1827"/>
      <c r="T79" s="1827"/>
      <c r="U79" s="1827"/>
    </row>
    <row r="80" spans="1:21" ht="13.8">
      <c r="A80" s="1821"/>
      <c r="B80" s="1821"/>
      <c r="C80" s="1835" t="s">
        <v>342</v>
      </c>
      <c r="D80" s="1819"/>
      <c r="E80" s="1819"/>
      <c r="F80" s="1819"/>
      <c r="G80" s="1819"/>
      <c r="H80" s="1834">
        <f>'Part I-Project Information'!H55</f>
        <v>44</v>
      </c>
      <c r="I80" s="1819"/>
      <c r="J80" s="1819"/>
      <c r="K80" s="1835" t="s">
        <v>360</v>
      </c>
      <c r="L80" s="1819"/>
      <c r="M80" s="1819"/>
      <c r="N80" s="1819"/>
      <c r="O80" s="1819"/>
      <c r="P80" s="1834">
        <f>'Part I-Project Information'!P55</f>
        <v>44</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16618</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50</v>
      </c>
      <c r="I86" s="1839">
        <f>SUM(I87:I93)</f>
        <v>0</v>
      </c>
      <c r="J86" s="1821"/>
      <c r="K86" s="1827" t="s">
        <v>2681</v>
      </c>
      <c r="L86" s="1819"/>
      <c r="M86" s="1819"/>
      <c r="N86" s="1819"/>
      <c r="O86" s="1819"/>
      <c r="P86" s="1839">
        <f>SUM(P87:P93)</f>
        <v>30920</v>
      </c>
      <c r="Q86" s="1819"/>
      <c r="R86" s="1819"/>
      <c r="S86" s="1819"/>
      <c r="T86" s="1819"/>
      <c r="U86" s="1819"/>
    </row>
    <row r="87" spans="1:21" ht="13.8">
      <c r="A87" s="1821"/>
      <c r="B87" s="1838"/>
      <c r="C87" s="1827"/>
      <c r="D87" s="1827" t="s">
        <v>4215</v>
      </c>
      <c r="E87" s="1819"/>
      <c r="F87" s="1819"/>
      <c r="G87" s="1819"/>
      <c r="H87" s="1834">
        <f>'Part I-Project Information'!H62</f>
        <v>5</v>
      </c>
      <c r="I87" s="1834">
        <f>'Part I-Project Information'!I62</f>
        <v>0</v>
      </c>
      <c r="J87" s="1821"/>
      <c r="K87" s="1827"/>
      <c r="L87" s="1827" t="s">
        <v>4215</v>
      </c>
      <c r="M87" s="1819"/>
      <c r="N87" s="1819"/>
      <c r="O87" s="1819"/>
      <c r="P87" s="1834">
        <f>'Part I-Project Information'!P62</f>
        <v>3220</v>
      </c>
      <c r="Q87" s="1819"/>
      <c r="R87" s="1819"/>
      <c r="S87" s="1819"/>
      <c r="T87" s="1819"/>
      <c r="U87" s="1819"/>
    </row>
    <row r="88" spans="1:21" ht="13.8">
      <c r="A88" s="1821"/>
      <c r="B88" s="1838"/>
      <c r="C88" s="1827"/>
      <c r="D88" s="1827" t="s">
        <v>4216</v>
      </c>
      <c r="E88" s="1819"/>
      <c r="F88" s="1819"/>
      <c r="G88" s="1819"/>
      <c r="H88" s="1834">
        <f>'Part I-Project Information'!H63</f>
        <v>0</v>
      </c>
      <c r="I88" s="1834">
        <f>'Part I-Project Information'!I63</f>
        <v>0</v>
      </c>
      <c r="J88" s="1821"/>
      <c r="K88" s="1827"/>
      <c r="L88" s="1827" t="s">
        <v>4216</v>
      </c>
      <c r="M88" s="1819"/>
      <c r="N88" s="1819"/>
      <c r="O88" s="1819"/>
      <c r="P88" s="1834">
        <f>'Part I-Project Information'!P63</f>
        <v>0</v>
      </c>
      <c r="Q88" s="1819"/>
      <c r="R88" s="1819"/>
      <c r="S88" s="1819"/>
      <c r="T88" s="1819"/>
      <c r="U88" s="1819"/>
    </row>
    <row r="89" spans="1:21" ht="13.8">
      <c r="A89" s="1821"/>
      <c r="B89" s="1827"/>
      <c r="C89" s="1819"/>
      <c r="D89" s="1827" t="s">
        <v>4213</v>
      </c>
      <c r="E89" s="1827"/>
      <c r="F89" s="1819"/>
      <c r="G89" s="1819"/>
      <c r="H89" s="1834">
        <f>'Part I-Project Information'!H64</f>
        <v>20</v>
      </c>
      <c r="I89" s="1834">
        <f>'Part I-Project Information'!I64</f>
        <v>0</v>
      </c>
      <c r="J89" s="1819"/>
      <c r="K89" s="1819"/>
      <c r="L89" s="1827" t="s">
        <v>4213</v>
      </c>
      <c r="M89" s="1819"/>
      <c r="N89" s="1819"/>
      <c r="O89" s="1819"/>
      <c r="P89" s="1834">
        <f>'Part I-Project Information'!P64</f>
        <v>12240</v>
      </c>
      <c r="Q89" s="1819"/>
      <c r="R89" s="1819"/>
      <c r="S89" s="1819"/>
      <c r="T89" s="1819"/>
      <c r="U89" s="1819"/>
    </row>
    <row r="90" spans="1:21" ht="13.8">
      <c r="A90" s="1821"/>
      <c r="B90" s="1819"/>
      <c r="C90" s="1819"/>
      <c r="D90" s="1827" t="s">
        <v>4214</v>
      </c>
      <c r="E90" s="1819"/>
      <c r="F90" s="1819"/>
      <c r="G90" s="1819"/>
      <c r="H90" s="1834">
        <f>'Part I-Project Information'!H65</f>
        <v>25</v>
      </c>
      <c r="I90" s="1834">
        <f>'Part I-Project Information'!I65</f>
        <v>0</v>
      </c>
      <c r="J90" s="1819"/>
      <c r="K90" s="1819"/>
      <c r="L90" s="1827" t="s">
        <v>4214</v>
      </c>
      <c r="M90" s="1819"/>
      <c r="N90" s="1819"/>
      <c r="O90" s="1819"/>
      <c r="P90" s="1834">
        <f>'Part I-Project Information'!P65</f>
        <v>15460</v>
      </c>
      <c r="Q90" s="1819"/>
      <c r="R90" s="1819"/>
      <c r="S90" s="1819"/>
      <c r="T90" s="1819"/>
      <c r="U90" s="1819"/>
    </row>
    <row r="91" spans="1:21" ht="13.8">
      <c r="A91" s="1821"/>
      <c r="B91" s="1819"/>
      <c r="C91" s="1819"/>
      <c r="D91" s="1827" t="s">
        <v>4217</v>
      </c>
      <c r="E91" s="1827"/>
      <c r="F91" s="1819"/>
      <c r="G91" s="1819"/>
      <c r="H91" s="1834">
        <f>'Part I-Project Information'!H66</f>
        <v>0</v>
      </c>
      <c r="I91" s="1834">
        <f>'Part I-Project Information'!I66</f>
        <v>0</v>
      </c>
      <c r="J91" s="1819"/>
      <c r="K91" s="1819"/>
      <c r="L91" s="1827" t="s">
        <v>4217</v>
      </c>
      <c r="M91" s="1819"/>
      <c r="N91" s="1819"/>
      <c r="O91" s="1819"/>
      <c r="P91" s="1834">
        <f>'Part I-Project Information'!P66</f>
        <v>0</v>
      </c>
      <c r="Q91" s="1819"/>
      <c r="R91" s="1819"/>
      <c r="S91" s="1819"/>
      <c r="T91" s="1819"/>
      <c r="U91" s="1819"/>
    </row>
    <row r="92" spans="1:21" ht="13.8">
      <c r="A92" s="1821"/>
      <c r="B92" s="1819"/>
      <c r="C92" s="1819"/>
      <c r="D92" s="1827" t="s">
        <v>4218</v>
      </c>
      <c r="E92" s="1827"/>
      <c r="F92" s="1819"/>
      <c r="G92" s="1819"/>
      <c r="H92" s="1834">
        <f>'Part I-Project Information'!H67</f>
        <v>0</v>
      </c>
      <c r="I92" s="1834">
        <f>'Part I-Project Information'!I67</f>
        <v>0</v>
      </c>
      <c r="J92" s="1819"/>
      <c r="K92" s="1819"/>
      <c r="L92" s="1827" t="s">
        <v>4218</v>
      </c>
      <c r="M92" s="1819"/>
      <c r="N92" s="1819"/>
      <c r="O92" s="1819"/>
      <c r="P92" s="1834">
        <f>'Part I-Project Information'!P67</f>
        <v>0</v>
      </c>
      <c r="Q92" s="1819"/>
      <c r="R92" s="1819"/>
      <c r="S92" s="1819"/>
      <c r="T92" s="1819"/>
      <c r="U92" s="1819"/>
    </row>
    <row r="93" spans="1:21" ht="13.8">
      <c r="A93" s="1821"/>
      <c r="B93" s="1819"/>
      <c r="C93" s="1819"/>
      <c r="D93" s="1827" t="s">
        <v>4219</v>
      </c>
      <c r="E93" s="1827"/>
      <c r="F93" s="1819"/>
      <c r="G93" s="1819"/>
      <c r="H93" s="1834">
        <f>'Part I-Project Information'!H68</f>
        <v>0</v>
      </c>
      <c r="I93" s="1834">
        <f>'Part I-Project Information'!I68</f>
        <v>0</v>
      </c>
      <c r="J93" s="1819"/>
      <c r="K93" s="1819"/>
      <c r="L93" s="1827" t="s">
        <v>4219</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50</v>
      </c>
      <c r="I95" s="1819"/>
      <c r="J95" s="1821"/>
      <c r="K95" s="1827" t="s">
        <v>2683</v>
      </c>
      <c r="L95" s="1819"/>
      <c r="M95" s="1819"/>
      <c r="N95" s="1819"/>
      <c r="O95" s="1819"/>
      <c r="P95" s="1839">
        <f>P86+P94</f>
        <v>30920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50</v>
      </c>
      <c r="I97" s="1819"/>
      <c r="J97" s="1819"/>
      <c r="K97" s="1827" t="s">
        <v>1392</v>
      </c>
      <c r="L97" s="1819"/>
      <c r="M97" s="1819"/>
      <c r="N97" s="1819"/>
      <c r="O97" s="1819"/>
      <c r="P97" s="1839">
        <f>+P95+P96</f>
        <v>30920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3</v>
      </c>
      <c r="I99" s="1819"/>
      <c r="J99" s="1819"/>
      <c r="K99" s="1827" t="s">
        <v>6815</v>
      </c>
      <c r="L99" s="1819"/>
      <c r="M99" s="1819"/>
      <c r="N99" s="1819"/>
      <c r="O99" s="1819"/>
      <c r="P99" s="1839">
        <f>'Part I-Project Information'!P74</f>
        <v>9725</v>
      </c>
      <c r="Q99" s="1819"/>
      <c r="R99" s="1819"/>
      <c r="S99" s="1819"/>
      <c r="T99" s="1819"/>
      <c r="U99" s="1819"/>
    </row>
    <row r="100" spans="1:21" ht="13.8">
      <c r="A100" s="1821"/>
      <c r="B100" s="1821"/>
      <c r="C100" s="1819"/>
      <c r="D100" s="1838" t="s">
        <v>1949</v>
      </c>
      <c r="E100" s="1819"/>
      <c r="F100" s="1819"/>
      <c r="G100" s="1819"/>
      <c r="H100" s="1839">
        <f>'Part I-Project Information'!H75</f>
        <v>0</v>
      </c>
      <c r="I100" s="1819"/>
      <c r="J100" s="1819"/>
      <c r="K100" s="1827" t="s">
        <v>247</v>
      </c>
      <c r="L100" s="1819"/>
      <c r="M100" s="1819"/>
      <c r="N100" s="1819"/>
      <c r="O100" s="1819"/>
      <c r="P100" s="1839">
        <f>+P97+P99</f>
        <v>40645</v>
      </c>
      <c r="Q100" s="1819"/>
      <c r="R100" s="1819"/>
      <c r="S100" s="1819"/>
      <c r="T100" s="1819"/>
      <c r="U100" s="1819"/>
    </row>
    <row r="101" spans="1:21" ht="13.8">
      <c r="A101" s="1821"/>
      <c r="B101" s="1821"/>
      <c r="C101" s="1819"/>
      <c r="D101" s="1838" t="s">
        <v>1950</v>
      </c>
      <c r="E101" s="1819"/>
      <c r="F101" s="1819"/>
      <c r="G101" s="1819"/>
      <c r="H101" s="1839">
        <f>+H99+H100</f>
        <v>3</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37</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6816</v>
      </c>
      <c r="D107" s="1838"/>
      <c r="E107" s="1838"/>
      <c r="F107" s="1819"/>
      <c r="G107" s="1821"/>
      <c r="H107" s="1819" t="str">
        <f>'Part I-Project Information'!H82</f>
        <v>Family</v>
      </c>
      <c r="I107" s="1819"/>
      <c r="J107" s="1819"/>
      <c r="K107" s="1819" t="s">
        <v>1728</v>
      </c>
      <c r="L107" s="1819"/>
      <c r="M107" s="1819" t="str">
        <f>'Part I-Project Information'!M82</f>
        <v>Veterans Preference</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4391</v>
      </c>
      <c r="L109" s="1840" t="s">
        <v>2807</v>
      </c>
      <c r="M109" s="1839">
        <f>'Part I-Project Information'!M84</f>
        <v>50</v>
      </c>
      <c r="N109" s="1840" t="s">
        <v>2808</v>
      </c>
      <c r="O109" s="1839">
        <f>'Part I-Project Information'!O84</f>
        <v>0</v>
      </c>
      <c r="P109" s="1823" t="s">
        <v>4390</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3651</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6</v>
      </c>
      <c r="I112" s="1819"/>
      <c r="J112" s="1819"/>
      <c r="K112" s="1819" t="s">
        <v>506</v>
      </c>
      <c r="L112" s="1819"/>
      <c r="M112" s="1819"/>
      <c r="N112" s="1841">
        <f>'Part I-Project Information'!N87</f>
        <v>0.12</v>
      </c>
      <c r="O112" s="1826" t="s">
        <v>3517</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6</v>
      </c>
      <c r="I113" s="1819"/>
      <c r="J113" s="1819"/>
      <c r="K113" s="1819" t="s">
        <v>2741</v>
      </c>
      <c r="L113" s="1819"/>
      <c r="M113" s="1819"/>
      <c r="N113" s="1841">
        <f>'Part I-Project Information'!N88</f>
        <v>1</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0.04</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4325</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4374</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4228</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1</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625000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Don Paxton-Communities for Veterans</v>
      </c>
      <c r="D150" s="1849"/>
      <c r="E150" s="1849"/>
      <c r="F150" s="1849" t="str">
        <f>'Part I-Project Information'!F125</f>
        <v>Freedom's Path at Dublin</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Terell Brown--Garrison for Veterans</v>
      </c>
      <c r="D151" s="1849"/>
      <c r="E151" s="1849"/>
      <c r="F151" s="1849" t="str">
        <f>'Part I-Project Information'!F126</f>
        <v>Freedom's Path at Dublin</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t="str">
        <f>'Part I-Project Information'!C127</f>
        <v>Dublin Housing Authority</v>
      </c>
      <c r="D152" s="1849"/>
      <c r="E152" s="1849"/>
      <c r="F152" s="1849" t="str">
        <f>'Part I-Project Information'!F127</f>
        <v>Freedom's Path at Dublin</v>
      </c>
      <c r="G152" s="1849"/>
      <c r="H152" s="1849"/>
      <c r="I152" s="2074" t="str">
        <f>'Part I-Project Information'!I127</f>
        <v>Direct</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t="str">
        <f>'Part I-Project Information'!C135</f>
        <v>Terell Brown-Garrison for Veterans</v>
      </c>
      <c r="D160" s="1849"/>
      <c r="E160" s="1849"/>
      <c r="F160" s="1849" t="str">
        <f>'Part I-Project Information'!F135</f>
        <v>Freedom's Path at Dublin</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t="str">
        <f>'Part I-Project Information'!C136</f>
        <v>Dublin Housing Authority</v>
      </c>
      <c r="D161" s="1849"/>
      <c r="E161" s="1849"/>
      <c r="F161" s="1849" t="str">
        <f>'Part I-Project Information'!F136</f>
        <v>Freedom's Path at Dublin</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6919</v>
      </c>
      <c r="F176" s="1827"/>
      <c r="G176" s="1827"/>
      <c r="H176" s="1819"/>
      <c r="I176" s="1829" t="str">
        <f>'Part I-Project Information'!I151</f>
        <v>No</v>
      </c>
      <c r="J176" s="1819"/>
      <c r="K176" s="1827" t="s">
        <v>4465</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6920</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4272</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4271</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4273</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4226</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4227</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4274</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t="str">
        <f>'Part I-Project Information'!I170</f>
        <v>No</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2067</v>
      </c>
      <c r="M196" s="1819" t="s">
        <v>2266</v>
      </c>
      <c r="N196" s="1819"/>
      <c r="O196" s="1819"/>
      <c r="P196" s="1829">
        <f>'Part I-Project Information'!P171</f>
        <v>30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44865</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44865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f>'Part I-Project Information'!A193</f>
        <v>0</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2020-042 Freedom's Path at Dublin,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4094</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3893</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Dublin Veterans Residences Limited Partnership</v>
      </c>
      <c r="I226" s="1827"/>
      <c r="J226" s="1827"/>
      <c r="K226" s="1827"/>
      <c r="L226" s="1827"/>
      <c r="M226" s="1827"/>
      <c r="N226" s="1827"/>
      <c r="O226" s="1823" t="s">
        <v>1941</v>
      </c>
      <c r="P226" s="1823"/>
      <c r="Q226" s="1819" t="str">
        <f>'Part II-Development Team'!Q5</f>
        <v>Don Paxton</v>
      </c>
      <c r="R226" s="1827"/>
      <c r="S226" s="1827"/>
    </row>
    <row r="227" spans="1:19" ht="13.8">
      <c r="A227" s="1819"/>
      <c r="B227" s="1819"/>
      <c r="C227" s="1819"/>
      <c r="D227" s="1831"/>
      <c r="E227" s="1823" t="s">
        <v>999</v>
      </c>
      <c r="F227" s="1826"/>
      <c r="G227" s="1819"/>
      <c r="H227" s="1819" t="str">
        <f>'Part II-Development Team'!H6</f>
        <v>One Tower, 2. N. Tamiami Trail, Suite 800</v>
      </c>
      <c r="I227" s="1827"/>
      <c r="J227" s="1827"/>
      <c r="K227" s="1827"/>
      <c r="L227" s="1827"/>
      <c r="M227" s="1827"/>
      <c r="N227" s="1827"/>
      <c r="O227" s="1823" t="s">
        <v>1704</v>
      </c>
      <c r="P227" s="1819"/>
      <c r="Q227" s="1819" t="str">
        <f>'Part II-Development Team'!Q6</f>
        <v>Manager of GP</v>
      </c>
      <c r="R227" s="1827"/>
      <c r="S227" s="1827"/>
    </row>
    <row r="228" spans="1:19" ht="13.8">
      <c r="A228" s="1819"/>
      <c r="B228" s="1819"/>
      <c r="C228" s="1819"/>
      <c r="D228" s="1831"/>
      <c r="E228" s="1823" t="s">
        <v>600</v>
      </c>
      <c r="F228" s="1819"/>
      <c r="G228" s="1819"/>
      <c r="H228" s="1819" t="str">
        <f>'Part II-Development Team'!H7</f>
        <v>Sarasota</v>
      </c>
      <c r="I228" s="1827"/>
      <c r="J228" s="1827"/>
      <c r="K228" s="1821" t="s">
        <v>744</v>
      </c>
      <c r="L228" s="1819">
        <f>'Part II-Development Team'!L7</f>
        <v>0</v>
      </c>
      <c r="M228" s="1827"/>
      <c r="N228" s="1827"/>
      <c r="O228" s="1823" t="s">
        <v>1679</v>
      </c>
      <c r="P228" s="1819"/>
      <c r="Q228" s="2188">
        <f>'Part II-Development Team'!Q7</f>
        <v>9412282185</v>
      </c>
      <c r="R228" s="2188"/>
      <c r="S228" s="2188"/>
    </row>
    <row r="229" spans="1:19" ht="13.8">
      <c r="A229" s="1819"/>
      <c r="B229" s="1819"/>
      <c r="C229" s="1819"/>
      <c r="D229" s="1831"/>
      <c r="E229" s="1823" t="s">
        <v>1754</v>
      </c>
      <c r="F229" s="1819"/>
      <c r="G229" s="1819"/>
      <c r="H229" s="1823" t="str">
        <f>'Part II-Development Team'!H8</f>
        <v>FL</v>
      </c>
      <c r="I229" s="1821" t="s">
        <v>2172</v>
      </c>
      <c r="J229" s="2187">
        <f>'Part II-Development Team'!J8</f>
        <v>342360000</v>
      </c>
      <c r="K229" s="1827"/>
      <c r="L229" s="1819" t="s">
        <v>3509</v>
      </c>
      <c r="M229" s="1819" t="str">
        <f>'Part II-Development Team'!M8</f>
        <v>For Profit</v>
      </c>
      <c r="N229" s="1819"/>
      <c r="O229" s="1823" t="s">
        <v>1931</v>
      </c>
      <c r="P229" s="1819"/>
      <c r="Q229" s="2188">
        <f>'Part II-Development Team'!Q8</f>
        <v>9412282185</v>
      </c>
      <c r="R229" s="2188"/>
      <c r="S229" s="2188"/>
    </row>
    <row r="230" spans="1:19" ht="13.8">
      <c r="A230" s="1819"/>
      <c r="B230" s="1819"/>
      <c r="C230" s="1819"/>
      <c r="D230" s="1831"/>
      <c r="E230" s="1823" t="s">
        <v>3894</v>
      </c>
      <c r="F230" s="1819"/>
      <c r="G230" s="1819"/>
      <c r="H230" s="2188">
        <f>'Part II-Development Team'!H9</f>
        <v>9419291270</v>
      </c>
      <c r="I230" s="2188"/>
      <c r="J230" s="1829">
        <f>'Part II-Development Team'!J9</f>
        <v>110</v>
      </c>
      <c r="K230" s="1821" t="s">
        <v>1936</v>
      </c>
      <c r="L230" s="1965" t="str">
        <f>'Part II-Development Team'!L9</f>
        <v>dpaxton@cfveterans.com</v>
      </c>
      <c r="M230" s="1965"/>
      <c r="N230" s="1965"/>
      <c r="O230" s="1965"/>
      <c r="P230" s="1965"/>
      <c r="Q230" s="1965"/>
      <c r="R230" s="1965"/>
      <c r="S230" s="1965"/>
    </row>
    <row r="231" spans="1:19" ht="13.8">
      <c r="A231" s="1819"/>
      <c r="B231" s="1819"/>
      <c r="C231" s="1819"/>
      <c r="D231" s="1831"/>
      <c r="E231" s="1820" t="s">
        <v>3893</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Communities for Veterans LLC</v>
      </c>
      <c r="I235" s="1827"/>
      <c r="J235" s="1827"/>
      <c r="K235" s="1827"/>
      <c r="L235" s="1827"/>
      <c r="M235" s="1827"/>
      <c r="N235" s="1827"/>
      <c r="O235" s="1823" t="s">
        <v>1941</v>
      </c>
      <c r="P235" s="1823"/>
      <c r="Q235" s="1819" t="str">
        <f>'Part II-Development Team'!Q14</f>
        <v>Don Paxton</v>
      </c>
      <c r="R235" s="1827"/>
      <c r="S235" s="1827"/>
    </row>
    <row r="236" spans="1:19" ht="13.8">
      <c r="A236" s="1819"/>
      <c r="B236" s="1819"/>
      <c r="C236" s="1819"/>
      <c r="D236" s="1831"/>
      <c r="E236" s="1823" t="s">
        <v>999</v>
      </c>
      <c r="F236" s="1826"/>
      <c r="G236" s="1819"/>
      <c r="H236" s="1819" t="str">
        <f>'Part II-Development Team'!H15</f>
        <v>One Tower, 2. N. Tamiami Trail, Suite 800</v>
      </c>
      <c r="I236" s="1827"/>
      <c r="J236" s="1827"/>
      <c r="K236" s="1827"/>
      <c r="L236" s="1827"/>
      <c r="M236" s="1827"/>
      <c r="N236" s="1827"/>
      <c r="O236" s="1823" t="s">
        <v>1704</v>
      </c>
      <c r="P236" s="1819"/>
      <c r="Q236" s="1819" t="str">
        <f>'Part II-Development Team'!Q15</f>
        <v>Manager of GP</v>
      </c>
      <c r="R236" s="1827"/>
      <c r="S236" s="1827"/>
    </row>
    <row r="237" spans="1:19" ht="13.8">
      <c r="A237" s="1819"/>
      <c r="B237" s="1819"/>
      <c r="C237" s="1819"/>
      <c r="D237" s="1831"/>
      <c r="E237" s="1823" t="s">
        <v>600</v>
      </c>
      <c r="F237" s="1819"/>
      <c r="G237" s="1819"/>
      <c r="H237" s="1819" t="str">
        <f>'Part II-Development Team'!H16</f>
        <v>Sarasota</v>
      </c>
      <c r="I237" s="1827"/>
      <c r="J237" s="1827"/>
      <c r="K237" s="1821" t="s">
        <v>2624</v>
      </c>
      <c r="L237" s="1819" t="str">
        <f>'Part II-Development Team'!L16</f>
        <v>www.cfveterans.com</v>
      </c>
      <c r="M237" s="1827"/>
      <c r="N237" s="1827"/>
      <c r="O237" s="1823" t="s">
        <v>1679</v>
      </c>
      <c r="P237" s="1819"/>
      <c r="Q237" s="2188">
        <f>'Part II-Development Team'!Q16</f>
        <v>9412282185</v>
      </c>
      <c r="R237" s="2188"/>
      <c r="S237" s="2188"/>
    </row>
    <row r="238" spans="1:19" ht="13.8">
      <c r="A238" s="1819"/>
      <c r="B238" s="1819"/>
      <c r="C238" s="1819"/>
      <c r="D238" s="1819"/>
      <c r="E238" s="1823" t="s">
        <v>1754</v>
      </c>
      <c r="F238" s="1819"/>
      <c r="G238" s="1819"/>
      <c r="H238" s="1823" t="str">
        <f>'Part II-Development Team'!H17</f>
        <v>FL</v>
      </c>
      <c r="I238" s="1819"/>
      <c r="J238" s="1819"/>
      <c r="K238" s="1821" t="s">
        <v>2172</v>
      </c>
      <c r="L238" s="2187">
        <f>'Part II-Development Team'!L17</f>
        <v>342360000</v>
      </c>
      <c r="M238" s="1827"/>
      <c r="N238" s="1819"/>
      <c r="O238" s="1823" t="s">
        <v>1931</v>
      </c>
      <c r="P238" s="1819"/>
      <c r="Q238" s="2188">
        <f>'Part II-Development Team'!Q17</f>
        <v>9412282185</v>
      </c>
      <c r="R238" s="2188"/>
      <c r="S238" s="2188"/>
    </row>
    <row r="239" spans="1:19" ht="13.8">
      <c r="A239" s="1819"/>
      <c r="B239" s="1819"/>
      <c r="C239" s="1819"/>
      <c r="D239" s="1831"/>
      <c r="E239" s="1823" t="s">
        <v>3894</v>
      </c>
      <c r="F239" s="1819"/>
      <c r="G239" s="1819"/>
      <c r="H239" s="2188">
        <f>'Part II-Development Team'!H18</f>
        <v>9419291270</v>
      </c>
      <c r="I239" s="2188"/>
      <c r="J239" s="1829">
        <f>'Part II-Development Team'!J18</f>
        <v>110</v>
      </c>
      <c r="K239" s="1821" t="s">
        <v>1936</v>
      </c>
      <c r="L239" s="1965" t="str">
        <f>'Part II-Development Team'!L18</f>
        <v>dpaxton@cfveterans.com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t="str">
        <f>'Part II-Development Team'!H20</f>
        <v>Garrison for Veterans</v>
      </c>
      <c r="I241" s="1827"/>
      <c r="J241" s="1827"/>
      <c r="K241" s="1827"/>
      <c r="L241" s="1827"/>
      <c r="M241" s="1827"/>
      <c r="N241" s="1827"/>
      <c r="O241" s="1823" t="s">
        <v>1941</v>
      </c>
      <c r="P241" s="1823"/>
      <c r="Q241" s="1819" t="str">
        <f>'Part II-Development Team'!Q20</f>
        <v>Terell Brown</v>
      </c>
      <c r="R241" s="1827"/>
      <c r="S241" s="1827"/>
    </row>
    <row r="242" spans="1:19" ht="13.8">
      <c r="A242" s="1819"/>
      <c r="B242" s="1819"/>
      <c r="C242" s="1819"/>
      <c r="D242" s="1831"/>
      <c r="E242" s="1823" t="s">
        <v>999</v>
      </c>
      <c r="F242" s="1826"/>
      <c r="G242" s="1819"/>
      <c r="H242" s="1819" t="str">
        <f>'Part II-Development Team'!H21</f>
        <v>4708 Shallow Ridge Road</v>
      </c>
      <c r="I242" s="1827"/>
      <c r="J242" s="1827"/>
      <c r="K242" s="1827"/>
      <c r="L242" s="1827"/>
      <c r="M242" s="1827"/>
      <c r="N242" s="1827"/>
      <c r="O242" s="1823" t="s">
        <v>1704</v>
      </c>
      <c r="P242" s="1819"/>
      <c r="Q242" s="1819" t="str">
        <f>'Part II-Development Team'!Q21</f>
        <v>Principal</v>
      </c>
      <c r="R242" s="1827"/>
      <c r="S242" s="1827"/>
    </row>
    <row r="243" spans="1:19" ht="13.8">
      <c r="A243" s="1819"/>
      <c r="B243" s="1819"/>
      <c r="C243" s="1819"/>
      <c r="D243" s="1831"/>
      <c r="E243" s="1823" t="s">
        <v>600</v>
      </c>
      <c r="F243" s="1819"/>
      <c r="G243" s="1819"/>
      <c r="H243" s="1819" t="str">
        <f>'Part II-Development Team'!H22</f>
        <v>Kennesaw</v>
      </c>
      <c r="I243" s="1827"/>
      <c r="J243" s="1827"/>
      <c r="K243" s="1821" t="s">
        <v>2624</v>
      </c>
      <c r="L243" s="1819" t="str">
        <f>'Part II-Development Team'!L22</f>
        <v>www.gfveterans.com</v>
      </c>
      <c r="M243" s="1827"/>
      <c r="N243" s="1827"/>
      <c r="O243" s="1823" t="s">
        <v>1679</v>
      </c>
      <c r="P243" s="1819"/>
      <c r="Q243" s="2188">
        <f>'Part II-Development Team'!Q22</f>
        <v>4046108389</v>
      </c>
      <c r="R243" s="2188"/>
      <c r="S243" s="2188"/>
    </row>
    <row r="244" spans="1:19" ht="13.8">
      <c r="A244" s="1819"/>
      <c r="B244" s="1819"/>
      <c r="C244" s="1819"/>
      <c r="D244" s="1819"/>
      <c r="E244" s="1823" t="s">
        <v>1754</v>
      </c>
      <c r="F244" s="1819"/>
      <c r="G244" s="1819"/>
      <c r="H244" s="1823" t="str">
        <f>'Part II-Development Team'!H23</f>
        <v>GA</v>
      </c>
      <c r="I244" s="1819"/>
      <c r="J244" s="1819"/>
      <c r="K244" s="1821" t="s">
        <v>2172</v>
      </c>
      <c r="L244" s="2187">
        <f>'Part II-Development Team'!L23</f>
        <v>301440000</v>
      </c>
      <c r="M244" s="1827"/>
      <c r="N244" s="1819"/>
      <c r="O244" s="1823" t="s">
        <v>1931</v>
      </c>
      <c r="P244" s="1819"/>
      <c r="Q244" s="2188">
        <f>'Part II-Development Team'!Q23</f>
        <v>4046108389</v>
      </c>
      <c r="R244" s="2188"/>
      <c r="S244" s="2188"/>
    </row>
    <row r="245" spans="1:19" ht="13.8">
      <c r="A245" s="1819"/>
      <c r="B245" s="1819"/>
      <c r="C245" s="1819"/>
      <c r="D245" s="1831"/>
      <c r="E245" s="1823" t="s">
        <v>3894</v>
      </c>
      <c r="F245" s="1819"/>
      <c r="G245" s="1819"/>
      <c r="H245" s="2188">
        <f>'Part II-Development Team'!H24</f>
        <v>4046108389</v>
      </c>
      <c r="I245" s="2188"/>
      <c r="J245" s="1829">
        <f>'Part II-Development Team'!J24</f>
        <v>0</v>
      </c>
      <c r="K245" s="1821" t="s">
        <v>1936</v>
      </c>
      <c r="L245" s="1965" t="str">
        <f>'Part II-Development Team'!L24</f>
        <v>tbrown@gfveterans.com</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t="str">
        <f>'Part II-Development Team'!H26</f>
        <v>Dublin Housing Authority</v>
      </c>
      <c r="I247" s="1827"/>
      <c r="J247" s="1827"/>
      <c r="K247" s="1827"/>
      <c r="L247" s="1827"/>
      <c r="M247" s="1827"/>
      <c r="N247" s="1827"/>
      <c r="O247" s="1823" t="s">
        <v>1941</v>
      </c>
      <c r="P247" s="1823"/>
      <c r="Q247" s="1819" t="str">
        <f>'Part II-Development Team'!Q26</f>
        <v>Brenda Smith</v>
      </c>
      <c r="R247" s="1827"/>
      <c r="S247" s="1827"/>
    </row>
    <row r="248" spans="1:19" ht="13.8">
      <c r="A248" s="1819"/>
      <c r="B248" s="1819"/>
      <c r="C248" s="1819"/>
      <c r="D248" s="1831"/>
      <c r="E248" s="1823" t="s">
        <v>999</v>
      </c>
      <c r="F248" s="1826"/>
      <c r="G248" s="1819"/>
      <c r="H248" s="1819" t="str">
        <f>'Part II-Development Team'!H27</f>
        <v>500 W. Mary Street</v>
      </c>
      <c r="I248" s="1827"/>
      <c r="J248" s="1827"/>
      <c r="K248" s="1827"/>
      <c r="L248" s="1827"/>
      <c r="M248" s="1827"/>
      <c r="N248" s="1827"/>
      <c r="O248" s="1823" t="s">
        <v>1704</v>
      </c>
      <c r="P248" s="1819"/>
      <c r="Q248" s="1819" t="str">
        <f>'Part II-Development Team'!Q27</f>
        <v>Executive Director</v>
      </c>
      <c r="R248" s="1827"/>
      <c r="S248" s="1827"/>
    </row>
    <row r="249" spans="1:19" ht="13.8">
      <c r="A249" s="1819"/>
      <c r="B249" s="1819"/>
      <c r="C249" s="1819"/>
      <c r="D249" s="1831"/>
      <c r="E249" s="1823" t="s">
        <v>600</v>
      </c>
      <c r="F249" s="1819"/>
      <c r="G249" s="1819"/>
      <c r="H249" s="1819" t="str">
        <f>'Part II-Development Team'!H28</f>
        <v xml:space="preserve">Dublin  </v>
      </c>
      <c r="I249" s="1827"/>
      <c r="J249" s="1827"/>
      <c r="K249" s="1821" t="s">
        <v>2624</v>
      </c>
      <c r="L249" s="1819">
        <f>'Part II-Development Team'!L28</f>
        <v>0</v>
      </c>
      <c r="M249" s="1827"/>
      <c r="N249" s="1827"/>
      <c r="O249" s="1823" t="s">
        <v>1679</v>
      </c>
      <c r="P249" s="1819"/>
      <c r="Q249" s="2188">
        <f>'Part II-Development Team'!Q28</f>
        <v>4782722450</v>
      </c>
      <c r="R249" s="2188"/>
      <c r="S249" s="2188"/>
    </row>
    <row r="250" spans="1:19" ht="13.8">
      <c r="A250" s="1819"/>
      <c r="B250" s="1819"/>
      <c r="C250" s="1819"/>
      <c r="D250" s="1819"/>
      <c r="E250" s="1823" t="s">
        <v>1754</v>
      </c>
      <c r="F250" s="1819"/>
      <c r="G250" s="1819"/>
      <c r="H250" s="1823" t="str">
        <f>'Part II-Development Team'!H29</f>
        <v>GA</v>
      </c>
      <c r="I250" s="1819"/>
      <c r="J250" s="1819"/>
      <c r="K250" s="1821" t="s">
        <v>2172</v>
      </c>
      <c r="L250" s="2187">
        <f>'Part II-Development Team'!L29</f>
        <v>310210000</v>
      </c>
      <c r="M250" s="1827"/>
      <c r="N250" s="1819"/>
      <c r="O250" s="1823" t="s">
        <v>1931</v>
      </c>
      <c r="P250" s="1819"/>
      <c r="Q250" s="2188">
        <f>'Part II-Development Team'!Q29</f>
        <v>0</v>
      </c>
      <c r="R250" s="2188"/>
      <c r="S250" s="2188"/>
    </row>
    <row r="251" spans="1:19" ht="13.8">
      <c r="A251" s="1819"/>
      <c r="B251" s="1819"/>
      <c r="C251" s="1819"/>
      <c r="D251" s="1831"/>
      <c r="E251" s="1823" t="s">
        <v>3894</v>
      </c>
      <c r="F251" s="1819"/>
      <c r="G251" s="1819"/>
      <c r="H251" s="2188">
        <f>'Part II-Development Team'!H30</f>
        <v>4782722450</v>
      </c>
      <c r="I251" s="2188"/>
      <c r="J251" s="1829">
        <f>'Part II-Development Team'!J30</f>
        <v>0</v>
      </c>
      <c r="K251" s="1821" t="s">
        <v>1936</v>
      </c>
      <c r="L251" s="1965" t="str">
        <f>'Part II-Development Team'!L30</f>
        <v>dhousing@bellsouth.net</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3893</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RBC Tax Credit Equity Group</v>
      </c>
      <c r="I254" s="1827"/>
      <c r="J254" s="1827"/>
      <c r="K254" s="1827"/>
      <c r="L254" s="1827"/>
      <c r="M254" s="1827"/>
      <c r="N254" s="1827"/>
      <c r="O254" s="1823" t="s">
        <v>1941</v>
      </c>
      <c r="P254" s="1823"/>
      <c r="Q254" s="1819" t="str">
        <f>'Part II-Development Team'!Q33</f>
        <v>Dave Urban</v>
      </c>
      <c r="R254" s="1827"/>
      <c r="S254" s="1827"/>
    </row>
    <row r="255" spans="1:19" ht="13.8">
      <c r="A255" s="1819"/>
      <c r="B255" s="1819"/>
      <c r="C255" s="1819"/>
      <c r="D255" s="1831"/>
      <c r="E255" s="1823" t="s">
        <v>999</v>
      </c>
      <c r="F255" s="1826"/>
      <c r="G255" s="1819"/>
      <c r="H255" s="1819" t="str">
        <f>'Part II-Development Team'!H34</f>
        <v>4720 Piedmont Row Drive, Suite 240</v>
      </c>
      <c r="I255" s="1827"/>
      <c r="J255" s="1827"/>
      <c r="K255" s="1827"/>
      <c r="L255" s="1827"/>
      <c r="M255" s="1827"/>
      <c r="N255" s="1827"/>
      <c r="O255" s="1823" t="s">
        <v>1704</v>
      </c>
      <c r="P255" s="1819"/>
      <c r="Q255" s="1819" t="str">
        <f>'Part II-Development Team'!Q34</f>
        <v>Director</v>
      </c>
      <c r="R255" s="1827"/>
      <c r="S255" s="1827"/>
    </row>
    <row r="256" spans="1:19" ht="13.8">
      <c r="A256" s="1819"/>
      <c r="B256" s="1819"/>
      <c r="C256" s="1819"/>
      <c r="D256" s="1831"/>
      <c r="E256" s="1823" t="s">
        <v>600</v>
      </c>
      <c r="F256" s="1819"/>
      <c r="G256" s="1819"/>
      <c r="H256" s="1819" t="str">
        <f>'Part II-Development Team'!H35</f>
        <v>Charlotte</v>
      </c>
      <c r="I256" s="1827"/>
      <c r="J256" s="1827"/>
      <c r="K256" s="1821" t="s">
        <v>2624</v>
      </c>
      <c r="L256" s="1819" t="str">
        <f>'Part II-Development Team'!L35</f>
        <v>www.rbccm.com</v>
      </c>
      <c r="M256" s="1827"/>
      <c r="N256" s="1827"/>
      <c r="O256" s="1823" t="s">
        <v>1679</v>
      </c>
      <c r="P256" s="1819"/>
      <c r="Q256" s="2188">
        <f>'Part II-Development Team'!Q35</f>
        <v>0</v>
      </c>
      <c r="R256" s="2188"/>
      <c r="S256" s="2188"/>
    </row>
    <row r="257" spans="1:19" ht="13.8">
      <c r="A257" s="1819"/>
      <c r="B257" s="1819"/>
      <c r="C257" s="1819"/>
      <c r="D257" s="1819"/>
      <c r="E257" s="1823" t="s">
        <v>1754</v>
      </c>
      <c r="F257" s="1819"/>
      <c r="G257" s="1819"/>
      <c r="H257" s="1823" t="str">
        <f>'Part II-Development Team'!H36</f>
        <v>NC</v>
      </c>
      <c r="I257" s="1819"/>
      <c r="J257" s="1819"/>
      <c r="K257" s="1821" t="s">
        <v>2172</v>
      </c>
      <c r="L257" s="2187">
        <f>'Part II-Development Team'!L36</f>
        <v>282100000</v>
      </c>
      <c r="M257" s="1827"/>
      <c r="N257" s="1819"/>
      <c r="O257" s="1823" t="s">
        <v>1931</v>
      </c>
      <c r="P257" s="1819"/>
      <c r="Q257" s="2188">
        <f>'Part II-Development Team'!Q36</f>
        <v>2165444223</v>
      </c>
      <c r="R257" s="2188"/>
      <c r="S257" s="2188"/>
    </row>
    <row r="258" spans="1:19" ht="13.8">
      <c r="A258" s="1819"/>
      <c r="B258" s="1819"/>
      <c r="C258" s="1819"/>
      <c r="D258" s="1831"/>
      <c r="E258" s="1823" t="s">
        <v>3894</v>
      </c>
      <c r="F258" s="1819"/>
      <c r="G258" s="1819"/>
      <c r="H258" s="2188">
        <f>'Part II-Development Team'!H37</f>
        <v>9802336462</v>
      </c>
      <c r="I258" s="2188"/>
      <c r="J258" s="1829">
        <f>'Part II-Development Team'!J37</f>
        <v>0</v>
      </c>
      <c r="K258" s="1821" t="s">
        <v>1936</v>
      </c>
      <c r="L258" s="1965" t="str">
        <f>'Part II-Development Team'!L37</f>
        <v>david.urban@rbc.com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RBC Tax Credit Equity Group</v>
      </c>
      <c r="I260" s="1827"/>
      <c r="J260" s="1827"/>
      <c r="K260" s="1827"/>
      <c r="L260" s="1827"/>
      <c r="M260" s="1827"/>
      <c r="N260" s="1827"/>
      <c r="O260" s="1823" t="s">
        <v>1941</v>
      </c>
      <c r="P260" s="1823"/>
      <c r="Q260" s="1819" t="str">
        <f>'Part II-Development Team'!Q39</f>
        <v>Dave Urban</v>
      </c>
      <c r="R260" s="1827"/>
      <c r="S260" s="1827"/>
    </row>
    <row r="261" spans="1:19" ht="13.8">
      <c r="A261" s="1819"/>
      <c r="B261" s="1819"/>
      <c r="C261" s="1819"/>
      <c r="D261" s="1831"/>
      <c r="E261" s="1823" t="s">
        <v>999</v>
      </c>
      <c r="F261" s="1826"/>
      <c r="G261" s="1819"/>
      <c r="H261" s="1819" t="str">
        <f>'Part II-Development Team'!H40</f>
        <v>4720 Piedmont Row Drive, Suite 240</v>
      </c>
      <c r="I261" s="1827"/>
      <c r="J261" s="1827"/>
      <c r="K261" s="1827"/>
      <c r="L261" s="1827"/>
      <c r="M261" s="1827"/>
      <c r="N261" s="1827"/>
      <c r="O261" s="1823" t="s">
        <v>1704</v>
      </c>
      <c r="P261" s="1819"/>
      <c r="Q261" s="1819" t="str">
        <f>'Part II-Development Team'!Q40</f>
        <v>Director</v>
      </c>
      <c r="R261" s="1827"/>
      <c r="S261" s="1827"/>
    </row>
    <row r="262" spans="1:19" ht="13.8">
      <c r="A262" s="1819"/>
      <c r="B262" s="1819"/>
      <c r="C262" s="1819"/>
      <c r="D262" s="1831"/>
      <c r="E262" s="1823" t="s">
        <v>600</v>
      </c>
      <c r="F262" s="1819"/>
      <c r="G262" s="1819"/>
      <c r="H262" s="1819" t="str">
        <f>'Part II-Development Team'!H41</f>
        <v>Charlotte</v>
      </c>
      <c r="I262" s="1827"/>
      <c r="J262" s="1827"/>
      <c r="K262" s="1821" t="s">
        <v>2624</v>
      </c>
      <c r="L262" s="1819" t="str">
        <f>'Part II-Development Team'!L41</f>
        <v>www.rbccm.com</v>
      </c>
      <c r="M262" s="1827"/>
      <c r="N262" s="1827"/>
      <c r="O262" s="1823" t="s">
        <v>1679</v>
      </c>
      <c r="P262" s="1819"/>
      <c r="Q262" s="2188">
        <f>'Part II-Development Team'!Q41</f>
        <v>0</v>
      </c>
      <c r="R262" s="2188"/>
      <c r="S262" s="2188"/>
    </row>
    <row r="263" spans="1:19" ht="13.8">
      <c r="A263" s="1819"/>
      <c r="B263" s="1819"/>
      <c r="C263" s="1819"/>
      <c r="D263" s="1819"/>
      <c r="E263" s="1823" t="s">
        <v>1754</v>
      </c>
      <c r="F263" s="1819"/>
      <c r="G263" s="1819"/>
      <c r="H263" s="1823" t="str">
        <f>'Part II-Development Team'!H42</f>
        <v>NC</v>
      </c>
      <c r="I263" s="1819"/>
      <c r="J263" s="1819"/>
      <c r="K263" s="1821" t="s">
        <v>2172</v>
      </c>
      <c r="L263" s="2187">
        <f>'Part II-Development Team'!L42</f>
        <v>282100000</v>
      </c>
      <c r="M263" s="1827"/>
      <c r="N263" s="1819"/>
      <c r="O263" s="1823" t="s">
        <v>1931</v>
      </c>
      <c r="P263" s="1819"/>
      <c r="Q263" s="2188">
        <f>'Part II-Development Team'!Q42</f>
        <v>2165444223</v>
      </c>
      <c r="R263" s="2188"/>
      <c r="S263" s="2188"/>
    </row>
    <row r="264" spans="1:19" ht="13.8">
      <c r="A264" s="1819"/>
      <c r="B264" s="1819"/>
      <c r="C264" s="1819"/>
      <c r="D264" s="1831"/>
      <c r="E264" s="1823" t="s">
        <v>3894</v>
      </c>
      <c r="F264" s="1819"/>
      <c r="G264" s="1819"/>
      <c r="H264" s="2188">
        <f>'Part II-Development Team'!H43</f>
        <v>9802336462</v>
      </c>
      <c r="I264" s="2188"/>
      <c r="J264" s="1829">
        <f>'Part II-Development Team'!J43</f>
        <v>0</v>
      </c>
      <c r="K264" s="1821" t="s">
        <v>1936</v>
      </c>
      <c r="L264" s="1965" t="str">
        <f>'Part II-Development Team'!L43</f>
        <v>david.urban@rbc.com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3893</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3894</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3893</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Communities for Veterans Development LLC</v>
      </c>
      <c r="I275" s="1827"/>
      <c r="J275" s="1827"/>
      <c r="K275" s="1827"/>
      <c r="L275" s="1827"/>
      <c r="M275" s="1827"/>
      <c r="N275" s="1827"/>
      <c r="O275" s="1823" t="s">
        <v>1941</v>
      </c>
      <c r="P275" s="1823"/>
      <c r="Q275" s="1819" t="str">
        <f>'Part II-Development Team'!Q54</f>
        <v>Don Paxton</v>
      </c>
      <c r="R275" s="1827"/>
      <c r="S275" s="1827"/>
    </row>
    <row r="276" spans="1:19" ht="13.8">
      <c r="A276" s="1819"/>
      <c r="B276" s="1819"/>
      <c r="C276" s="1819"/>
      <c r="D276" s="1831"/>
      <c r="E276" s="1823" t="s">
        <v>999</v>
      </c>
      <c r="F276" s="1826"/>
      <c r="G276" s="1819"/>
      <c r="H276" s="1819" t="str">
        <f>'Part II-Development Team'!H55</f>
        <v>One Tower, 2 N. Tamiami Trail, Suite 800</v>
      </c>
      <c r="I276" s="1827"/>
      <c r="J276" s="1827"/>
      <c r="K276" s="1827"/>
      <c r="L276" s="1827"/>
      <c r="M276" s="1827"/>
      <c r="N276" s="1827"/>
      <c r="O276" s="1823" t="s">
        <v>1704</v>
      </c>
      <c r="P276" s="1819"/>
      <c r="Q276" s="1819" t="str">
        <f>'Part II-Development Team'!Q55</f>
        <v>Manager of GP</v>
      </c>
      <c r="R276" s="1827"/>
      <c r="S276" s="1827"/>
    </row>
    <row r="277" spans="1:19" ht="13.8">
      <c r="A277" s="1819"/>
      <c r="B277" s="1819"/>
      <c r="C277" s="1819"/>
      <c r="D277" s="1831"/>
      <c r="E277" s="1823" t="s">
        <v>600</v>
      </c>
      <c r="F277" s="1819"/>
      <c r="G277" s="1819"/>
      <c r="H277" s="1819" t="str">
        <f>'Part II-Development Team'!H56</f>
        <v>Sarasota</v>
      </c>
      <c r="I277" s="1827"/>
      <c r="J277" s="1827"/>
      <c r="K277" s="1821" t="s">
        <v>2624</v>
      </c>
      <c r="L277" s="1819" t="str">
        <f>'Part II-Development Team'!L56</f>
        <v>www.cfveterans.com</v>
      </c>
      <c r="M277" s="1827"/>
      <c r="N277" s="1827"/>
      <c r="O277" s="1823" t="s">
        <v>1679</v>
      </c>
      <c r="P277" s="1819"/>
      <c r="Q277" s="2188">
        <f>'Part II-Development Team'!Q56</f>
        <v>9412282185</v>
      </c>
      <c r="R277" s="2188"/>
      <c r="S277" s="2188"/>
    </row>
    <row r="278" spans="1:19" ht="13.8">
      <c r="A278" s="1819"/>
      <c r="B278" s="1819"/>
      <c r="C278" s="1819"/>
      <c r="D278" s="1819"/>
      <c r="E278" s="1823" t="s">
        <v>1754</v>
      </c>
      <c r="F278" s="1819"/>
      <c r="G278" s="1819"/>
      <c r="H278" s="1823" t="str">
        <f>'Part II-Development Team'!H57</f>
        <v>FL</v>
      </c>
      <c r="I278" s="1819"/>
      <c r="J278" s="1819"/>
      <c r="K278" s="1821" t="s">
        <v>2172</v>
      </c>
      <c r="L278" s="2187">
        <f>'Part II-Development Team'!L57</f>
        <v>342360000</v>
      </c>
      <c r="M278" s="1827"/>
      <c r="N278" s="1819"/>
      <c r="O278" s="1823" t="s">
        <v>1931</v>
      </c>
      <c r="P278" s="1819"/>
      <c r="Q278" s="2188">
        <f>'Part II-Development Team'!Q57</f>
        <v>9412282185</v>
      </c>
      <c r="R278" s="2188"/>
      <c r="S278" s="2188"/>
    </row>
    <row r="279" spans="1:19" ht="13.8">
      <c r="A279" s="1819"/>
      <c r="B279" s="1819"/>
      <c r="C279" s="1819"/>
      <c r="D279" s="1831"/>
      <c r="E279" s="1823" t="s">
        <v>3894</v>
      </c>
      <c r="F279" s="1819"/>
      <c r="G279" s="1819"/>
      <c r="H279" s="2188">
        <f>'Part II-Development Team'!H58</f>
        <v>9419291270</v>
      </c>
      <c r="I279" s="2188"/>
      <c r="J279" s="1829">
        <f>'Part II-Development Team'!J58</f>
        <v>110</v>
      </c>
      <c r="K279" s="1821" t="s">
        <v>1936</v>
      </c>
      <c r="L279" s="1965" t="str">
        <f>'Part II-Development Team'!L58</f>
        <v>dpaxton@cfveterans.com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t="str">
        <f>'Part II-Development Team'!H60</f>
        <v>Garrsion for Veterans</v>
      </c>
      <c r="I281" s="1827"/>
      <c r="J281" s="1827"/>
      <c r="K281" s="1827"/>
      <c r="L281" s="1827"/>
      <c r="M281" s="1827"/>
      <c r="N281" s="1827"/>
      <c r="O281" s="1823" t="s">
        <v>1941</v>
      </c>
      <c r="P281" s="1823"/>
      <c r="Q281" s="1819" t="str">
        <f>'Part II-Development Team'!Q60</f>
        <v>Terell Brown</v>
      </c>
      <c r="R281" s="1827"/>
      <c r="S281" s="1827"/>
    </row>
    <row r="282" spans="1:19" ht="13.8">
      <c r="A282" s="1819"/>
      <c r="B282" s="1819"/>
      <c r="C282" s="1819"/>
      <c r="D282" s="1831"/>
      <c r="E282" s="1823" t="s">
        <v>999</v>
      </c>
      <c r="F282" s="1826"/>
      <c r="G282" s="1819"/>
      <c r="H282" s="1819" t="str">
        <f>'Part II-Development Team'!H61</f>
        <v>4708 Shallow Ridge Road</v>
      </c>
      <c r="I282" s="1827"/>
      <c r="J282" s="1827"/>
      <c r="K282" s="1827"/>
      <c r="L282" s="1827"/>
      <c r="M282" s="1827"/>
      <c r="N282" s="1827"/>
      <c r="O282" s="1823" t="s">
        <v>1704</v>
      </c>
      <c r="P282" s="1819"/>
      <c r="Q282" s="1819" t="str">
        <f>'Part II-Development Team'!Q61</f>
        <v>Principal</v>
      </c>
      <c r="R282" s="1827"/>
      <c r="S282" s="1827"/>
    </row>
    <row r="283" spans="1:19" ht="13.8">
      <c r="A283" s="1819"/>
      <c r="B283" s="1819"/>
      <c r="C283" s="1819"/>
      <c r="D283" s="1831"/>
      <c r="E283" s="1823" t="s">
        <v>600</v>
      </c>
      <c r="F283" s="1819"/>
      <c r="G283" s="1819"/>
      <c r="H283" s="1819" t="str">
        <f>'Part II-Development Team'!H62</f>
        <v>Kennesaw</v>
      </c>
      <c r="I283" s="1827"/>
      <c r="J283" s="1827"/>
      <c r="K283" s="1821" t="s">
        <v>2624</v>
      </c>
      <c r="L283" s="1819" t="str">
        <f>'Part II-Development Team'!L62</f>
        <v>www.gfveterans.com</v>
      </c>
      <c r="M283" s="1827"/>
      <c r="N283" s="1827"/>
      <c r="O283" s="1823" t="s">
        <v>1679</v>
      </c>
      <c r="P283" s="1819"/>
      <c r="Q283" s="2188">
        <f>'Part II-Development Team'!Q62</f>
        <v>4046108389</v>
      </c>
      <c r="R283" s="2188"/>
      <c r="S283" s="2188"/>
    </row>
    <row r="284" spans="1:19" ht="13.8">
      <c r="A284" s="1819"/>
      <c r="B284" s="1819"/>
      <c r="C284" s="1819"/>
      <c r="D284" s="1819"/>
      <c r="E284" s="1823" t="s">
        <v>1754</v>
      </c>
      <c r="F284" s="1819"/>
      <c r="G284" s="1819"/>
      <c r="H284" s="1823" t="str">
        <f>'Part II-Development Team'!H63</f>
        <v>GA</v>
      </c>
      <c r="I284" s="1819"/>
      <c r="J284" s="1819"/>
      <c r="K284" s="1821" t="s">
        <v>2172</v>
      </c>
      <c r="L284" s="2187">
        <f>'Part II-Development Team'!L63</f>
        <v>301440000</v>
      </c>
      <c r="M284" s="1827"/>
      <c r="N284" s="1819"/>
      <c r="O284" s="1823" t="s">
        <v>1931</v>
      </c>
      <c r="P284" s="1819"/>
      <c r="Q284" s="2188">
        <f>'Part II-Development Team'!Q63</f>
        <v>4046108389</v>
      </c>
      <c r="R284" s="2188"/>
      <c r="S284" s="2188"/>
    </row>
    <row r="285" spans="1:19" ht="13.8">
      <c r="A285" s="1819"/>
      <c r="B285" s="1819"/>
      <c r="C285" s="1819"/>
      <c r="D285" s="1831"/>
      <c r="E285" s="1823" t="s">
        <v>3894</v>
      </c>
      <c r="F285" s="1819"/>
      <c r="G285" s="1819"/>
      <c r="H285" s="2188">
        <f>'Part II-Development Team'!H64</f>
        <v>4046108389</v>
      </c>
      <c r="I285" s="2188"/>
      <c r="J285" s="1829">
        <f>'Part II-Development Team'!J64</f>
        <v>0</v>
      </c>
      <c r="K285" s="1821" t="s">
        <v>1936</v>
      </c>
      <c r="L285" s="1965" t="str">
        <f>'Part II-Development Team'!L64</f>
        <v>tbrown@gfveterans.com</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t="str">
        <f>'Part II-Development Team'!H66</f>
        <v>Dublin Housing Authority</v>
      </c>
      <c r="I287" s="1827"/>
      <c r="J287" s="1827"/>
      <c r="K287" s="1827"/>
      <c r="L287" s="1827"/>
      <c r="M287" s="1827"/>
      <c r="N287" s="1827"/>
      <c r="O287" s="1823" t="s">
        <v>1941</v>
      </c>
      <c r="P287" s="1823"/>
      <c r="Q287" s="1819" t="str">
        <f>'Part II-Development Team'!Q66</f>
        <v>Brenda Smith</v>
      </c>
      <c r="R287" s="1827"/>
      <c r="S287" s="1827"/>
    </row>
    <row r="288" spans="1:19" ht="13.8">
      <c r="A288" s="1819"/>
      <c r="B288" s="1819"/>
      <c r="C288" s="1819"/>
      <c r="D288" s="1831"/>
      <c r="E288" s="1823" t="s">
        <v>999</v>
      </c>
      <c r="F288" s="1826"/>
      <c r="G288" s="1819"/>
      <c r="H288" s="1819" t="str">
        <f>'Part II-Development Team'!H67</f>
        <v>500 W. Mary Street</v>
      </c>
      <c r="I288" s="1827"/>
      <c r="J288" s="1827"/>
      <c r="K288" s="1827"/>
      <c r="L288" s="1827"/>
      <c r="M288" s="1827"/>
      <c r="N288" s="1827"/>
      <c r="O288" s="1823" t="s">
        <v>1704</v>
      </c>
      <c r="P288" s="1819"/>
      <c r="Q288" s="1819" t="str">
        <f>'Part II-Development Team'!Q67</f>
        <v>Executive Director</v>
      </c>
      <c r="R288" s="1827"/>
      <c r="S288" s="1827"/>
    </row>
    <row r="289" spans="1:19" ht="13.8">
      <c r="A289" s="1819"/>
      <c r="B289" s="1819"/>
      <c r="C289" s="1819"/>
      <c r="D289" s="1831"/>
      <c r="E289" s="1823" t="s">
        <v>600</v>
      </c>
      <c r="F289" s="1819"/>
      <c r="G289" s="1819"/>
      <c r="H289" s="1819" t="str">
        <f>'Part II-Development Team'!H68</f>
        <v>Dublin Housing Authority</v>
      </c>
      <c r="I289" s="1827"/>
      <c r="J289" s="1827"/>
      <c r="K289" s="1821" t="s">
        <v>2624</v>
      </c>
      <c r="L289" s="1819">
        <f>'Part II-Development Team'!L68</f>
        <v>0</v>
      </c>
      <c r="M289" s="1827"/>
      <c r="N289" s="1827"/>
      <c r="O289" s="1823" t="s">
        <v>1679</v>
      </c>
      <c r="P289" s="1819"/>
      <c r="Q289" s="2188">
        <f>'Part II-Development Team'!Q68</f>
        <v>4782722450</v>
      </c>
      <c r="R289" s="2188"/>
      <c r="S289" s="2188"/>
    </row>
    <row r="290" spans="1:19" ht="13.8">
      <c r="A290" s="1819"/>
      <c r="B290" s="1819"/>
      <c r="C290" s="1819"/>
      <c r="D290" s="1819"/>
      <c r="E290" s="1823" t="s">
        <v>1754</v>
      </c>
      <c r="F290" s="1819"/>
      <c r="G290" s="1819"/>
      <c r="H290" s="1823" t="str">
        <f>'Part II-Development Team'!H69</f>
        <v>GA</v>
      </c>
      <c r="I290" s="1819"/>
      <c r="J290" s="1819"/>
      <c r="K290" s="1821" t="s">
        <v>2172</v>
      </c>
      <c r="L290" s="2187">
        <f>'Part II-Development Team'!L69</f>
        <v>310210000</v>
      </c>
      <c r="M290" s="1827"/>
      <c r="N290" s="1819"/>
      <c r="O290" s="1823" t="s">
        <v>1931</v>
      </c>
      <c r="P290" s="1819"/>
      <c r="Q290" s="2188">
        <f>'Part II-Development Team'!Q69</f>
        <v>0</v>
      </c>
      <c r="R290" s="2188"/>
      <c r="S290" s="2188"/>
    </row>
    <row r="291" spans="1:19" ht="13.8">
      <c r="A291" s="1819"/>
      <c r="B291" s="1819"/>
      <c r="C291" s="1819"/>
      <c r="D291" s="1831"/>
      <c r="E291" s="1823" t="s">
        <v>3894</v>
      </c>
      <c r="F291" s="1819"/>
      <c r="G291" s="1819"/>
      <c r="H291" s="2188">
        <f>'Part II-Development Team'!H70</f>
        <v>4782722450</v>
      </c>
      <c r="I291" s="2188"/>
      <c r="J291" s="1829">
        <f>'Part II-Development Team'!J70</f>
        <v>0</v>
      </c>
      <c r="K291" s="1821" t="s">
        <v>1936</v>
      </c>
      <c r="L291" s="1965" t="str">
        <f>'Part II-Development Team'!L70</f>
        <v>dhousing@bellsouth.net</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3894</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3893</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3894</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Lusk and Company</v>
      </c>
      <c r="I307" s="1827"/>
      <c r="J307" s="1827"/>
      <c r="K307" s="1827"/>
      <c r="L307" s="1827"/>
      <c r="M307" s="1827"/>
      <c r="N307" s="1827"/>
      <c r="O307" s="1823" t="s">
        <v>1941</v>
      </c>
      <c r="P307" s="1823"/>
      <c r="Q307" s="1819" t="str">
        <f>'Part II-Development Team'!Q86</f>
        <v>Allen Calhoun</v>
      </c>
      <c r="R307" s="1827"/>
      <c r="S307" s="1827"/>
    </row>
    <row r="308" spans="1:19" ht="13.8">
      <c r="A308" s="1819"/>
      <c r="B308" s="1819"/>
      <c r="C308" s="1819"/>
      <c r="D308" s="1831"/>
      <c r="E308" s="1823" t="s">
        <v>999</v>
      </c>
      <c r="F308" s="1826"/>
      <c r="G308" s="1819"/>
      <c r="H308" s="1819" t="str">
        <f>'Part II-Development Team'!H87</f>
        <v>2350 Justin Trail</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Alpharetta</v>
      </c>
      <c r="I309" s="1827"/>
      <c r="J309" s="1827"/>
      <c r="K309" s="1821" t="s">
        <v>2624</v>
      </c>
      <c r="L309" s="1819" t="str">
        <f>'Part II-Development Team'!L88</f>
        <v>www.luskco.com</v>
      </c>
      <c r="M309" s="1827"/>
      <c r="N309" s="1827"/>
      <c r="O309" s="1823" t="s">
        <v>1679</v>
      </c>
      <c r="P309" s="1819"/>
      <c r="Q309" s="2188">
        <f>'Part II-Development Team'!Q88</f>
        <v>6786240202</v>
      </c>
      <c r="R309" s="2188"/>
      <c r="S309" s="2188"/>
    </row>
    <row r="310" spans="1:19" ht="13.8">
      <c r="A310" s="1819"/>
      <c r="B310" s="1819"/>
      <c r="C310" s="1819"/>
      <c r="D310" s="1819"/>
      <c r="E310" s="1823" t="s">
        <v>1754</v>
      </c>
      <c r="F310" s="1819"/>
      <c r="G310" s="1819"/>
      <c r="H310" s="1823" t="str">
        <f>'Part II-Development Team'!H89</f>
        <v>GA</v>
      </c>
      <c r="I310" s="1819"/>
      <c r="J310" s="1819"/>
      <c r="K310" s="1821" t="s">
        <v>2172</v>
      </c>
      <c r="L310" s="2187">
        <f>'Part II-Development Team'!L89</f>
        <v>300040000</v>
      </c>
      <c r="M310" s="1827"/>
      <c r="N310" s="1819"/>
      <c r="O310" s="1823" t="s">
        <v>1931</v>
      </c>
      <c r="P310" s="1819"/>
      <c r="Q310" s="2188">
        <f>'Part II-Development Team'!Q89</f>
        <v>6784584209</v>
      </c>
      <c r="R310" s="2188"/>
      <c r="S310" s="2188"/>
    </row>
    <row r="311" spans="1:19" ht="13.8">
      <c r="A311" s="1819"/>
      <c r="B311" s="1819"/>
      <c r="C311" s="1819"/>
      <c r="D311" s="1831"/>
      <c r="E311" s="1823" t="s">
        <v>3894</v>
      </c>
      <c r="F311" s="1819"/>
      <c r="G311" s="1819"/>
      <c r="H311" s="2188">
        <f>'Part II-Development Team'!H90</f>
        <v>6786240202</v>
      </c>
      <c r="I311" s="2188"/>
      <c r="J311" s="1829">
        <f>'Part II-Development Team'!J90</f>
        <v>0</v>
      </c>
      <c r="K311" s="1821" t="s">
        <v>1936</v>
      </c>
      <c r="L311" s="1965" t="str">
        <f>'Part II-Development Team'!L90</f>
        <v>allen@luskco.com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Pinnacle Living</v>
      </c>
      <c r="I313" s="1827"/>
      <c r="J313" s="1827"/>
      <c r="K313" s="1827"/>
      <c r="L313" s="1827"/>
      <c r="M313" s="1827"/>
      <c r="N313" s="1827"/>
      <c r="O313" s="1823" t="s">
        <v>1941</v>
      </c>
      <c r="P313" s="1823"/>
      <c r="Q313" s="1819" t="str">
        <f>'Part II-Development Team'!Q92</f>
        <v>Kimberly Senior</v>
      </c>
      <c r="R313" s="1827"/>
      <c r="S313" s="1827"/>
    </row>
    <row r="314" spans="1:19" ht="13.8">
      <c r="A314" s="1819"/>
      <c r="B314" s="1819"/>
      <c r="C314" s="1819"/>
      <c r="D314" s="1831"/>
      <c r="E314" s="1823" t="s">
        <v>999</v>
      </c>
      <c r="F314" s="1826"/>
      <c r="G314" s="1819"/>
      <c r="H314" s="1819" t="str">
        <f>'Part II-Development Team'!H93</f>
        <v>6065 Roswell Road</v>
      </c>
      <c r="I314" s="1827"/>
      <c r="J314" s="1827"/>
      <c r="K314" s="1827"/>
      <c r="L314" s="1827"/>
      <c r="M314" s="1827"/>
      <c r="N314" s="1827"/>
      <c r="O314" s="1823" t="s">
        <v>1704</v>
      </c>
      <c r="P314" s="1819"/>
      <c r="Q314" s="1819" t="str">
        <f>'Part II-Development Team'!Q93</f>
        <v>Regional VP</v>
      </c>
      <c r="R314" s="1827"/>
      <c r="S314" s="1827"/>
    </row>
    <row r="315" spans="1:19" ht="13.8">
      <c r="A315" s="1819"/>
      <c r="B315" s="1819"/>
      <c r="C315" s="1819"/>
      <c r="D315" s="1831"/>
      <c r="E315" s="1823" t="s">
        <v>600</v>
      </c>
      <c r="F315" s="1819"/>
      <c r="G315" s="1819"/>
      <c r="H315" s="1819" t="str">
        <f>'Part II-Development Team'!H94</f>
        <v>Atlanta</v>
      </c>
      <c r="I315" s="1827"/>
      <c r="J315" s="1827"/>
      <c r="K315" s="1821" t="s">
        <v>2624</v>
      </c>
      <c r="L315" s="1819" t="str">
        <f>'Part II-Development Team'!L94</f>
        <v>www.pinnacleliving.com</v>
      </c>
      <c r="M315" s="1827"/>
      <c r="N315" s="1827"/>
      <c r="O315" s="1823" t="s">
        <v>1679</v>
      </c>
      <c r="P315" s="1819"/>
      <c r="Q315" s="2188">
        <f>'Part II-Development Team'!Q94</f>
        <v>0</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303280000</v>
      </c>
      <c r="M316" s="1827"/>
      <c r="N316" s="1819"/>
      <c r="O316" s="1823" t="s">
        <v>1931</v>
      </c>
      <c r="P316" s="1819"/>
      <c r="Q316" s="2188">
        <f>'Part II-Development Team'!Q95</f>
        <v>0</v>
      </c>
      <c r="R316" s="2188"/>
      <c r="S316" s="2188"/>
    </row>
    <row r="317" spans="1:19" ht="13.8">
      <c r="A317" s="1819"/>
      <c r="B317" s="1819"/>
      <c r="C317" s="1819"/>
      <c r="D317" s="1831"/>
      <c r="E317" s="1823" t="s">
        <v>3894</v>
      </c>
      <c r="F317" s="1819"/>
      <c r="G317" s="1819"/>
      <c r="H317" s="2188">
        <f>'Part II-Development Team'!H96</f>
        <v>4048910179</v>
      </c>
      <c r="I317" s="2188"/>
      <c r="J317" s="1829">
        <f>'Part II-Development Team'!J96</f>
        <v>0</v>
      </c>
      <c r="K317" s="1821" t="s">
        <v>1936</v>
      </c>
      <c r="L317" s="1965" t="str">
        <f>'Part II-Development Team'!L96</f>
        <v>ksenior@pinnacleliving.com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Nelson Mullins</v>
      </c>
      <c r="I319" s="1827"/>
      <c r="J319" s="1827"/>
      <c r="K319" s="1827"/>
      <c r="L319" s="1827"/>
      <c r="M319" s="1827"/>
      <c r="N319" s="1827"/>
      <c r="O319" s="1823" t="s">
        <v>1941</v>
      </c>
      <c r="P319" s="1823"/>
      <c r="Q319" s="1819" t="str">
        <f>'Part II-Development Team'!Q98</f>
        <v>David Leon</v>
      </c>
      <c r="R319" s="1827"/>
      <c r="S319" s="1827"/>
    </row>
    <row r="320" spans="1:19" ht="13.8">
      <c r="A320" s="1819"/>
      <c r="B320" s="1819"/>
      <c r="C320" s="1819"/>
      <c r="D320" s="1831"/>
      <c r="E320" s="1823" t="s">
        <v>999</v>
      </c>
      <c r="F320" s="1826"/>
      <c r="G320" s="1819"/>
      <c r="H320" s="1819" t="str">
        <f>'Part II-Development Team'!H99</f>
        <v>390 N. Orange Avenue&lt; Suite 1400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Orlando</v>
      </c>
      <c r="I321" s="1827"/>
      <c r="J321" s="1827"/>
      <c r="K321" s="1821" t="s">
        <v>2624</v>
      </c>
      <c r="L321" s="1819" t="str">
        <f>'Part II-Development Team'!L100</f>
        <v>www.nelsonmullins.com</v>
      </c>
      <c r="M321" s="1827"/>
      <c r="N321" s="1827"/>
      <c r="O321" s="1823" t="s">
        <v>1679</v>
      </c>
      <c r="P321" s="1819"/>
      <c r="Q321" s="2188">
        <f>'Part II-Development Team'!Q100</f>
        <v>0</v>
      </c>
      <c r="R321" s="2188"/>
      <c r="S321" s="2188"/>
    </row>
    <row r="322" spans="1:19" ht="13.8">
      <c r="A322" s="1819"/>
      <c r="B322" s="1819"/>
      <c r="C322" s="1819"/>
      <c r="D322" s="1831"/>
      <c r="E322" s="1823" t="s">
        <v>1754</v>
      </c>
      <c r="F322" s="1819"/>
      <c r="G322" s="1819"/>
      <c r="H322" s="1823" t="str">
        <f>'Part II-Development Team'!H101</f>
        <v>FL</v>
      </c>
      <c r="I322" s="1819"/>
      <c r="J322" s="1819"/>
      <c r="K322" s="1821" t="s">
        <v>2172</v>
      </c>
      <c r="L322" s="2187">
        <f>'Part II-Development Team'!L101</f>
        <v>328010000</v>
      </c>
      <c r="M322" s="1827"/>
      <c r="N322" s="1819"/>
      <c r="O322" s="1823" t="s">
        <v>1931</v>
      </c>
      <c r="P322" s="1819"/>
      <c r="Q322" s="2188">
        <f>'Part II-Development Team'!Q101</f>
        <v>4077191192</v>
      </c>
      <c r="R322" s="2188"/>
      <c r="S322" s="2188"/>
    </row>
    <row r="323" spans="1:19" ht="13.8">
      <c r="A323" s="1827"/>
      <c r="B323" s="1827"/>
      <c r="C323" s="1827"/>
      <c r="D323" s="1827"/>
      <c r="E323" s="1823" t="s">
        <v>3894</v>
      </c>
      <c r="F323" s="1819"/>
      <c r="G323" s="1819"/>
      <c r="H323" s="2188">
        <f>'Part II-Development Team'!H102</f>
        <v>4078394276</v>
      </c>
      <c r="I323" s="2188"/>
      <c r="J323" s="1829">
        <f>'Part II-Development Team'!J102</f>
        <v>0</v>
      </c>
      <c r="K323" s="1821" t="s">
        <v>1936</v>
      </c>
      <c r="L323" s="1965" t="str">
        <f>'Part II-Development Team'!L102</f>
        <v>david.leon@nelsonmullins.com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Bracket Partners</v>
      </c>
      <c r="I325" s="1827"/>
      <c r="J325" s="1827"/>
      <c r="K325" s="1827"/>
      <c r="L325" s="1827"/>
      <c r="M325" s="1827"/>
      <c r="N325" s="1827"/>
      <c r="O325" s="1823" t="s">
        <v>1941</v>
      </c>
      <c r="P325" s="1823"/>
      <c r="Q325" s="1819" t="str">
        <f>'Part II-Development Team'!Q104</f>
        <v>John Hoffman</v>
      </c>
      <c r="R325" s="1827"/>
      <c r="S325" s="1827"/>
    </row>
    <row r="326" spans="1:19" ht="13.8">
      <c r="A326" s="1819"/>
      <c r="B326" s="1819"/>
      <c r="C326" s="1819"/>
      <c r="D326" s="1831"/>
      <c r="E326" s="1823" t="s">
        <v>999</v>
      </c>
      <c r="F326" s="1826"/>
      <c r="G326" s="1819"/>
      <c r="H326" s="1819" t="str">
        <f>'Part II-Development Team'!H105</f>
        <v>1600 Golf Road, Suite 1200</v>
      </c>
      <c r="I326" s="1827"/>
      <c r="J326" s="1827"/>
      <c r="K326" s="1827"/>
      <c r="L326" s="1827"/>
      <c r="M326" s="1827"/>
      <c r="N326" s="1827"/>
      <c r="O326" s="1823" t="s">
        <v>1704</v>
      </c>
      <c r="P326" s="1819"/>
      <c r="Q326" s="1819" t="str">
        <f>'Part II-Development Team'!Q105</f>
        <v>Owner</v>
      </c>
      <c r="R326" s="1827"/>
      <c r="S326" s="1827"/>
    </row>
    <row r="327" spans="1:19" ht="13.8">
      <c r="A327" s="1819"/>
      <c r="B327" s="1819"/>
      <c r="C327" s="1819"/>
      <c r="D327" s="1831"/>
      <c r="E327" s="1823" t="s">
        <v>600</v>
      </c>
      <c r="F327" s="1819"/>
      <c r="G327" s="1819"/>
      <c r="H327" s="1819" t="str">
        <f>'Part II-Development Team'!H106</f>
        <v>Rolling Meadows</v>
      </c>
      <c r="I327" s="1827"/>
      <c r="J327" s="1827"/>
      <c r="K327" s="1821" t="s">
        <v>2624</v>
      </c>
      <c r="L327" s="1819" t="str">
        <f>'Part II-Development Team'!L106</f>
        <v>www.bracketpartners.com</v>
      </c>
      <c r="M327" s="1827"/>
      <c r="N327" s="1827"/>
      <c r="O327" s="1823" t="s">
        <v>1679</v>
      </c>
      <c r="P327" s="1819"/>
      <c r="Q327" s="2188">
        <f>'Part II-Development Team'!Q106</f>
        <v>0</v>
      </c>
      <c r="R327" s="2188"/>
      <c r="S327" s="2188"/>
    </row>
    <row r="328" spans="1:19" ht="13.8">
      <c r="A328" s="1819"/>
      <c r="B328" s="1819"/>
      <c r="C328" s="1819"/>
      <c r="D328" s="1831"/>
      <c r="E328" s="1823" t="s">
        <v>1754</v>
      </c>
      <c r="F328" s="1819"/>
      <c r="G328" s="1819"/>
      <c r="H328" s="1823" t="str">
        <f>'Part II-Development Team'!H107</f>
        <v>IL</v>
      </c>
      <c r="I328" s="1819"/>
      <c r="J328" s="1819"/>
      <c r="K328" s="1821" t="s">
        <v>2172</v>
      </c>
      <c r="L328" s="2187">
        <f>'Part II-Development Team'!L107</f>
        <v>600080000</v>
      </c>
      <c r="M328" s="1827"/>
      <c r="N328" s="1819"/>
      <c r="O328" s="1823" t="s">
        <v>1931</v>
      </c>
      <c r="P328" s="1819"/>
      <c r="Q328" s="2188">
        <f>'Part II-Development Team'!Q107</f>
        <v>3125028711</v>
      </c>
      <c r="R328" s="2188"/>
      <c r="S328" s="2188"/>
    </row>
    <row r="329" spans="1:19" ht="13.8">
      <c r="A329" s="1827"/>
      <c r="B329" s="1827"/>
      <c r="C329" s="1827"/>
      <c r="D329" s="1827"/>
      <c r="E329" s="1823" t="s">
        <v>3894</v>
      </c>
      <c r="F329" s="1819"/>
      <c r="G329" s="1819"/>
      <c r="H329" s="2188">
        <f>'Part II-Development Team'!H108</f>
        <v>3125028711</v>
      </c>
      <c r="I329" s="2188"/>
      <c r="J329" s="1829">
        <f>'Part II-Development Team'!J108</f>
        <v>0</v>
      </c>
      <c r="K329" s="1821" t="s">
        <v>1936</v>
      </c>
      <c r="L329" s="1965" t="str">
        <f>'Part II-Development Team'!L108</f>
        <v>jhoffman@bracketpartners.com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BTBB Architects</v>
      </c>
      <c r="I331" s="1827"/>
      <c r="J331" s="1827"/>
      <c r="K331" s="1827"/>
      <c r="L331" s="1827"/>
      <c r="M331" s="1827"/>
      <c r="N331" s="1827"/>
      <c r="O331" s="1823" t="s">
        <v>1941</v>
      </c>
      <c r="P331" s="1823"/>
      <c r="Q331" s="1819" t="str">
        <f>'Part II-Development Team'!Q110</f>
        <v>Bob Brown</v>
      </c>
      <c r="R331" s="1827"/>
      <c r="S331" s="1827"/>
    </row>
    <row r="332" spans="1:19" ht="13.8">
      <c r="A332" s="1819"/>
      <c r="B332" s="1819"/>
      <c r="C332" s="1819"/>
      <c r="D332" s="1831"/>
      <c r="E332" s="1823" t="s">
        <v>999</v>
      </c>
      <c r="F332" s="1826"/>
      <c r="G332" s="1819"/>
      <c r="H332" s="1819" t="str">
        <f>'Part II-Development Team'!H111</f>
        <v>609 Cherry Street</v>
      </c>
      <c r="I332" s="1827"/>
      <c r="J332" s="1827"/>
      <c r="K332" s="1827"/>
      <c r="L332" s="1827"/>
      <c r="M332" s="1827"/>
      <c r="N332" s="1827"/>
      <c r="O332" s="1823" t="s">
        <v>1704</v>
      </c>
      <c r="P332" s="1819"/>
      <c r="Q332" s="1819" t="str">
        <f>'Part II-Development Team'!Q111</f>
        <v>Owner</v>
      </c>
      <c r="R332" s="1827"/>
      <c r="S332" s="1827"/>
    </row>
    <row r="333" spans="1:19" ht="13.8">
      <c r="A333" s="1819"/>
      <c r="B333" s="1819"/>
      <c r="C333" s="1819"/>
      <c r="D333" s="1831"/>
      <c r="E333" s="1823" t="s">
        <v>600</v>
      </c>
      <c r="F333" s="1819"/>
      <c r="G333" s="1819"/>
      <c r="H333" s="1819" t="str">
        <f>'Part II-Development Team'!H112</f>
        <v>Macon</v>
      </c>
      <c r="I333" s="1827"/>
      <c r="J333" s="1827"/>
      <c r="K333" s="1821" t="s">
        <v>2624</v>
      </c>
      <c r="L333" s="1819" t="str">
        <f>'Part II-Development Team'!L112</f>
        <v>www.btbbinc.com</v>
      </c>
      <c r="M333" s="1827"/>
      <c r="N333" s="1827"/>
      <c r="O333" s="1823" t="s">
        <v>1679</v>
      </c>
      <c r="P333" s="1819"/>
      <c r="Q333" s="2188">
        <f>'Part II-Development Team'!Q112</f>
        <v>0</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312017398</v>
      </c>
      <c r="M334" s="1827"/>
      <c r="N334" s="1819"/>
      <c r="O334" s="1823" t="s">
        <v>1931</v>
      </c>
      <c r="P334" s="1819"/>
      <c r="Q334" s="2188">
        <f>'Part II-Development Team'!Q113</f>
        <v>0</v>
      </c>
      <c r="R334" s="2188"/>
      <c r="S334" s="2188"/>
    </row>
    <row r="335" spans="1:19" ht="13.8">
      <c r="A335" s="1819"/>
      <c r="B335" s="1819"/>
      <c r="C335" s="1819"/>
      <c r="D335" s="1831"/>
      <c r="E335" s="1823" t="s">
        <v>3894</v>
      </c>
      <c r="F335" s="1819"/>
      <c r="G335" s="1819"/>
      <c r="H335" s="2188">
        <f>'Part II-Development Team'!H114</f>
        <v>4784721208</v>
      </c>
      <c r="I335" s="2188"/>
      <c r="J335" s="1829">
        <f>'Part II-Development Team'!J114</f>
        <v>0</v>
      </c>
      <c r="K335" s="1821" t="s">
        <v>1936</v>
      </c>
      <c r="L335" s="1965" t="str">
        <f>'Part II-Development Team'!L114</f>
        <v>bbrown@btbbinc.com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6853</v>
      </c>
      <c r="D338" s="1819"/>
      <c r="E338" s="1819"/>
      <c r="F338" s="1819"/>
      <c r="G338" s="1819"/>
      <c r="H338" s="1819" t="str">
        <f>'Part II-Development Team'!H117</f>
        <v>U. S. Dept of Veterans Affairs</v>
      </c>
      <c r="I338" s="1819"/>
      <c r="J338" s="1819"/>
      <c r="K338" s="1821" t="s">
        <v>2409</v>
      </c>
      <c r="L338" s="1819" t="str">
        <f>'Part II-Development Team'!L117</f>
        <v>David Whitmer</v>
      </c>
      <c r="M338" s="1827"/>
      <c r="N338" s="1827"/>
      <c r="O338" s="1823" t="s">
        <v>3440</v>
      </c>
      <c r="P338" s="1819"/>
      <c r="Q338" s="2188">
        <f>'Part II-Development Team'!Q117</f>
        <v>4784473801</v>
      </c>
      <c r="R338" s="2188"/>
      <c r="S338" s="2188"/>
    </row>
    <row r="339" spans="1:19" ht="13.8">
      <c r="A339" s="1819"/>
      <c r="B339" s="1819"/>
      <c r="C339" s="1819"/>
      <c r="D339" s="1831"/>
      <c r="E339" s="1823" t="s">
        <v>999</v>
      </c>
      <c r="F339" s="1826"/>
      <c r="G339" s="1819"/>
      <c r="H339" s="1819" t="str">
        <f>'Part II-Development Team'!H118</f>
        <v>1826 Veterans Boulevard</v>
      </c>
      <c r="I339" s="1827"/>
      <c r="J339" s="1827"/>
      <c r="K339" s="1827"/>
      <c r="L339" s="1827"/>
      <c r="M339" s="1827"/>
      <c r="N339" s="1827"/>
      <c r="O339" s="1823" t="s">
        <v>600</v>
      </c>
      <c r="P339" s="1819"/>
      <c r="Q339" s="1819" t="str">
        <f>'Part II-Development Team'!Q118</f>
        <v>Dublin</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310210000</v>
      </c>
      <c r="K340" s="1827"/>
      <c r="L340" s="1821" t="s">
        <v>1936</v>
      </c>
      <c r="M340" s="1965" t="str">
        <f>'Part II-Development Team'!M119</f>
        <v>dwhitmer@va.gov</v>
      </c>
      <c r="N340" s="1965"/>
      <c r="O340" s="1965"/>
      <c r="P340" s="1965"/>
      <c r="Q340" s="1965"/>
      <c r="R340" s="1965"/>
      <c r="S340" s="1965"/>
    </row>
    <row r="341" spans="1:19" ht="13.8">
      <c r="A341" s="1827"/>
      <c r="B341" s="1819" t="s">
        <v>1937</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5.9999999999999995E-4</v>
      </c>
      <c r="M360" s="2071" t="str">
        <f>'Part II-Development Team'!M139</f>
        <v>No</v>
      </c>
      <c r="N360" s="1956">
        <f>'Part II-Development Team'!N139</f>
        <v>0</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No</v>
      </c>
      <c r="J361" s="2071" t="str">
        <f>'Part II-Development Team'!J140</f>
        <v>Yes</v>
      </c>
      <c r="K361" s="2197" t="str">
        <f>'Part II-Development Team'!K140</f>
        <v>For Profit</v>
      </c>
      <c r="L361" s="2198">
        <f>'Part II-Development Team'!L140</f>
        <v>2.0000000000000001E-4</v>
      </c>
      <c r="M361" s="2071" t="str">
        <f>'Part II-Development Team'!M140</f>
        <v>No</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No</v>
      </c>
      <c r="J362" s="2071" t="str">
        <f>'Part II-Development Team'!J141</f>
        <v>No</v>
      </c>
      <c r="K362" s="2197" t="str">
        <f>'Part II-Development Team'!K141</f>
        <v>Nonprofit</v>
      </c>
      <c r="L362" s="2198">
        <f>'Part II-Development Team'!L141</f>
        <v>2.0000000000000001E-4</v>
      </c>
      <c r="M362" s="2071" t="str">
        <f>'Part II-Development Team'!M141</f>
        <v>No</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0.98899999999999999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No</v>
      </c>
      <c r="J365" s="2071" t="str">
        <f>'Part II-Development Team'!J144</f>
        <v>No</v>
      </c>
      <c r="K365" s="2197">
        <f>'Part II-Development Team'!K144</f>
        <v>0</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No</v>
      </c>
      <c r="J367" s="2071" t="str">
        <f>'Part II-Development Team'!J146</f>
        <v>Yes</v>
      </c>
      <c r="K367" s="2197" t="str">
        <f>'Part II-Development Team'!K146</f>
        <v>For Profit</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No</v>
      </c>
      <c r="J368" s="2071" t="str">
        <f>'Part II-Development Team'!J147</f>
        <v>No</v>
      </c>
      <c r="K368" s="2197" t="str">
        <f>'Part II-Development Team'!K147</f>
        <v>Nonprofit</v>
      </c>
      <c r="L368" s="2198">
        <f>'Part II-Development Team'!L147</f>
        <v>0</v>
      </c>
      <c r="M368" s="2071" t="str">
        <f>'Part II-Development Team'!M147</f>
        <v>No</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No</v>
      </c>
      <c r="J369" s="2071" t="str">
        <f>'Part II-Development Team'!J148</f>
        <v>No</v>
      </c>
      <c r="K369" s="2197">
        <f>'Part II-Development Team'!K148</f>
        <v>0</v>
      </c>
      <c r="L369" s="2198">
        <f>'Part II-Development Team'!L148</f>
        <v>0</v>
      </c>
      <c r="M369" s="2071" t="str">
        <f>'Part II-Development Team'!M148</f>
        <v>No</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No</v>
      </c>
      <c r="J370" s="2071" t="str">
        <f>'Part II-Development Team'!J149</f>
        <v>No</v>
      </c>
      <c r="K370" s="2197">
        <f>'Part II-Development Team'!K149</f>
        <v>0</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2020-042 Freedom's Path at Dublin, Dublin, Laurens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t="str">
        <f>'Part III-Sources of Funds'!E5</f>
        <v>No</v>
      </c>
      <c r="F384" s="1823" t="s">
        <v>6817</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4488</v>
      </c>
      <c r="Q384" s="1887"/>
      <c r="R384" s="1849"/>
      <c r="S384" s="1887"/>
      <c r="T384" s="1887"/>
    </row>
    <row r="385" spans="1:20" ht="13.8">
      <c r="A385" s="1821"/>
      <c r="B385" s="1821" t="str">
        <f>'Part III-Sources of Funds'!B6</f>
        <v>Yes</v>
      </c>
      <c r="C385" s="1823" t="s">
        <v>4428</v>
      </c>
      <c r="D385" s="1819"/>
      <c r="E385" s="1821" t="str">
        <f>'Part III-Sources of Funds'!E6</f>
        <v>No</v>
      </c>
      <c r="F385" s="1823" t="s">
        <v>6818</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6819</v>
      </c>
      <c r="G386" s="1849"/>
      <c r="H386" s="1849" t="str">
        <f>'Part III-Sources of Funds'!H7</f>
        <v>Specify Other HOME Source here</v>
      </c>
      <c r="I386" s="1849"/>
      <c r="J386" s="1849"/>
      <c r="K386" s="1849"/>
      <c r="L386" s="1821" t="str">
        <f>'Part III-Sources of Funds'!L7</f>
        <v>No</v>
      </c>
      <c r="M386" s="1823" t="s">
        <v>3455</v>
      </c>
      <c r="N386" s="1849"/>
      <c r="O386" s="1849"/>
      <c r="P386" s="1887"/>
      <c r="Q386" s="1887"/>
      <c r="R386" s="1849"/>
      <c r="S386" s="1887"/>
      <c r="T386" s="1887"/>
    </row>
    <row r="387" spans="1:20" ht="13.8">
      <c r="A387" s="1821"/>
      <c r="B387" s="1821" t="str">
        <f>'Part III-Sources of Funds'!B8</f>
        <v>No</v>
      </c>
      <c r="C387" s="1823" t="s">
        <v>2533</v>
      </c>
      <c r="D387" s="1849"/>
      <c r="E387" s="1821" t="str">
        <f>'Part III-Sources of Funds'!E8</f>
        <v>No</v>
      </c>
      <c r="F387" s="1823" t="s">
        <v>2541</v>
      </c>
      <c r="G387" s="1849"/>
      <c r="H387" s="1849"/>
      <c r="I387" s="1849"/>
      <c r="J387" s="1849"/>
      <c r="K387" s="1849"/>
      <c r="L387" s="1821" t="str">
        <f>'Part III-Sources of Funds'!L8</f>
        <v>No</v>
      </c>
      <c r="M387" s="1823" t="s">
        <v>4429</v>
      </c>
      <c r="N387" s="1849"/>
      <c r="O387" s="1849"/>
      <c r="P387" s="1849"/>
      <c r="Q387" s="1849"/>
      <c r="R387" s="1849"/>
      <c r="S387" s="1887"/>
      <c r="T387" s="1887"/>
    </row>
    <row r="388" spans="1:20" ht="13.8">
      <c r="A388" s="1821"/>
      <c r="B388" s="1821" t="str">
        <f>'Part III-Sources of Funds'!B9</f>
        <v>No</v>
      </c>
      <c r="C388" s="1823" t="s">
        <v>2534</v>
      </c>
      <c r="D388" s="1849"/>
      <c r="E388" s="1821" t="str">
        <f>'Part III-Sources of Funds'!E9</f>
        <v>No</v>
      </c>
      <c r="F388" s="1823" t="s">
        <v>3539</v>
      </c>
      <c r="G388" s="1849"/>
      <c r="H388" s="1849" t="str">
        <f>'Part III-Sources of Funds'!H9</f>
        <v>Specify Other PBRA Source here</v>
      </c>
      <c r="I388" s="1849"/>
      <c r="J388" s="1849"/>
      <c r="K388" s="1849"/>
      <c r="L388" s="1821" t="str">
        <f>'Part III-Sources of Funds'!L9</f>
        <v>No</v>
      </c>
      <c r="M388" s="1823" t="s">
        <v>3504</v>
      </c>
      <c r="N388" s="1849"/>
      <c r="O388" s="1849"/>
      <c r="P388" s="1849"/>
      <c r="Q388" s="1849"/>
      <c r="R388" s="1849"/>
      <c r="S388" s="1887"/>
      <c r="T388" s="1887"/>
    </row>
    <row r="389" spans="1:20" ht="13.8">
      <c r="A389" s="1821"/>
      <c r="B389" s="1821" t="str">
        <f>'Part III-Sources of Funds'!B10</f>
        <v>No</v>
      </c>
      <c r="C389" s="1823" t="s">
        <v>3508</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2542</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3542</v>
      </c>
      <c r="N390" s="1849"/>
      <c r="O390" s="1849"/>
      <c r="P390" s="1849"/>
      <c r="Q390" s="1849"/>
      <c r="R390" s="1849"/>
      <c r="S390" s="1887"/>
      <c r="T390" s="1887"/>
    </row>
    <row r="391" spans="1:20" ht="13.8">
      <c r="A391" s="1821"/>
      <c r="B391" s="1821" t="str">
        <f>'Part III-Sources of Funds'!B12</f>
        <v>No</v>
      </c>
      <c r="C391" s="1819" t="s">
        <v>2540</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3538</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4426</v>
      </c>
      <c r="G393" s="1849"/>
      <c r="H393" s="1849"/>
      <c r="I393" s="2199">
        <f>'Part III-Sources of Funds'!I14</f>
        <v>0</v>
      </c>
      <c r="J393" s="1815"/>
      <c r="K393" s="1849"/>
      <c r="L393" s="1821" t="str">
        <f>'Part III-Sources of Funds'!L14</f>
        <v>No</v>
      </c>
      <c r="M393" s="1820" t="s">
        <v>6820</v>
      </c>
      <c r="N393" s="1849"/>
      <c r="O393" s="1849"/>
      <c r="P393" s="1849"/>
      <c r="Q393" s="1849"/>
      <c r="R393" s="1849"/>
      <c r="S393" s="1849"/>
      <c r="T393" s="1849"/>
    </row>
    <row r="394" spans="1:20" ht="13.8">
      <c r="A394" s="1821"/>
      <c r="B394" s="1849" t="s">
        <v>4430</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4389</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Fifth Third Bank</v>
      </c>
      <c r="I399" s="1819"/>
      <c r="J399" s="1819"/>
      <c r="K399" s="1819"/>
      <c r="L399" s="1861">
        <f>'Part III-Sources of Funds'!L20</f>
        <v>5000000</v>
      </c>
      <c r="M399" s="1861"/>
      <c r="N399" s="1850">
        <f>'Part III-Sources of Funds'!N20</f>
        <v>4.2500000000000003E-2</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RBC Tax Credit Equity Group</v>
      </c>
      <c r="I405" s="1819"/>
      <c r="J405" s="1819"/>
      <c r="K405" s="1819"/>
      <c r="L405" s="1861">
        <f>'Part III-Sources of Funds'!L26</f>
        <v>1805612</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RBC Tax Credit Equity Group</v>
      </c>
      <c r="I406" s="1819"/>
      <c r="J406" s="1819"/>
      <c r="K406" s="1819"/>
      <c r="L406" s="1861">
        <f>'Part III-Sources of Funds'!L27</f>
        <v>1805612</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8611224</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8151500</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459724</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4388</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6.1549600000000003E-2</v>
      </c>
      <c r="E422" s="1819" t="str">
        <f>'Part III-Sources of Funds'!E43</f>
        <v>Communities for Veterans et. al.</v>
      </c>
      <c r="F422" s="1819"/>
      <c r="G422" s="1819"/>
      <c r="H422" s="1819"/>
      <c r="I422" s="1882">
        <f>'Part III-Sources of Funds'!I43</f>
        <v>76937</v>
      </c>
      <c r="J422" s="1819"/>
      <c r="K422" s="1851">
        <f>'Part III-Sources of Funds'!K43</f>
        <v>0.08</v>
      </c>
      <c r="L422" s="1821">
        <f>-'Part III-Sources of Funds'!L43</f>
        <v>-2</v>
      </c>
      <c r="M422" s="1821">
        <f>-'Part III-Sources of Funds'!M43</f>
        <v>-2</v>
      </c>
      <c r="N422" s="1819" t="e">
        <f>-'Part III-Sources of Funds'!N43</f>
        <v>#VALUE!</v>
      </c>
      <c r="O422" s="1819"/>
      <c r="P422" s="1852">
        <f>-'Part III-Sources of Funds'!P43</f>
        <v>-41755.825473173281</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168452.22319999998</v>
      </c>
      <c r="G424" s="1849"/>
      <c r="H424" s="1855" t="s">
        <v>3832</v>
      </c>
      <c r="I424" s="1854">
        <f>'Part III-Sources of Funds'!I45</f>
        <v>83511.650946346563</v>
      </c>
      <c r="J424" s="1849"/>
      <c r="K424" s="1855" t="s">
        <v>3834</v>
      </c>
      <c r="L424" s="1856">
        <f>'Part III-Sources of Funds'!L45</f>
        <v>0.49575867483324837</v>
      </c>
      <c r="M424" s="1856"/>
      <c r="N424" s="1852" t="s">
        <v>4396</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RBC Capital Markets</v>
      </c>
      <c r="F428" s="1819"/>
      <c r="G428" s="1819"/>
      <c r="H428" s="1819"/>
      <c r="I428" s="1882">
        <f>'Part III-Sources of Funds'!I49</f>
        <v>5000000</v>
      </c>
      <c r="J428" s="1819"/>
      <c r="K428" s="1849"/>
      <c r="L428" s="1858">
        <f>'Part III-Sources of Funds'!L49</f>
        <v>5000000</v>
      </c>
      <c r="M428" s="1858"/>
      <c r="N428" s="1859">
        <f>'Part III-Sources of Funds'!N49</f>
        <v>0</v>
      </c>
      <c r="O428" s="1859"/>
      <c r="P428" s="1860">
        <f>I428/I438</f>
        <v>0.54914881933003845</v>
      </c>
      <c r="Q428" s="1819"/>
      <c r="R428" s="1849"/>
      <c r="S428" s="1887"/>
      <c r="T428" s="1887"/>
    </row>
    <row r="429" spans="1:20" ht="13.8">
      <c r="A429" s="1819"/>
      <c r="B429" s="1819" t="s">
        <v>783</v>
      </c>
      <c r="C429" s="1819"/>
      <c r="D429" s="1819"/>
      <c r="E429" s="1819" t="str">
        <f>'Part III-Sources of Funds'!E50</f>
        <v>RBC Capital Markets</v>
      </c>
      <c r="F429" s="1819"/>
      <c r="G429" s="1819"/>
      <c r="H429" s="1819"/>
      <c r="I429" s="1882">
        <f>'Part III-Sources of Funds'!I50</f>
        <v>2812500</v>
      </c>
      <c r="J429" s="1819"/>
      <c r="K429" s="1849"/>
      <c r="L429" s="1858">
        <f>'Part III-Sources of Funds'!L50</f>
        <v>2812500</v>
      </c>
      <c r="M429" s="1858"/>
      <c r="N429" s="1859">
        <f>'Part III-Sources of Funds'!N50</f>
        <v>0</v>
      </c>
      <c r="O429" s="1859"/>
      <c r="P429" s="1860">
        <f>I429/I438</f>
        <v>0.30889621087314661</v>
      </c>
      <c r="Q429" s="1819"/>
      <c r="R429" s="1849"/>
      <c r="S429" s="1887"/>
      <c r="T429" s="1887"/>
    </row>
    <row r="430" spans="1:20" ht="13.8">
      <c r="A430" s="1819"/>
      <c r="B430" s="1819" t="s">
        <v>1383</v>
      </c>
      <c r="C430" s="1819"/>
      <c r="D430" s="1819"/>
      <c r="E430" s="1819" t="str">
        <f>'Part III-Sources of Funds'!E51</f>
        <v>RBC Capital Markets</v>
      </c>
      <c r="F430" s="1819"/>
      <c r="G430" s="1819"/>
      <c r="H430" s="1819"/>
      <c r="I430" s="1882">
        <f>'Part III-Sources of Funds'!I51</f>
        <v>1080563</v>
      </c>
      <c r="J430" s="1819"/>
      <c r="K430" s="1849"/>
      <c r="L430" s="1849"/>
      <c r="M430" s="1849"/>
      <c r="N430" s="1849"/>
      <c r="O430" s="1849"/>
      <c r="P430" s="1860">
        <f>SUM(P428:P429)</f>
        <v>0.85804503020318501</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State Historic Equity</v>
      </c>
      <c r="D434" s="1819"/>
      <c r="E434" s="1819" t="str">
        <f>'Part III-Sources of Funds'!E55</f>
        <v>RBC Capital Markets</v>
      </c>
      <c r="F434" s="1819"/>
      <c r="G434" s="1819"/>
      <c r="H434" s="1819"/>
      <c r="I434" s="1882">
        <f>'Part III-Sources of Funds'!I55</f>
        <v>135000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9105000</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9105000</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2020-042 Freedom's Path at Dublin,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2020-042 Freedom's Path at Dublin,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7000</v>
      </c>
      <c r="H454" s="1861"/>
      <c r="I454" s="1819"/>
      <c r="J454" s="1861">
        <f>'Part IV-A-Uses of Funds'!J8</f>
        <v>840</v>
      </c>
      <c r="K454" s="1861"/>
      <c r="L454" s="1832"/>
      <c r="M454" s="1861">
        <f>'Part IV-A-Uses of Funds'!M8</f>
        <v>0</v>
      </c>
      <c r="N454" s="1861"/>
      <c r="O454" s="1819"/>
      <c r="P454" s="1861">
        <f>'Part IV-A-Uses of Funds'!P8</f>
        <v>6160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1200</v>
      </c>
      <c r="K455" s="1861"/>
      <c r="L455" s="1832"/>
      <c r="M455" s="1861">
        <f>'Part IV-A-Uses of Funds'!M9</f>
        <v>0</v>
      </c>
      <c r="N455" s="1861"/>
      <c r="O455" s="1819"/>
      <c r="P455" s="1861">
        <f>'Part IV-A-Uses of Funds'!P9</f>
        <v>8800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20000</v>
      </c>
      <c r="H456" s="1861"/>
      <c r="I456" s="1819"/>
      <c r="J456" s="1861">
        <f>'Part IV-A-Uses of Funds'!J10</f>
        <v>2400</v>
      </c>
      <c r="K456" s="1861"/>
      <c r="L456" s="1832"/>
      <c r="M456" s="1861">
        <f>'Part IV-A-Uses of Funds'!M10</f>
        <v>0</v>
      </c>
      <c r="N456" s="1861"/>
      <c r="O456" s="1819"/>
      <c r="P456" s="1861">
        <f>'Part IV-A-Uses of Funds'!P10</f>
        <v>17600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0</v>
      </c>
      <c r="H457" s="1861"/>
      <c r="I457" s="1819"/>
      <c r="J457" s="1861">
        <f>'Part IV-A-Uses of Funds'!J11</f>
        <v>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10000</v>
      </c>
      <c r="H458" s="1861"/>
      <c r="I458" s="1819"/>
      <c r="J458" s="1861">
        <f>'Part IV-A-Uses of Funds'!J12</f>
        <v>1200</v>
      </c>
      <c r="K458" s="1861"/>
      <c r="L458" s="1832"/>
      <c r="M458" s="1861">
        <f>'Part IV-A-Uses of Funds'!M12</f>
        <v>0</v>
      </c>
      <c r="N458" s="1861"/>
      <c r="O458" s="1819"/>
      <c r="P458" s="1861">
        <f>'Part IV-A-Uses of Funds'!P12</f>
        <v>8800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Physical Needs Assessment and Fannie Mae Worksheet Projection</v>
      </c>
      <c r="D460" s="1849"/>
      <c r="E460" s="1849"/>
      <c r="F460" s="1849"/>
      <c r="G460" s="1861">
        <f>'Part IV-A-Uses of Funds'!G14</f>
        <v>10000</v>
      </c>
      <c r="H460" s="1861"/>
      <c r="I460" s="1819"/>
      <c r="J460" s="1861">
        <f>'Part IV-A-Uses of Funds'!J14</f>
        <v>1200</v>
      </c>
      <c r="K460" s="1861"/>
      <c r="L460" s="1832"/>
      <c r="M460" s="1861">
        <f>'Part IV-A-Uses of Funds'!M14</f>
        <v>0</v>
      </c>
      <c r="N460" s="1861"/>
      <c r="O460" s="1819"/>
      <c r="P460" s="1861">
        <f>'Part IV-A-Uses of Funds'!P14</f>
        <v>8800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Historic Consultant Part 1 and Part 2 Certifications</v>
      </c>
      <c r="D461" s="1849"/>
      <c r="E461" s="1849"/>
      <c r="F461" s="1849"/>
      <c r="G461" s="1861">
        <f>'Part IV-A-Uses of Funds'!G15</f>
        <v>37000</v>
      </c>
      <c r="H461" s="1861"/>
      <c r="I461" s="1819"/>
      <c r="J461" s="1861">
        <f>'Part IV-A-Uses of Funds'!J15</f>
        <v>0</v>
      </c>
      <c r="K461" s="1861"/>
      <c r="L461" s="1832"/>
      <c r="M461" s="1861">
        <f>'Part IV-A-Uses of Funds'!M15</f>
        <v>0</v>
      </c>
      <c r="N461" s="1861"/>
      <c r="O461" s="1819"/>
      <c r="P461" s="1861">
        <f>'Part IV-A-Uses of Funds'!P15</f>
        <v>37000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94000</v>
      </c>
      <c r="H463" s="1861"/>
      <c r="I463" s="1819"/>
      <c r="J463" s="1861">
        <f>SUM(J454:K462)</f>
        <v>6840</v>
      </c>
      <c r="K463" s="1827"/>
      <c r="L463" s="1832"/>
      <c r="M463" s="1861">
        <f>SUM(M454:N462)</f>
        <v>0</v>
      </c>
      <c r="N463" s="1861"/>
      <c r="O463" s="1819"/>
      <c r="P463" s="1861">
        <f>SUM(P454:Q462)</f>
        <v>87160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3543</v>
      </c>
      <c r="F465" s="1864">
        <f>IF('Part I-Project Information'!$O$37="","",G465/'Part I-Project Information'!$O$37)</f>
        <v>0</v>
      </c>
      <c r="G465" s="1861">
        <f>'Part IV-A-Uses of Funds'!G19</f>
        <v>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0</v>
      </c>
      <c r="H469" s="1861"/>
      <c r="I469" s="1819"/>
      <c r="J469" s="1832"/>
      <c r="K469" s="1861"/>
      <c r="L469" s="1832"/>
      <c r="M469" s="1861">
        <f>SUM(M467:N468)</f>
        <v>0</v>
      </c>
      <c r="N469" s="1861"/>
      <c r="O469" s="1819"/>
      <c r="P469" s="1832"/>
      <c r="Q469" s="1861"/>
      <c r="R469" s="1819"/>
      <c r="S469" s="1861">
        <f>SUM(S465:T468)</f>
        <v>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53059.815242494224</v>
      </c>
      <c r="G471" s="1861">
        <f>'Part IV-A-Uses of Funds'!G25</f>
        <v>229749</v>
      </c>
      <c r="H471" s="1861"/>
      <c r="I471" s="1819"/>
      <c r="J471" s="1861">
        <f>'Part IV-A-Uses of Funds'!J25</f>
        <v>200000</v>
      </c>
      <c r="K471" s="1861"/>
      <c r="L471" s="1832"/>
      <c r="M471" s="1861">
        <f>'Part IV-A-Uses of Funds'!M25</f>
        <v>0</v>
      </c>
      <c r="N471" s="1861"/>
      <c r="O471" s="1819"/>
      <c r="P471" s="1861">
        <f>'Part IV-A-Uses of Funds'!P25</f>
        <v>29749</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229749</v>
      </c>
      <c r="H473" s="1861"/>
      <c r="I473" s="1819"/>
      <c r="J473" s="1861">
        <f>SUM(J471:K472)</f>
        <v>200000</v>
      </c>
      <c r="K473" s="1861"/>
      <c r="L473" s="1832"/>
      <c r="M473" s="1861">
        <f>M471</f>
        <v>0</v>
      </c>
      <c r="N473" s="1861"/>
      <c r="O473" s="1819"/>
      <c r="P473" s="1861">
        <f>P471</f>
        <v>29749</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704233</v>
      </c>
      <c r="H475" s="1861"/>
      <c r="I475" s="1819"/>
      <c r="J475" s="1861">
        <f>'Part IV-A-Uses of Funds'!J29</f>
        <v>704233</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4401518</v>
      </c>
      <c r="H476" s="1861"/>
      <c r="I476" s="1819"/>
      <c r="J476" s="1861">
        <f>'Part IV-A-Uses of Funds'!J30</f>
        <v>0</v>
      </c>
      <c r="K476" s="1861"/>
      <c r="L476" s="1832"/>
      <c r="M476" s="1861">
        <f>'Part IV-A-Uses of Funds'!M30</f>
        <v>0</v>
      </c>
      <c r="N476" s="1861"/>
      <c r="O476" s="1819"/>
      <c r="P476" s="1861">
        <f>'Part IV-A-Uses of Funds'!P30</f>
        <v>4401518</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5105751</v>
      </c>
      <c r="H479" s="1861"/>
      <c r="I479" s="1819"/>
      <c r="J479" s="1861">
        <f>SUM(J475:K478)</f>
        <v>704233</v>
      </c>
      <c r="K479" s="1861"/>
      <c r="L479" s="1832"/>
      <c r="M479" s="1861">
        <f>SUM(M475:N478)</f>
        <v>0</v>
      </c>
      <c r="N479" s="1861"/>
      <c r="O479" s="1819"/>
      <c r="P479" s="1861">
        <f>SUM(P475:Q478)</f>
        <v>4401518</v>
      </c>
      <c r="Q479" s="1861"/>
      <c r="R479" s="1819"/>
      <c r="S479" s="1861">
        <f>SUM(S475:T478)</f>
        <v>0</v>
      </c>
      <c r="T479" s="1861"/>
      <c r="U479" s="1819"/>
      <c r="V479" s="1862">
        <f>SUM(V475:V478)</f>
        <v>0</v>
      </c>
      <c r="W479" s="1772"/>
      <c r="X479" s="1772"/>
    </row>
    <row r="480" spans="1:24" ht="13.8">
      <c r="A480" s="1819"/>
      <c r="B480" s="1819" t="s">
        <v>2283</v>
      </c>
      <c r="C480" s="1819"/>
      <c r="D480" s="1849" t="s">
        <v>3547</v>
      </c>
      <c r="E480" s="1849"/>
      <c r="F480" s="2081">
        <f>SUM(F481:F483)</f>
        <v>0.13897479149095682</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320130</v>
      </c>
      <c r="F481" s="1865">
        <f>'Part IV-A-Uses of Funds'!F35</f>
        <v>5.9507075250679414E-2</v>
      </c>
      <c r="G481" s="1861">
        <f>'Part IV-A-Uses of Funds'!G35</f>
        <v>317500</v>
      </c>
      <c r="H481" s="1861"/>
      <c r="I481" s="1827"/>
      <c r="J481" s="1861">
        <f>'Part IV-A-Uses of Funds'!J35</f>
        <v>38100</v>
      </c>
      <c r="K481" s="1861"/>
      <c r="L481" s="1832"/>
      <c r="M481" s="1861">
        <f>'Part IV-A-Uses of Funds'!M35</f>
        <v>0</v>
      </c>
      <c r="N481" s="1861"/>
      <c r="O481" s="1819"/>
      <c r="P481" s="1861">
        <f>'Part IV-A-Uses of Funds'!P35</f>
        <v>279400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106710</v>
      </c>
      <c r="F482" s="1865">
        <f>'Part IV-A-Uses of Funds'!F36</f>
        <v>1.9960640989597975E-2</v>
      </c>
      <c r="G482" s="1861">
        <f>'Part IV-A-Uses of Funds'!G36</f>
        <v>106500</v>
      </c>
      <c r="H482" s="1861"/>
      <c r="I482" s="1827"/>
      <c r="J482" s="1861">
        <f>'Part IV-A-Uses of Funds'!J36</f>
        <v>12780</v>
      </c>
      <c r="K482" s="1861"/>
      <c r="L482" s="1832"/>
      <c r="M482" s="1861">
        <f>'Part IV-A-Uses of Funds'!M36</f>
        <v>0</v>
      </c>
      <c r="N482" s="1861"/>
      <c r="O482" s="1819"/>
      <c r="P482" s="1861">
        <f>'Part IV-A-Uses of Funds'!P36</f>
        <v>93720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320130</v>
      </c>
      <c r="F483" s="1865">
        <f>'Part IV-A-Uses of Funds'!F37</f>
        <v>5.9507075250679414E-2</v>
      </c>
      <c r="G483" s="1861">
        <f>'Part IV-A-Uses of Funds'!G37</f>
        <v>317500</v>
      </c>
      <c r="H483" s="1861"/>
      <c r="I483" s="1827"/>
      <c r="J483" s="1861">
        <f>'Part IV-A-Uses of Funds'!J37</f>
        <v>38100</v>
      </c>
      <c r="K483" s="1861"/>
      <c r="L483" s="1832"/>
      <c r="M483" s="1861">
        <f>'Part IV-A-Uses of Funds'!M37</f>
        <v>0</v>
      </c>
      <c r="N483" s="1861"/>
      <c r="O483" s="1819"/>
      <c r="P483" s="1861">
        <f>'Part IV-A-Uses of Funds'!P37</f>
        <v>279400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746970</v>
      </c>
      <c r="F484" s="1826" t="s">
        <v>187</v>
      </c>
      <c r="G484" s="1861">
        <f>SUM(G481:H483)</f>
        <v>741500</v>
      </c>
      <c r="H484" s="1861"/>
      <c r="I484" s="1819"/>
      <c r="J484" s="1861">
        <f>SUM(J481:K483)</f>
        <v>88980</v>
      </c>
      <c r="K484" s="1861"/>
      <c r="L484" s="1832"/>
      <c r="M484" s="1861">
        <f>SUM(M481:N483)</f>
        <v>0</v>
      </c>
      <c r="N484" s="1861"/>
      <c r="O484" s="1819"/>
      <c r="P484" s="1861">
        <f>SUM(P481:Q483)</f>
        <v>652520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2658</v>
      </c>
      <c r="F489" s="2083">
        <f>B490/'Part VI-Revenues &amp; Expenses'!$P$65</f>
        <v>121540</v>
      </c>
      <c r="G489" s="2084" t="s">
        <v>6899</v>
      </c>
      <c r="H489" s="1819"/>
      <c r="I489" s="1819"/>
      <c r="J489" s="1880">
        <f>B490/'Part VI-Revenues &amp; Expenses'!$P$67</f>
        <v>121540</v>
      </c>
      <c r="K489" s="1880"/>
      <c r="L489" s="1819"/>
      <c r="M489" s="2085" t="s">
        <v>1375</v>
      </c>
      <c r="N489" s="2085"/>
      <c r="O489" s="1819"/>
      <c r="P489" s="1880">
        <f>B490/'Part I-Project Information'!$P$75</f>
        <v>149.51408537335465</v>
      </c>
      <c r="Q489" s="1880"/>
      <c r="R489" s="1819"/>
      <c r="S489" s="1822" t="s">
        <v>2686</v>
      </c>
      <c r="T489" s="1822"/>
      <c r="U489" s="1819"/>
      <c r="V489" s="1862"/>
      <c r="W489" s="1772"/>
      <c r="X489" s="1772"/>
    </row>
    <row r="490" spans="1:24" ht="13.8">
      <c r="A490" s="1819"/>
      <c r="B490" s="2086">
        <f>G473+G479+G484+G487</f>
        <v>6077000</v>
      </c>
      <c r="C490" s="2086"/>
      <c r="D490" s="1819"/>
      <c r="E490" s="1819"/>
      <c r="F490" s="2083">
        <f>B490/'Part VI-Revenues &amp; Expenses'!$P$168</f>
        <v>196.53945666235447</v>
      </c>
      <c r="G490" s="1822" t="s">
        <v>6900</v>
      </c>
      <c r="H490" s="1819"/>
      <c r="I490" s="1819"/>
      <c r="J490" s="1880">
        <f>B490/'Part VI-Revenues &amp; Expenses'!$P$170</f>
        <v>196.53945666235447</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3837</v>
      </c>
      <c r="E493" s="2087">
        <f>'Part IV-A-Uses of Funds'!E47</f>
        <v>571238</v>
      </c>
      <c r="F493" s="1869">
        <f>G493/B490</f>
        <v>9.3796281059733422E-2</v>
      </c>
      <c r="G493" s="1861">
        <f>'Part IV-A-Uses of Funds'!G47</f>
        <v>570000</v>
      </c>
      <c r="H493" s="1861"/>
      <c r="I493" s="1819"/>
      <c r="J493" s="1861">
        <f>'Part IV-A-Uses of Funds'!J47</f>
        <v>68400</v>
      </c>
      <c r="K493" s="1861"/>
      <c r="L493" s="1832"/>
      <c r="M493" s="1861">
        <f>'Part IV-A-Uses of Funds'!M47</f>
        <v>0</v>
      </c>
      <c r="N493" s="1861"/>
      <c r="O493" s="1819"/>
      <c r="P493" s="1861">
        <f>'Part IV-A-Uses of Funds'!P47</f>
        <v>501600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50000</v>
      </c>
      <c r="H500" s="1861"/>
      <c r="I500" s="1819"/>
      <c r="J500" s="1861">
        <f>'Part IV-A-Uses of Funds'!J54</f>
        <v>6000</v>
      </c>
      <c r="K500" s="1861"/>
      <c r="L500" s="1832"/>
      <c r="M500" s="1861">
        <f>'Part IV-A-Uses of Funds'!M54</f>
        <v>0</v>
      </c>
      <c r="N500" s="1861"/>
      <c r="O500" s="1819"/>
      <c r="P500" s="1861">
        <f>'Part IV-A-Uses of Funds'!P54</f>
        <v>44000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150000</v>
      </c>
      <c r="H501" s="1861"/>
      <c r="I501" s="1819"/>
      <c r="J501" s="1861">
        <f>'Part IV-A-Uses of Funds'!J55</f>
        <v>9000</v>
      </c>
      <c r="K501" s="1861"/>
      <c r="L501" s="1832"/>
      <c r="M501" s="1861">
        <f>'Part IV-A-Uses of Funds'!M55</f>
        <v>0</v>
      </c>
      <c r="N501" s="1861"/>
      <c r="O501" s="1819"/>
      <c r="P501" s="1861">
        <f>'Part IV-A-Uses of Funds'!P55</f>
        <v>66000</v>
      </c>
      <c r="Q501" s="1861"/>
      <c r="R501" s="1819"/>
      <c r="S501" s="1861">
        <f>'Part IV-A-Uses of Funds'!S55</f>
        <v>75000</v>
      </c>
      <c r="T501" s="1861"/>
      <c r="U501" s="1819"/>
      <c r="V501" s="1862"/>
      <c r="W501" s="1772"/>
      <c r="X501" s="1772"/>
    </row>
    <row r="502" spans="1:24" ht="13.8">
      <c r="A502" s="1819"/>
      <c r="B502" s="1819" t="s">
        <v>2288</v>
      </c>
      <c r="C502" s="1819"/>
      <c r="D502" s="1819"/>
      <c r="E502" s="1819"/>
      <c r="F502" s="1819"/>
      <c r="G502" s="1861">
        <f>'Part IV-A-Uses of Funds'!G56</f>
        <v>25000</v>
      </c>
      <c r="H502" s="1861"/>
      <c r="I502" s="1819"/>
      <c r="J502" s="1861">
        <f>'Part IV-A-Uses of Funds'!J56</f>
        <v>3000</v>
      </c>
      <c r="K502" s="1861"/>
      <c r="L502" s="1832"/>
      <c r="M502" s="1861">
        <f>'Part IV-A-Uses of Funds'!M56</f>
        <v>0</v>
      </c>
      <c r="N502" s="1861"/>
      <c r="O502" s="1819"/>
      <c r="P502" s="1861">
        <f>'Part IV-A-Uses of Funds'!P56</f>
        <v>22000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5000</v>
      </c>
      <c r="H503" s="1861"/>
      <c r="I503" s="1819"/>
      <c r="J503" s="1861">
        <f>'Part IV-A-Uses of Funds'!J57</f>
        <v>600</v>
      </c>
      <c r="K503" s="1861"/>
      <c r="L503" s="1832"/>
      <c r="M503" s="1861">
        <f>'Part IV-A-Uses of Funds'!M57</f>
        <v>0</v>
      </c>
      <c r="N503" s="1861"/>
      <c r="O503" s="1819"/>
      <c r="P503" s="1861">
        <f>'Part IV-A-Uses of Funds'!P57</f>
        <v>4400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0</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25000</v>
      </c>
      <c r="H505" s="1861"/>
      <c r="I505" s="1819"/>
      <c r="J505" s="1861">
        <f>'Part IV-A-Uses of Funds'!J59</f>
        <v>3000</v>
      </c>
      <c r="K505" s="1861"/>
      <c r="L505" s="1832"/>
      <c r="M505" s="1861">
        <f>'Part IV-A-Uses of Funds'!M59</f>
        <v>0</v>
      </c>
      <c r="N505" s="1861"/>
      <c r="O505" s="1819"/>
      <c r="P505" s="1861">
        <f>'Part IV-A-Uses of Funds'!P59</f>
        <v>22000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15000</v>
      </c>
      <c r="H506" s="1861"/>
      <c r="I506" s="1819"/>
      <c r="J506" s="1861">
        <f>'Part IV-A-Uses of Funds'!J60</f>
        <v>1800</v>
      </c>
      <c r="K506" s="1861"/>
      <c r="L506" s="1832"/>
      <c r="M506" s="1861">
        <f>'Part IV-A-Uses of Funds'!M60</f>
        <v>0</v>
      </c>
      <c r="N506" s="1861"/>
      <c r="O506" s="1819"/>
      <c r="P506" s="1861">
        <f>'Part IV-A-Uses of Funds'!P60</f>
        <v>13200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60000</v>
      </c>
      <c r="H507" s="1861"/>
      <c r="I507" s="1827"/>
      <c r="J507" s="1861">
        <f>'Part IV-A-Uses of Funds'!J61</f>
        <v>7200</v>
      </c>
      <c r="K507" s="1861"/>
      <c r="L507" s="1832"/>
      <c r="M507" s="1861">
        <f>'Part IV-A-Uses of Funds'!M61</f>
        <v>0</v>
      </c>
      <c r="N507" s="1861"/>
      <c r="O507" s="1819"/>
      <c r="P507" s="1861">
        <f>'Part IV-A-Uses of Funds'!P61</f>
        <v>52800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330000</v>
      </c>
      <c r="H510" s="1861"/>
      <c r="I510" s="1819"/>
      <c r="J510" s="1861">
        <f>SUM(J498:K509)</f>
        <v>30600</v>
      </c>
      <c r="K510" s="1861"/>
      <c r="L510" s="1832"/>
      <c r="M510" s="1861">
        <f>SUM(M498:N509)</f>
        <v>0</v>
      </c>
      <c r="N510" s="1861"/>
      <c r="O510" s="1819"/>
      <c r="P510" s="1861">
        <f>SUM(P498:Q509)</f>
        <v>224400</v>
      </c>
      <c r="Q510" s="1861"/>
      <c r="R510" s="1819"/>
      <c r="S510" s="1861">
        <f>SUM(S498:T509)</f>
        <v>75000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165000</v>
      </c>
      <c r="H512" s="1861"/>
      <c r="I512" s="1819"/>
      <c r="J512" s="1861">
        <f>'Part IV-A-Uses of Funds'!J66</f>
        <v>19800</v>
      </c>
      <c r="K512" s="1861"/>
      <c r="L512" s="1832"/>
      <c r="M512" s="1861">
        <f>'Part IV-A-Uses of Funds'!M66</f>
        <v>0</v>
      </c>
      <c r="N512" s="1861"/>
      <c r="O512" s="1819"/>
      <c r="P512" s="1861">
        <f>'Part IV-A-Uses of Funds'!P66</f>
        <v>145200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50000</v>
      </c>
      <c r="H513" s="1861"/>
      <c r="I513" s="1819"/>
      <c r="J513" s="1861">
        <f>'Part IV-A-Uses of Funds'!J67</f>
        <v>6000</v>
      </c>
      <c r="K513" s="1861"/>
      <c r="L513" s="1832"/>
      <c r="M513" s="1861">
        <f>'Part IV-A-Uses of Funds'!M67</f>
        <v>0</v>
      </c>
      <c r="N513" s="1861"/>
      <c r="O513" s="1819"/>
      <c r="P513" s="1861">
        <f>'Part IV-A-Uses of Funds'!P67</f>
        <v>44000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2400</v>
      </c>
      <c r="K514" s="1861"/>
      <c r="L514" s="1832"/>
      <c r="M514" s="1861">
        <f>'Part IV-A-Uses of Funds'!M68</f>
        <v>0</v>
      </c>
      <c r="N514" s="1861"/>
      <c r="O514" s="1819"/>
      <c r="P514" s="1861">
        <f>'Part IV-A-Uses of Funds'!P68</f>
        <v>17600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10000</v>
      </c>
      <c r="H515" s="1861"/>
      <c r="I515" s="1819"/>
      <c r="J515" s="1861">
        <f>'Part IV-A-Uses of Funds'!J69</f>
        <v>1200</v>
      </c>
      <c r="K515" s="1861"/>
      <c r="L515" s="1832"/>
      <c r="M515" s="1861">
        <f>'Part IV-A-Uses of Funds'!M69</f>
        <v>0</v>
      </c>
      <c r="N515" s="1861"/>
      <c r="O515" s="1819"/>
      <c r="P515" s="1861">
        <f>'Part IV-A-Uses of Funds'!P69</f>
        <v>8800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5000</v>
      </c>
      <c r="H516" s="1861"/>
      <c r="I516" s="1819"/>
      <c r="J516" s="1861">
        <f>'Part IV-A-Uses of Funds'!J70</f>
        <v>600</v>
      </c>
      <c r="K516" s="1861"/>
      <c r="L516" s="1832"/>
      <c r="M516" s="1861">
        <f>'Part IV-A-Uses of Funds'!M70</f>
        <v>0</v>
      </c>
      <c r="N516" s="1861"/>
      <c r="O516" s="1819"/>
      <c r="P516" s="1861">
        <f>'Part IV-A-Uses of Funds'!P70</f>
        <v>4400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25000</v>
      </c>
      <c r="H518" s="1861"/>
      <c r="I518" s="1819"/>
      <c r="J518" s="1861">
        <f>'Part IV-A-Uses of Funds'!J72</f>
        <v>3000</v>
      </c>
      <c r="K518" s="1861"/>
      <c r="L518" s="1832"/>
      <c r="M518" s="1861">
        <f>'Part IV-A-Uses of Funds'!M72</f>
        <v>0</v>
      </c>
      <c r="N518" s="1861"/>
      <c r="O518" s="1819"/>
      <c r="P518" s="1861">
        <f>'Part IV-A-Uses of Funds'!P72</f>
        <v>22000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70000</v>
      </c>
      <c r="H519" s="1861"/>
      <c r="I519" s="1819"/>
      <c r="J519" s="1861">
        <f>'Part IV-A-Uses of Funds'!J73</f>
        <v>8400</v>
      </c>
      <c r="K519" s="1861"/>
      <c r="L519" s="1832"/>
      <c r="M519" s="1861">
        <f>'Part IV-A-Uses of Funds'!M73</f>
        <v>0</v>
      </c>
      <c r="N519" s="1861"/>
      <c r="O519" s="1819"/>
      <c r="P519" s="1861">
        <f>'Part IV-A-Uses of Funds'!P73</f>
        <v>61600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35000</v>
      </c>
      <c r="H520" s="1861"/>
      <c r="I520" s="1819"/>
      <c r="J520" s="1861">
        <f>'Part IV-A-Uses of Funds'!J74</f>
        <v>4200</v>
      </c>
      <c r="K520" s="1861"/>
      <c r="L520" s="1832"/>
      <c r="M520" s="1861">
        <f>'Part IV-A-Uses of Funds'!M74</f>
        <v>0</v>
      </c>
      <c r="N520" s="1861"/>
      <c r="O520" s="1819"/>
      <c r="P520" s="1861">
        <f>'Part IV-A-Uses of Funds'!P74</f>
        <v>30800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2500</v>
      </c>
      <c r="H521" s="1861"/>
      <c r="I521" s="1819"/>
      <c r="J521" s="1861">
        <f>'Part IV-A-Uses of Funds'!J75</f>
        <v>300</v>
      </c>
      <c r="K521" s="1861"/>
      <c r="L521" s="1832"/>
      <c r="M521" s="1861">
        <f>'Part IV-A-Uses of Funds'!M75</f>
        <v>0</v>
      </c>
      <c r="N521" s="1861"/>
      <c r="O521" s="1819"/>
      <c r="P521" s="1861">
        <f>'Part IV-A-Uses of Funds'!P75</f>
        <v>2200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382500</v>
      </c>
      <c r="H523" s="1861"/>
      <c r="I523" s="1819"/>
      <c r="J523" s="1861">
        <f>SUM(J512:K522)</f>
        <v>45900</v>
      </c>
      <c r="K523" s="1861"/>
      <c r="L523" s="1832"/>
      <c r="M523" s="1861">
        <f>SUM(M512:N522)</f>
        <v>0</v>
      </c>
      <c r="N523" s="1861"/>
      <c r="O523" s="1819"/>
      <c r="P523" s="1861">
        <f>SUM(P512:Q522)</f>
        <v>336600</v>
      </c>
      <c r="Q523" s="1861"/>
      <c r="R523" s="1819"/>
      <c r="S523" s="1861">
        <f>SUM(S512:T522)</f>
        <v>0</v>
      </c>
      <c r="T523" s="1861"/>
      <c r="U523" s="1819"/>
      <c r="V523" s="1862">
        <f>SUM(V512:V522)</f>
        <v>0</v>
      </c>
      <c r="W523" s="1772"/>
      <c r="X523" s="1772"/>
    </row>
    <row r="524" spans="1:24" ht="13.8">
      <c r="A524" s="1819"/>
      <c r="B524" s="1819" t="s">
        <v>1243</v>
      </c>
      <c r="C524" s="1819"/>
      <c r="D524" s="1816" t="s">
        <v>3551</v>
      </c>
      <c r="E524" s="2088">
        <f>G529/'Part VI-Revenues &amp; Expenses'!$P$67</f>
        <v>0</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0</v>
      </c>
      <c r="H525" s="1861"/>
      <c r="I525" s="1819"/>
      <c r="J525" s="1861">
        <f>'Part IV-A-Uses of Funds'!J79</f>
        <v>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Yes</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Yes</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0</v>
      </c>
      <c r="H529" s="1861"/>
      <c r="I529" s="1819"/>
      <c r="J529" s="1861">
        <f>SUM(J525:K528)</f>
        <v>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10000</v>
      </c>
      <c r="H533" s="1861"/>
      <c r="I533" s="1819"/>
      <c r="J533" s="1861"/>
      <c r="K533" s="1861"/>
      <c r="L533" s="1832"/>
      <c r="M533" s="1861"/>
      <c r="N533" s="1861"/>
      <c r="O533" s="1819"/>
      <c r="P533" s="1861"/>
      <c r="Q533" s="1861"/>
      <c r="R533" s="1819"/>
      <c r="S533" s="1861">
        <f>'Part IV-A-Uses of Funds'!S87</f>
        <v>10000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10000</v>
      </c>
      <c r="H537" s="1861"/>
      <c r="I537" s="1819"/>
      <c r="J537" s="1861"/>
      <c r="K537" s="1861"/>
      <c r="L537" s="1832"/>
      <c r="M537" s="1861"/>
      <c r="N537" s="1861"/>
      <c r="O537" s="1819"/>
      <c r="P537" s="1861"/>
      <c r="Q537" s="1861"/>
      <c r="R537" s="1819"/>
      <c r="S537" s="1861">
        <f>SUM(S531:T536)</f>
        <v>10000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1000</v>
      </c>
      <c r="H542" s="1861"/>
      <c r="I542" s="1819"/>
      <c r="J542" s="1832"/>
      <c r="K542" s="1832"/>
      <c r="L542" s="1832"/>
      <c r="M542" s="1832"/>
      <c r="N542" s="1832"/>
      <c r="O542" s="1819"/>
      <c r="P542" s="1832"/>
      <c r="Q542" s="1832"/>
      <c r="R542" s="1819"/>
      <c r="S542" s="1861">
        <f>'Part IV-A-Uses of Funds'!S96</f>
        <v>1000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3701</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50000</v>
      </c>
      <c r="F545" s="1861"/>
      <c r="G545" s="1861">
        <f>'Part IV-A-Uses of Funds'!G99</f>
        <v>50000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50000</v>
      </c>
      <c r="T545" s="1861"/>
      <c r="U545" s="1819"/>
      <c r="V545" s="1862"/>
      <c r="W545" s="1772"/>
      <c r="X545" s="1772"/>
    </row>
    <row r="546" spans="1:33" ht="13.8">
      <c r="A546" s="1819"/>
      <c r="B546" s="1819" t="s">
        <v>735</v>
      </c>
      <c r="C546" s="1819"/>
      <c r="D546" s="1819"/>
      <c r="E546" s="1861">
        <f>'Part IV-A-Uses of Funds'!E100</f>
        <v>50000</v>
      </c>
      <c r="F546" s="1861"/>
      <c r="G546" s="1861">
        <f>'Part IV-A-Uses of Funds'!G100</f>
        <v>50000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50000</v>
      </c>
      <c r="T546" s="1861"/>
      <c r="U546" s="1819"/>
      <c r="V546" s="1862"/>
      <c r="W546" s="1772"/>
      <c r="X546" s="1772"/>
    </row>
    <row r="547" spans="1:33" ht="13.8">
      <c r="A547" s="1819"/>
      <c r="B547" s="1819" t="s">
        <v>3879</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3880</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110500</v>
      </c>
      <c r="H551" s="1861"/>
      <c r="I551" s="1819"/>
      <c r="J551" s="1832"/>
      <c r="K551" s="1832"/>
      <c r="L551" s="1832"/>
      <c r="M551" s="1832"/>
      <c r="N551" s="1832"/>
      <c r="O551" s="1819"/>
      <c r="P551" s="1832"/>
      <c r="Q551" s="1832"/>
      <c r="R551" s="1819"/>
      <c r="S551" s="1861">
        <f>SUM(S542:T550)</f>
        <v>110500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250000</v>
      </c>
      <c r="H559" s="1861"/>
      <c r="I559" s="1819"/>
      <c r="J559" s="1861">
        <f>'Part IV-A-Uses of Funds'!J113</f>
        <v>30000</v>
      </c>
      <c r="K559" s="1861"/>
      <c r="L559" s="1832"/>
      <c r="M559" s="1861">
        <f>'Part IV-A-Uses of Funds'!M113</f>
        <v>0</v>
      </c>
      <c r="N559" s="1861"/>
      <c r="O559" s="1819"/>
      <c r="P559" s="1861">
        <f>'Part IV-A-Uses of Funds'!P113</f>
        <v>220000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1000000</v>
      </c>
      <c r="H563" s="1861"/>
      <c r="I563" s="1819"/>
      <c r="J563" s="1861">
        <f>'Part IV-A-Uses of Funds'!J117</f>
        <v>120000</v>
      </c>
      <c r="K563" s="1861"/>
      <c r="L563" s="1832"/>
      <c r="M563" s="1861">
        <f>'Part IV-A-Uses of Funds'!M117</f>
        <v>0</v>
      </c>
      <c r="N563" s="1861"/>
      <c r="O563" s="1819"/>
      <c r="P563" s="1861">
        <f>'Part IV-A-Uses of Funds'!P117</f>
        <v>880000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1250000</v>
      </c>
      <c r="F564" s="1826" t="s">
        <v>187</v>
      </c>
      <c r="G564" s="1877">
        <f>SUM(G559:H563)</f>
        <v>1250000</v>
      </c>
      <c r="H564" s="1877"/>
      <c r="I564" s="1819"/>
      <c r="J564" s="1861">
        <f>SUM(J559:K563)</f>
        <v>150000</v>
      </c>
      <c r="K564" s="1861"/>
      <c r="L564" s="1832"/>
      <c r="M564" s="1861">
        <f>SUM(M559:N563)</f>
        <v>0</v>
      </c>
      <c r="N564" s="1861"/>
      <c r="O564" s="1819"/>
      <c r="P564" s="1861">
        <f>SUM(P559:Q563)</f>
        <v>1100000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12500</v>
      </c>
      <c r="H566" s="1861"/>
      <c r="I566" s="1819"/>
      <c r="J566" s="2089"/>
      <c r="K566" s="2089"/>
      <c r="L566" s="2089"/>
      <c r="M566" s="2089"/>
      <c r="N566" s="2089"/>
      <c r="O566" s="1819"/>
      <c r="P566" s="2089"/>
      <c r="Q566" s="2089"/>
      <c r="R566" s="1819"/>
      <c r="S566" s="1861">
        <f>'Part IV-A-Uses of Funds'!S120</f>
        <v>12500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58125.75</v>
      </c>
      <c r="G567" s="1861">
        <f>'Part IV-A-Uses of Funds'!G121</f>
        <v>61000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61000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116251.5</v>
      </c>
      <c r="G568" s="1861">
        <f>'Part IV-A-Uses of Funds'!G122</f>
        <v>130000</v>
      </c>
      <c r="H568" s="1861"/>
      <c r="I568" s="1819"/>
      <c r="J568" s="1895" t="str">
        <f>IF(E568&gt;G568,"WARNING! ODR proposed is below minimum - add comment.","")</f>
        <v/>
      </c>
      <c r="K568" s="2089"/>
      <c r="L568" s="2089"/>
      <c r="M568" s="2089"/>
      <c r="N568" s="2089"/>
      <c r="O568" s="1819"/>
      <c r="P568" s="2089"/>
      <c r="Q568" s="2089"/>
      <c r="R568" s="1819"/>
      <c r="S568" s="1861">
        <f>'Part IV-A-Uses of Funds'!S122</f>
        <v>130000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1500</v>
      </c>
      <c r="G570" s="1861">
        <f>'Part IV-A-Uses of Funds'!G124</f>
        <v>75000</v>
      </c>
      <c r="H570" s="1861"/>
      <c r="I570" s="1819"/>
      <c r="J570" s="1861">
        <f>'Part IV-A-Uses of Funds'!J124</f>
        <v>9000</v>
      </c>
      <c r="K570" s="1861"/>
      <c r="L570" s="1832"/>
      <c r="M570" s="1861">
        <f>'Part IV-A-Uses of Funds'!M124</f>
        <v>0</v>
      </c>
      <c r="N570" s="1861"/>
      <c r="O570" s="1819"/>
      <c r="P570" s="1861">
        <f>'Part IV-A-Uses of Funds'!P124</f>
        <v>66000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278500</v>
      </c>
      <c r="H572" s="1861"/>
      <c r="I572" s="1819"/>
      <c r="J572" s="1861">
        <f>SUM(J570:K571)</f>
        <v>9000</v>
      </c>
      <c r="K572" s="1861"/>
      <c r="L572" s="1832"/>
      <c r="M572" s="1861">
        <f>SUM(M570:N571)</f>
        <v>0</v>
      </c>
      <c r="N572" s="1861"/>
      <c r="O572" s="1819"/>
      <c r="P572" s="1861">
        <f>SUM(P570:Q571)</f>
        <v>66000</v>
      </c>
      <c r="Q572" s="1861"/>
      <c r="R572" s="1819"/>
      <c r="S572" s="1861">
        <f>SUM(S566:T571)</f>
        <v>203500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9105000</v>
      </c>
      <c r="H578" s="1861"/>
      <c r="I578" s="1819"/>
      <c r="J578" s="1861">
        <f>J463+J469+J473+J479+J484+J487+J493+J510+J523+J529+J537+J551+J557+J564+J572+J576</f>
        <v>1303953</v>
      </c>
      <c r="K578" s="1861"/>
      <c r="L578" s="1819"/>
      <c r="M578" s="1861">
        <f>M463+M469+M473+M479+M484+M487+M493+M510+M523+M529+M537+M551+M557+M564+M572+M576</f>
        <v>0</v>
      </c>
      <c r="N578" s="1861"/>
      <c r="O578" s="1819"/>
      <c r="P578" s="1861">
        <f>P463+P469+P473+P479+P484+P487+P493+P510+P523+P529+P537+P551+P557+P564+P572+P576</f>
        <v>7399547</v>
      </c>
      <c r="Q578" s="1861"/>
      <c r="R578" s="1819"/>
      <c r="S578" s="1861">
        <f>S463+S469+S473+S479+S484+S487+S493+S510+S523+S529+S537+S551+S557+S564+S572+S576</f>
        <v>401500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182100</v>
      </c>
      <c r="E580" s="1880"/>
      <c r="F580" s="1821" t="s">
        <v>2673</v>
      </c>
      <c r="G580" s="1880">
        <f>IF('Part I-Project Information'!$P$75=0,0,G578/'Part I-Project Information'!$P$75)</f>
        <v>224.01279370156232</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1440750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1440750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1303953</v>
      </c>
      <c r="K595" s="1882"/>
      <c r="L595" s="1819"/>
      <c r="M595" s="1882">
        <f>M578</f>
        <v>0</v>
      </c>
      <c r="N595" s="1882"/>
      <c r="O595" s="1819"/>
      <c r="P595" s="1882">
        <f>P578</f>
        <v>7399547</v>
      </c>
      <c r="Q595" s="1882"/>
      <c r="R595" s="1822" t="s">
        <v>4229</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1440750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1303953</v>
      </c>
      <c r="K597" s="1882"/>
      <c r="L597" s="1819"/>
      <c r="M597" s="1882">
        <f>M595</f>
        <v>0</v>
      </c>
      <c r="N597" s="1882"/>
      <c r="O597" s="1819"/>
      <c r="P597" s="1882">
        <f>P595-P596</f>
        <v>5958797</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1</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1303953</v>
      </c>
      <c r="K599" s="1882"/>
      <c r="L599" s="1819"/>
      <c r="M599" s="1882">
        <f>+M597</f>
        <v>0</v>
      </c>
      <c r="N599" s="1882"/>
      <c r="O599" s="1819"/>
      <c r="P599" s="1882">
        <f>P597*P598</f>
        <v>5958797</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1303953</v>
      </c>
      <c r="K601" s="1882"/>
      <c r="L601" s="1819"/>
      <c r="M601" s="1882">
        <f>M599*M600</f>
        <v>0</v>
      </c>
      <c r="N601" s="1882"/>
      <c r="O601" s="1819"/>
      <c r="P601" s="1882">
        <f>P599*P600</f>
        <v>5958797</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0.09</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117355.76999999999</v>
      </c>
      <c r="K603" s="1882"/>
      <c r="L603" s="1819"/>
      <c r="M603" s="1882">
        <f>M601*M602</f>
        <v>0</v>
      </c>
      <c r="N603" s="1882"/>
      <c r="O603" s="1819"/>
      <c r="P603" s="1882">
        <f>P601*P602</f>
        <v>536291.73</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653647</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9105000</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301500</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8803500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8964285.0799999982</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9105000</v>
      </c>
      <c r="K615" s="1882"/>
      <c r="L615" s="1882"/>
      <c r="M615" s="1822" t="s">
        <v>4552</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1215563</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7889437</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t="str">
        <f>'Part IV-A-Uses of Funds'!T172</f>
        <v>Yes</v>
      </c>
      <c r="U618" s="1819"/>
      <c r="V618" s="1862"/>
      <c r="W618" s="1772"/>
      <c r="X618" s="1772"/>
    </row>
    <row r="619" spans="1:24" ht="13.8">
      <c r="A619" s="1819"/>
      <c r="B619" s="1819" t="s">
        <v>1261</v>
      </c>
      <c r="C619" s="1819"/>
      <c r="D619" s="1819"/>
      <c r="E619" s="1819"/>
      <c r="F619" s="1819"/>
      <c r="G619" s="1819"/>
      <c r="H619" s="1819"/>
      <c r="I619" s="1819"/>
      <c r="J619" s="1882">
        <f>J617/10</f>
        <v>788943.7</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1.25</v>
      </c>
      <c r="K621" s="1888"/>
      <c r="L621" s="1888"/>
      <c r="M621" s="1821" t="s">
        <v>1263</v>
      </c>
      <c r="N621" s="2206">
        <f>'Part IV-A-Uses of Funds'!N175</f>
        <v>0.8</v>
      </c>
      <c r="O621" s="2206"/>
      <c r="P621" s="1821" t="s">
        <v>595</v>
      </c>
      <c r="Q621" s="2206">
        <f>'Part IV-A-Uses of Funds'!Q175</f>
        <v>0.45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631154</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631154</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625000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625000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Construction Costs were input into a cash flow model for the project and the interest carry was sized based on a construction period of 10 months and a lease up peiord of 6 months to calculate the total interest needed prior to full occupancy and final equity payment to pay off the construction loan.</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2020-042 - Freedom's Path at Dublin  -  Dublin  -  Laurens,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Physical Needs Assessment and Fannie Mae Worksheet Projection</v>
      </c>
      <c r="B646" s="2098"/>
      <c r="C646" s="2098"/>
      <c r="D646" s="2098"/>
      <c r="E646" s="2209"/>
      <c r="F646" s="2210" t="str">
        <f>'Part IV-B-Other Items'!F9</f>
        <v>The QAP requires a Physical Needs Assessment even in the case of Adaptive Re-use.  It also requires the preparation of an Expected Useful Life Reserve Analysis.  The cost for these was included here</v>
      </c>
      <c r="G646" s="1891"/>
      <c r="H646" s="2210" t="str">
        <f>'Part IV-B-Other Items'!H9</f>
        <v>The cost is directly related to the renovation of the building and is included as a construction cost in the project.</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10000</v>
      </c>
      <c r="C649" s="2099" t="s">
        <v>1746</v>
      </c>
      <c r="D649" s="1892">
        <f>'Part IV-A-Uses of Funds'!$J$14+'Part IV-A-Uses of Funds'!$M$14+'Part IV-A-Uses of Funds'!$P$14</f>
        <v>10000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Historic Consultant Part 1 and Part 2 Certifications</v>
      </c>
      <c r="B651" s="2098"/>
      <c r="C651" s="2098"/>
      <c r="D651" s="2098"/>
      <c r="E651" s="2209"/>
      <c r="F651" s="2210" t="str">
        <f>'Part IV-B-Other Items'!F14</f>
        <v>The Buildings are Historic.  To qualify for historic tax credits, this analysis and certification must be done.  These are the direct costs for achieving this certification of the two historic buildings.</v>
      </c>
      <c r="G651" s="1891"/>
      <c r="H651" s="2210" t="str">
        <f>'Part IV-B-Other Items'!H14</f>
        <v>The cost is directly related to the historic certification and renovation of the building and is included as a construction cost in the project.</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37000</v>
      </c>
      <c r="C654" s="2099" t="s">
        <v>1746</v>
      </c>
      <c r="D654" s="1892">
        <f>'Part IV-A-Uses of Funds'!$J$15+'Part IV-A-Uses of Funds'!$M$15+'Part IV-A-Uses of Funds'!$P$15</f>
        <v>37000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2020-042 Freedom's Path at Dublin,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4116</v>
      </c>
      <c r="I723" s="1922" t="str">
        <f>VLOOKUP('Part I-Project Information'!$J$39,'DCA Underwriting Assumptions'!$G$173:$H$332,2)</f>
        <v>North</v>
      </c>
    </row>
    <row r="725" spans="1:13">
      <c r="A725" s="1918" t="s">
        <v>3610</v>
      </c>
    </row>
    <row r="727" spans="1:13">
      <c r="A727" s="1995" t="s">
        <v>598</v>
      </c>
      <c r="B727" s="1995" t="s">
        <v>2170</v>
      </c>
      <c r="F727" s="1815" t="s">
        <v>2452</v>
      </c>
      <c r="G727" s="1815"/>
      <c r="H727" s="1815"/>
      <c r="I727" s="1815" t="str">
        <f>'Part V-Utility Allowances'!I7</f>
        <v>Georgia Department of Community Affairs</v>
      </c>
      <c r="J727" s="1815"/>
      <c r="K727" s="1815"/>
      <c r="L727" s="1815"/>
      <c r="M727" s="1815"/>
    </row>
    <row r="728" spans="1:13">
      <c r="F728" s="1815" t="s">
        <v>618</v>
      </c>
      <c r="G728" s="1815"/>
      <c r="H728" s="1815"/>
      <c r="I728" s="2211">
        <f>'Part V-Utility Allowances'!I8</f>
        <v>0</v>
      </c>
      <c r="J728" s="2211"/>
      <c r="K728" s="1896" t="s">
        <v>525</v>
      </c>
      <c r="L728" s="1815" t="str">
        <f>'Part V-Utility Allowances'!L8</f>
        <v>2-Story</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Natural Gas</v>
      </c>
      <c r="E732" s="1815"/>
      <c r="F732" s="2109">
        <f>'Part V-Utility Allowances'!F12</f>
        <v>0</v>
      </c>
      <c r="G732" s="2109" t="str">
        <f>'Part V-Utility Allowances'!G12</f>
        <v>X</v>
      </c>
      <c r="I732" s="1896">
        <f>'Part V-Utility Allowances'!I12</f>
        <v>0</v>
      </c>
      <c r="J732" s="1896">
        <f>'Part V-Utility Allowances'!J12</f>
        <v>0</v>
      </c>
      <c r="K732" s="1896">
        <f>'Part V-Utility Allowances'!K12</f>
        <v>0</v>
      </c>
      <c r="L732" s="1896">
        <f>'Part V-Utility Allowances'!L12</f>
        <v>0</v>
      </c>
      <c r="M732" s="1896">
        <f>'Part V-Utility Allowances'!M12</f>
        <v>0</v>
      </c>
    </row>
    <row r="733" spans="1:13">
      <c r="B733" s="1815" t="s">
        <v>1564</v>
      </c>
      <c r="C733" s="1815"/>
      <c r="D733" s="1815" t="str">
        <f>'Part V-Utility Allowances'!D13</f>
        <v>Electric</v>
      </c>
      <c r="E733" s="1815"/>
      <c r="F733" s="2109">
        <f>'Part V-Utility Allowances'!F13</f>
        <v>0</v>
      </c>
      <c r="G733" s="2109" t="str">
        <f>'Part V-Utility Allowances'!G13</f>
        <v>X</v>
      </c>
      <c r="I733" s="1896">
        <f>'Part V-Utility Allowances'!I13</f>
        <v>0</v>
      </c>
      <c r="J733" s="1896">
        <f>'Part V-Utility Allowances'!J13</f>
        <v>0</v>
      </c>
      <c r="K733" s="1896">
        <f>'Part V-Utility Allowances'!K13</f>
        <v>0</v>
      </c>
      <c r="L733" s="1896">
        <f>'Part V-Utility Allowances'!L13</f>
        <v>0</v>
      </c>
      <c r="M733" s="1896">
        <f>'Part V-Utility Allowances'!M13</f>
        <v>0</v>
      </c>
    </row>
    <row r="734" spans="1:13">
      <c r="B734" s="1815" t="s">
        <v>1565</v>
      </c>
      <c r="C734" s="1815"/>
      <c r="D734" s="1815" t="str">
        <f>'Part V-Utility Allowances'!D14</f>
        <v>Natural Gas</v>
      </c>
      <c r="E734" s="1815"/>
      <c r="F734" s="2109">
        <f>'Part V-Utility Allowances'!F14</f>
        <v>0</v>
      </c>
      <c r="G734" s="2109" t="str">
        <f>'Part V-Utility Allowances'!G14</f>
        <v>X</v>
      </c>
      <c r="I734" s="1896">
        <f>'Part V-Utility Allowances'!I14</f>
        <v>0</v>
      </c>
      <c r="J734" s="1896">
        <f>'Part V-Utility Allowances'!J14</f>
        <v>0</v>
      </c>
      <c r="K734" s="1896">
        <f>'Part V-Utility Allowances'!K14</f>
        <v>0</v>
      </c>
      <c r="L734" s="1896">
        <f>'Part V-Utility Allowances'!L14</f>
        <v>0</v>
      </c>
      <c r="M734" s="1896">
        <f>'Part V-Utility Allowances'!M14</f>
        <v>0</v>
      </c>
    </row>
    <row r="735" spans="1:13">
      <c r="B735" s="1815" t="s">
        <v>458</v>
      </c>
      <c r="C735" s="1815"/>
      <c r="D735" s="1815" t="s">
        <v>1563</v>
      </c>
      <c r="F735" s="2109">
        <f>'Part V-Utility Allowances'!F15</f>
        <v>0</v>
      </c>
      <c r="G735" s="2109" t="str">
        <f>'Part V-Utility Allowances'!G15</f>
        <v>X</v>
      </c>
      <c r="I735" s="1896">
        <f>'Part V-Utility Allowances'!I15</f>
        <v>0</v>
      </c>
      <c r="J735" s="1896">
        <f>'Part V-Utility Allowances'!J15</f>
        <v>0</v>
      </c>
      <c r="K735" s="1896">
        <f>'Part V-Utility Allowances'!K15</f>
        <v>0</v>
      </c>
      <c r="L735" s="1896">
        <f>'Part V-Utility Allowances'!L15</f>
        <v>0</v>
      </c>
      <c r="M735" s="1896">
        <f>'Part V-Utility Allowances'!M15</f>
        <v>0</v>
      </c>
    </row>
    <row r="736" spans="1:13">
      <c r="B736" s="1815" t="s">
        <v>3607</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f>'Part V-Utility Allowances'!F18</f>
        <v>0</v>
      </c>
      <c r="G738" s="2109" t="str">
        <f>'Part V-Utility Allowances'!G18</f>
        <v>X</v>
      </c>
      <c r="I738" s="1896">
        <f>'Part V-Utility Allowances'!I18</f>
        <v>0</v>
      </c>
      <c r="J738" s="1896">
        <f>'Part V-Utility Allowances'!J18</f>
        <v>0</v>
      </c>
      <c r="K738" s="1896">
        <f>'Part V-Utility Allowances'!K18</f>
        <v>0</v>
      </c>
      <c r="L738" s="1896">
        <f>'Part V-Utility Allowances'!L18</f>
        <v>0</v>
      </c>
      <c r="M738" s="1896">
        <f>'Part V-Utility Allowances'!M18</f>
        <v>0</v>
      </c>
    </row>
    <row r="739" spans="1:13">
      <c r="B739" s="1815" t="s">
        <v>1343</v>
      </c>
      <c r="C739" s="1815"/>
      <c r="D739" s="1815" t="s">
        <v>6808</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0</v>
      </c>
      <c r="K742" s="1896">
        <f>IF(SUM(K732:K741)=0,0,IF(OR($D732="&lt;&lt;Select Fuel &gt;&gt;",$D733="&lt;&lt;Select Fuel &gt;&gt;",$D734="&lt;&lt;Select Fuel &gt;&gt;"),"Select Fuel",IF($E739="&lt;Select&gt;","Submeter?",SUM(K732:K741))))</f>
        <v>0</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t="str">
        <f>'Part V-Utility Allowances'!B43</f>
        <v>Owner is paying all utilities so no input was done in the tenant utility section.</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2020-042 Freedom's Path at Dublin, ,  County</v>
      </c>
      <c r="T770" s="1815" t="str">
        <f>A770</f>
        <v>PART SIX - PROJECTED REVENUES &amp; EXPENSES  -  2020-042 Freedom's Path at Dublin,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399"/>
      <c r="IA771" s="2399"/>
      <c r="IB771" s="2399"/>
      <c r="IC771" s="2399"/>
      <c r="ID771" s="2399"/>
      <c r="IE771" s="2399"/>
      <c r="IF771" s="2399"/>
      <c r="IG771" s="2399"/>
      <c r="IH771" s="2399"/>
      <c r="II771" s="2399"/>
      <c r="IJ771" s="2399"/>
      <c r="IK771" s="2399"/>
      <c r="IL771" s="2399"/>
      <c r="IM771" s="2399"/>
      <c r="IN771" s="2399"/>
      <c r="IO771" s="2399"/>
      <c r="IP771" s="2399"/>
      <c r="IQ771" s="2399"/>
      <c r="IR771" s="2399"/>
      <c r="IS771" s="2399"/>
      <c r="IT771" s="2399"/>
      <c r="IU771" s="2399"/>
      <c r="IV771" s="2399"/>
      <c r="IW771" s="2399"/>
      <c r="IX771" s="2399"/>
      <c r="IY771" s="2399"/>
      <c r="IZ771" s="2399"/>
      <c r="JA771" s="2399"/>
      <c r="JB771" s="2399"/>
      <c r="JC771" s="2399"/>
      <c r="JD771" s="2399"/>
      <c r="JE771" s="2399"/>
      <c r="JF771" s="2399"/>
      <c r="JG771" s="2399"/>
      <c r="JH771" s="2399"/>
      <c r="JI771" s="2399"/>
      <c r="JJ771" s="2399"/>
      <c r="JK771" s="2399"/>
      <c r="JL771" s="2399"/>
      <c r="JM771" s="2399"/>
      <c r="JN771" s="2399"/>
      <c r="JO771" s="2399"/>
      <c r="JP771" s="2399"/>
      <c r="JQ771" s="2399"/>
      <c r="JR771" s="2399"/>
      <c r="JS771" s="2399"/>
      <c r="JT771" s="2399"/>
      <c r="JU771" s="2399"/>
      <c r="JV771" s="2399"/>
      <c r="JW771" s="2399"/>
      <c r="JX771" s="2399"/>
      <c r="JY771" s="2399"/>
      <c r="JZ771" s="2399"/>
      <c r="KA771" s="2399"/>
      <c r="KB771" s="2399"/>
      <c r="KC771" s="2399"/>
      <c r="KD771" s="2399"/>
      <c r="KE771" s="2399"/>
      <c r="KF771" s="2399"/>
      <c r="KG771" s="2399"/>
      <c r="KH771" s="2399"/>
      <c r="KI771" s="2399"/>
      <c r="KJ771" s="2399"/>
      <c r="KK771" s="2399"/>
      <c r="KL771" s="2399"/>
      <c r="KM771" s="2399"/>
      <c r="KN771" s="2399"/>
      <c r="KO771" s="2399"/>
      <c r="KP771" s="2399"/>
      <c r="KQ771" s="2399"/>
      <c r="KR771" s="2399"/>
      <c r="KS771" s="2399"/>
      <c r="KT771" s="2399"/>
      <c r="KU771" s="2399"/>
      <c r="KV771" s="2399"/>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399" t="s">
        <v>476</v>
      </c>
      <c r="IF772" s="2399" t="s">
        <v>2376</v>
      </c>
      <c r="IG772" s="2399" t="s">
        <v>2377</v>
      </c>
      <c r="IH772" s="2399" t="s">
        <v>2378</v>
      </c>
      <c r="II772" s="2399" t="s">
        <v>2379</v>
      </c>
      <c r="IJ772" s="2399" t="s">
        <v>476</v>
      </c>
      <c r="IK772" s="2399" t="s">
        <v>2376</v>
      </c>
      <c r="IL772" s="2399" t="s">
        <v>2377</v>
      </c>
      <c r="IM772" s="2399" t="s">
        <v>2378</v>
      </c>
      <c r="IN772" s="2399" t="s">
        <v>2379</v>
      </c>
      <c r="IO772" s="1732"/>
      <c r="IP772" s="1732"/>
      <c r="IQ772" s="1732"/>
      <c r="IR772" s="1732"/>
      <c r="IS772" s="1732"/>
      <c r="IT772" s="1732"/>
      <c r="IU772" s="1732"/>
      <c r="IV772" s="1732"/>
      <c r="IW772" s="1732"/>
      <c r="IX772" s="1732"/>
      <c r="IY772" s="2399" t="s">
        <v>476</v>
      </c>
      <c r="IZ772" s="2399" t="s">
        <v>2376</v>
      </c>
      <c r="JA772" s="2399" t="s">
        <v>2377</v>
      </c>
      <c r="JB772" s="2399" t="s">
        <v>2378</v>
      </c>
      <c r="JC772" s="2399" t="s">
        <v>2379</v>
      </c>
      <c r="JD772" s="2399" t="s">
        <v>476</v>
      </c>
      <c r="JE772" s="2399" t="s">
        <v>2376</v>
      </c>
      <c r="JF772" s="2399" t="s">
        <v>2377</v>
      </c>
      <c r="JG772" s="2399" t="s">
        <v>2378</v>
      </c>
      <c r="JH772" s="2399" t="s">
        <v>2379</v>
      </c>
      <c r="JI772" s="2399" t="s">
        <v>476</v>
      </c>
      <c r="JJ772" s="2399" t="s">
        <v>2376</v>
      </c>
      <c r="JK772" s="2399" t="s">
        <v>2377</v>
      </c>
      <c r="JL772" s="2399" t="s">
        <v>2378</v>
      </c>
      <c r="JM772" s="2399" t="s">
        <v>2379</v>
      </c>
      <c r="JN772" s="2399" t="s">
        <v>476</v>
      </c>
      <c r="JO772" s="2399" t="s">
        <v>2376</v>
      </c>
      <c r="JP772" s="2399" t="s">
        <v>2377</v>
      </c>
      <c r="JQ772" s="2399" t="s">
        <v>2378</v>
      </c>
      <c r="JR772" s="2399" t="s">
        <v>2379</v>
      </c>
      <c r="JS772" s="2399" t="s">
        <v>476</v>
      </c>
      <c r="JT772" s="2399" t="s">
        <v>2376</v>
      </c>
      <c r="JU772" s="2399" t="s">
        <v>2377</v>
      </c>
      <c r="JV772" s="2399" t="s">
        <v>2378</v>
      </c>
      <c r="JW772" s="2399" t="s">
        <v>2379</v>
      </c>
      <c r="JX772" s="2399" t="s">
        <v>476</v>
      </c>
      <c r="JY772" s="2399" t="s">
        <v>2376</v>
      </c>
      <c r="JZ772" s="2399" t="s">
        <v>2377</v>
      </c>
      <c r="KA772" s="2399" t="s">
        <v>2378</v>
      </c>
      <c r="KB772" s="2399" t="s">
        <v>2379</v>
      </c>
      <c r="KC772" s="2399" t="s">
        <v>476</v>
      </c>
      <c r="KD772" s="2399" t="s">
        <v>2376</v>
      </c>
      <c r="KE772" s="2399" t="s">
        <v>2377</v>
      </c>
      <c r="KF772" s="2399" t="s">
        <v>2378</v>
      </c>
      <c r="KG772" s="2399" t="s">
        <v>2379</v>
      </c>
      <c r="KH772" s="2399" t="s">
        <v>476</v>
      </c>
      <c r="KI772" s="2399" t="s">
        <v>2376</v>
      </c>
      <c r="KJ772" s="2399" t="s">
        <v>2377</v>
      </c>
      <c r="KK772" s="2399" t="s">
        <v>2378</v>
      </c>
      <c r="KL772" s="2399" t="s">
        <v>2379</v>
      </c>
      <c r="KM772" s="2399" t="s">
        <v>476</v>
      </c>
      <c r="KN772" s="2399" t="s">
        <v>2376</v>
      </c>
      <c r="KO772" s="2399" t="s">
        <v>2377</v>
      </c>
      <c r="KP772" s="2399" t="s">
        <v>2378</v>
      </c>
      <c r="KQ772" s="2399" t="s">
        <v>2379</v>
      </c>
      <c r="KR772" s="2399" t="s">
        <v>476</v>
      </c>
      <c r="KS772" s="2399" t="s">
        <v>2376</v>
      </c>
      <c r="KT772" s="2399" t="s">
        <v>2377</v>
      </c>
      <c r="KU772" s="2399" t="s">
        <v>2378</v>
      </c>
      <c r="KV772" s="2399" t="s">
        <v>2379</v>
      </c>
      <c r="KW772" s="2399" t="s">
        <v>476</v>
      </c>
      <c r="KX772" s="2399" t="s">
        <v>2376</v>
      </c>
      <c r="KY772" s="2399" t="s">
        <v>2377</v>
      </c>
      <c r="KZ772" s="2399" t="s">
        <v>2378</v>
      </c>
      <c r="LA772" s="2399" t="s">
        <v>2379</v>
      </c>
      <c r="LB772" s="2399" t="s">
        <v>476</v>
      </c>
      <c r="LC772" s="2399" t="s">
        <v>2376</v>
      </c>
      <c r="LD772" s="2399" t="s">
        <v>2377</v>
      </c>
      <c r="LE772" s="2399" t="s">
        <v>2378</v>
      </c>
      <c r="LF772" s="2399" t="s">
        <v>2379</v>
      </c>
      <c r="LG772" s="2399" t="s">
        <v>476</v>
      </c>
      <c r="LH772" s="2399" t="s">
        <v>2376</v>
      </c>
      <c r="LI772" s="2399" t="s">
        <v>2377</v>
      </c>
      <c r="LJ772" s="2399" t="s">
        <v>2378</v>
      </c>
      <c r="LK772" s="2399" t="s">
        <v>2379</v>
      </c>
      <c r="LL772" s="2399" t="s">
        <v>476</v>
      </c>
      <c r="LM772" s="2399" t="s">
        <v>2376</v>
      </c>
      <c r="LN772" s="2399" t="s">
        <v>2377</v>
      </c>
      <c r="LO772" s="2399" t="s">
        <v>2378</v>
      </c>
      <c r="LP772" s="2399"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6822</v>
      </c>
      <c r="R773" s="2399"/>
      <c r="X773" s="1918" t="s">
        <v>4125</v>
      </c>
      <c r="Y773" s="1918" t="s">
        <v>4126</v>
      </c>
      <c r="Z773" s="1918" t="s">
        <v>4127</v>
      </c>
      <c r="AA773" s="1918" t="s">
        <v>4128</v>
      </c>
      <c r="AB773" s="1918" t="s">
        <v>4129</v>
      </c>
      <c r="AC773" s="1918" t="s">
        <v>4130</v>
      </c>
      <c r="AD773" s="1918" t="s">
        <v>4131</v>
      </c>
      <c r="AE773" s="1918" t="s">
        <v>4132</v>
      </c>
      <c r="AF773" s="1918" t="s">
        <v>4133</v>
      </c>
      <c r="AG773" s="1918" t="s">
        <v>4134</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4136</v>
      </c>
      <c r="AS773" s="1918" t="s">
        <v>4137</v>
      </c>
      <c r="AT773" s="1918" t="s">
        <v>4138</v>
      </c>
      <c r="AU773" s="1918" t="s">
        <v>4139</v>
      </c>
      <c r="AV773" s="1918" t="s">
        <v>4135</v>
      </c>
      <c r="AW773" s="1918" t="s">
        <v>900</v>
      </c>
      <c r="AX773" s="1918" t="s">
        <v>2254</v>
      </c>
      <c r="AY773" s="1918" t="s">
        <v>2255</v>
      </c>
      <c r="AZ773" s="1918" t="s">
        <v>2256</v>
      </c>
      <c r="BA773" s="1918" t="s">
        <v>2257</v>
      </c>
      <c r="BB773" s="1918" t="s">
        <v>4140</v>
      </c>
      <c r="BC773" s="1918" t="s">
        <v>4141</v>
      </c>
      <c r="BD773" s="1918" t="s">
        <v>4142</v>
      </c>
      <c r="BE773" s="1918" t="s">
        <v>4143</v>
      </c>
      <c r="BF773" s="1918" t="s">
        <v>4144</v>
      </c>
      <c r="BG773" s="1918" t="s">
        <v>126</v>
      </c>
      <c r="BH773" s="1918" t="s">
        <v>2258</v>
      </c>
      <c r="BI773" s="1918" t="s">
        <v>2259</v>
      </c>
      <c r="BJ773" s="1918" t="s">
        <v>2260</v>
      </c>
      <c r="BK773" s="1918" t="s">
        <v>1126</v>
      </c>
      <c r="BL773" s="1918" t="s">
        <v>4145</v>
      </c>
      <c r="BM773" s="1918" t="s">
        <v>4146</v>
      </c>
      <c r="BN773" s="1918" t="s">
        <v>4147</v>
      </c>
      <c r="BO773" s="1918" t="s">
        <v>4148</v>
      </c>
      <c r="BP773" s="1918" t="s">
        <v>4149</v>
      </c>
      <c r="BQ773" s="1918" t="s">
        <v>540</v>
      </c>
      <c r="BR773" s="1918" t="s">
        <v>541</v>
      </c>
      <c r="BS773" s="1918" t="s">
        <v>560</v>
      </c>
      <c r="BT773" s="1918" t="s">
        <v>561</v>
      </c>
      <c r="BU773" s="1918" t="s">
        <v>562</v>
      </c>
      <c r="BV773" s="1918" t="s">
        <v>4150</v>
      </c>
      <c r="BW773" s="1918" t="s">
        <v>4151</v>
      </c>
      <c r="BX773" s="1918" t="s">
        <v>4152</v>
      </c>
      <c r="BY773" s="1918" t="s">
        <v>4153</v>
      </c>
      <c r="BZ773" s="1918" t="s">
        <v>4154</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4160</v>
      </c>
      <c r="CL773" s="1918" t="s">
        <v>4161</v>
      </c>
      <c r="CM773" s="1918" t="s">
        <v>4162</v>
      </c>
      <c r="CN773" s="1918" t="s">
        <v>4163</v>
      </c>
      <c r="CO773" s="1918" t="s">
        <v>4164</v>
      </c>
      <c r="CP773" s="1918" t="s">
        <v>4155</v>
      </c>
      <c r="CQ773" s="1918" t="s">
        <v>4156</v>
      </c>
      <c r="CR773" s="1918" t="s">
        <v>4157</v>
      </c>
      <c r="CS773" s="1918" t="s">
        <v>4158</v>
      </c>
      <c r="CT773" s="1918" t="s">
        <v>4159</v>
      </c>
      <c r="CU773" s="1918" t="s">
        <v>4165</v>
      </c>
      <c r="CV773" s="1918" t="s">
        <v>4166</v>
      </c>
      <c r="CW773" s="1918" t="s">
        <v>4167</v>
      </c>
      <c r="CX773" s="1918" t="s">
        <v>4168</v>
      </c>
      <c r="CY773" s="1918" t="s">
        <v>4169</v>
      </c>
      <c r="CZ773" s="1918" t="s">
        <v>485</v>
      </c>
      <c r="DA773" s="1918" t="s">
        <v>486</v>
      </c>
      <c r="DB773" s="1918" t="s">
        <v>487</v>
      </c>
      <c r="DC773" s="1918" t="s">
        <v>488</v>
      </c>
      <c r="DD773" s="1918" t="s">
        <v>489</v>
      </c>
      <c r="DE773" s="1918" t="s">
        <v>4170</v>
      </c>
      <c r="DF773" s="1918" t="s">
        <v>4171</v>
      </c>
      <c r="DG773" s="1918" t="s">
        <v>4172</v>
      </c>
      <c r="DH773" s="1918" t="s">
        <v>4173</v>
      </c>
      <c r="DI773" s="1918" t="s">
        <v>4174</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4175</v>
      </c>
      <c r="DU773" s="1918" t="s">
        <v>4176</v>
      </c>
      <c r="DV773" s="1918" t="s">
        <v>4177</v>
      </c>
      <c r="DW773" s="1918" t="s">
        <v>4178</v>
      </c>
      <c r="DX773" s="1918" t="s">
        <v>4179</v>
      </c>
      <c r="DY773" s="1918" t="s">
        <v>4180</v>
      </c>
      <c r="DZ773" s="1918" t="s">
        <v>4181</v>
      </c>
      <c r="EA773" s="1918" t="s">
        <v>4182</v>
      </c>
      <c r="EB773" s="1918" t="s">
        <v>4183</v>
      </c>
      <c r="EC773" s="1918" t="s">
        <v>4184</v>
      </c>
      <c r="ED773" s="1918" t="s">
        <v>2366</v>
      </c>
      <c r="EE773" s="1918" t="s">
        <v>2367</v>
      </c>
      <c r="EF773" s="1918" t="s">
        <v>2368</v>
      </c>
      <c r="EG773" s="1918" t="s">
        <v>2369</v>
      </c>
      <c r="EH773" s="1918" t="s">
        <v>2370</v>
      </c>
      <c r="EI773" s="1918" t="s">
        <v>4185</v>
      </c>
      <c r="EJ773" s="1918" t="s">
        <v>4186</v>
      </c>
      <c r="EK773" s="1918" t="s">
        <v>4187</v>
      </c>
      <c r="EL773" s="1918" t="s">
        <v>4188</v>
      </c>
      <c r="EM773" s="1918" t="s">
        <v>4189</v>
      </c>
      <c r="EN773" s="1918" t="s">
        <v>4190</v>
      </c>
      <c r="EO773" s="1918" t="s">
        <v>4191</v>
      </c>
      <c r="EP773" s="1918" t="s">
        <v>4192</v>
      </c>
      <c r="EQ773" s="1918" t="s">
        <v>4193</v>
      </c>
      <c r="ER773" s="1918" t="s">
        <v>4194</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4195</v>
      </c>
      <c r="FD773" s="1918" t="s">
        <v>4196</v>
      </c>
      <c r="FE773" s="1918" t="s">
        <v>4197</v>
      </c>
      <c r="FF773" s="1918" t="s">
        <v>4198</v>
      </c>
      <c r="FG773" s="1918" t="s">
        <v>4199</v>
      </c>
      <c r="FH773" s="1995" t="s">
        <v>128</v>
      </c>
      <c r="FI773" s="1995" t="s">
        <v>890</v>
      </c>
      <c r="FJ773" s="1995" t="s">
        <v>891</v>
      </c>
      <c r="FK773" s="1995" t="s">
        <v>892</v>
      </c>
      <c r="FL773" s="1995" t="s">
        <v>893</v>
      </c>
      <c r="FM773" s="1918" t="s">
        <v>4200</v>
      </c>
      <c r="FN773" s="1918" t="s">
        <v>4201</v>
      </c>
      <c r="FO773" s="1918" t="s">
        <v>4202</v>
      </c>
      <c r="FP773" s="1918" t="s">
        <v>4203</v>
      </c>
      <c r="FQ773" s="1918" t="s">
        <v>4204</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4793</v>
      </c>
      <c r="K774" s="1732" t="s">
        <v>3432</v>
      </c>
      <c r="L774" s="2102" t="str">
        <f>'Part I-Project Information'!$B$6</f>
        <v>May 26, 2020 Version</v>
      </c>
      <c r="M774" s="2103"/>
      <c r="N774" s="1922" t="s">
        <v>559</v>
      </c>
      <c r="P774" s="1896" t="s">
        <v>6823</v>
      </c>
      <c r="Q774" s="1918"/>
      <c r="R774" s="2399"/>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3489</v>
      </c>
      <c r="H775" s="1918" t="s">
        <v>3663</v>
      </c>
      <c r="I775" s="1918"/>
      <c r="J775" s="1732" t="s">
        <v>778</v>
      </c>
      <c r="K775" s="1732" t="s">
        <v>3492</v>
      </c>
      <c r="L775" s="2103"/>
      <c r="M775" s="2103"/>
      <c r="N775" s="2104" t="str">
        <f>'Part I-Project Information'!$O$40</f>
        <v>Laurens Co.</v>
      </c>
      <c r="O775" s="2104"/>
      <c r="P775" s="1916">
        <f>VLOOKUP('Part I-Project Information'!$O$40,'DCA Underwriting Assumptions'!$C$173:$D$283,2)</f>
        <v>45600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4207</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4208</v>
      </c>
      <c r="C777" s="1732" t="s">
        <v>168</v>
      </c>
      <c r="D777" s="1732" t="s">
        <v>530</v>
      </c>
      <c r="E777" s="1732" t="s">
        <v>1445</v>
      </c>
      <c r="F777" s="1732" t="s">
        <v>1445</v>
      </c>
      <c r="G777" s="1732" t="s">
        <v>1447</v>
      </c>
      <c r="H777" s="1732" t="s">
        <v>3490</v>
      </c>
      <c r="J777" s="2105" t="s">
        <v>4475</v>
      </c>
      <c r="K777" s="1732" t="s">
        <v>6970</v>
      </c>
      <c r="L777" s="1897" t="s">
        <v>142</v>
      </c>
      <c r="M777" s="1897"/>
      <c r="N777" s="1732" t="s">
        <v>2306</v>
      </c>
      <c r="O777" s="1732" t="s">
        <v>4788</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t="str">
        <f>'Part VI-Revenues &amp; Expenses'!C17</f>
        <v>Efficiency</v>
      </c>
      <c r="D786" s="2214">
        <f>'Part VI-Revenues &amp; Expenses'!D17</f>
        <v>1</v>
      </c>
      <c r="E786" s="2215">
        <f>'Part VI-Revenues &amp; Expenses'!E17</f>
        <v>11</v>
      </c>
      <c r="F786" s="2215">
        <f>'Part VI-Revenues &amp; Expenses'!F17</f>
        <v>470</v>
      </c>
      <c r="G786" s="2215">
        <f>'Part VI-Revenues &amp; Expenses'!G17</f>
        <v>530</v>
      </c>
      <c r="H786" s="2215">
        <f>'Part VI-Revenues &amp; Expenses'!H17</f>
        <v>525</v>
      </c>
      <c r="I786" s="2215">
        <f>'Part VI-Revenues &amp; Expenses'!I17</f>
        <v>0</v>
      </c>
      <c r="J786" s="2215">
        <f>'Part VI-Revenues &amp; Expenses'!J17</f>
        <v>0</v>
      </c>
      <c r="K786" s="2216">
        <f>'Part VI-Revenues &amp; Expenses'!K17</f>
        <v>0</v>
      </c>
      <c r="L786" s="1899">
        <f t="shared" si="0"/>
        <v>525</v>
      </c>
      <c r="M786" s="1899">
        <f t="shared" si="1"/>
        <v>5775</v>
      </c>
      <c r="N786" s="2074" t="str">
        <f>'Part VI-Revenues &amp; Expenses'!N17</f>
        <v>No</v>
      </c>
      <c r="O786" s="2074" t="str">
        <f>'Part VI-Revenues &amp; Expenses'!O17</f>
        <v>2-Story</v>
      </c>
      <c r="P786" s="2074" t="str">
        <f>'Part VI-Revenues &amp; Expenses'!P17</f>
        <v>Rehabilitation</v>
      </c>
      <c r="Q786" s="1732" t="str">
        <f>'Part VI-Revenues &amp; Expenses'!Q17</f>
        <v>Yes</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f t="shared" si="17"/>
        <v>11</v>
      </c>
      <c r="AN786" s="1995" t="str">
        <f t="shared" si="18"/>
        <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f t="shared" si="132"/>
        <v>5170</v>
      </c>
      <c r="EY786" s="1995" t="str">
        <f t="shared" si="133"/>
        <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f t="shared" si="197"/>
        <v>11</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f t="shared" si="212"/>
        <v>11</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f t="shared" si="272"/>
        <v>11</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t="str">
        <f>'Part VI-Revenues &amp; Expenses'!C18</f>
        <v>Efficiency</v>
      </c>
      <c r="D787" s="2214">
        <f>'Part VI-Revenues &amp; Expenses'!D18</f>
        <v>1</v>
      </c>
      <c r="E787" s="2215">
        <f>'Part VI-Revenues &amp; Expenses'!E18</f>
        <v>9</v>
      </c>
      <c r="F787" s="2215">
        <f>'Part VI-Revenues &amp; Expenses'!F18</f>
        <v>470</v>
      </c>
      <c r="G787" s="2215">
        <f>'Part VI-Revenues &amp; Expenses'!G18</f>
        <v>636</v>
      </c>
      <c r="H787" s="2215">
        <f>'Part VI-Revenues &amp; Expenses'!H18</f>
        <v>625</v>
      </c>
      <c r="I787" s="2215">
        <f>'Part VI-Revenues &amp; Expenses'!I18</f>
        <v>0</v>
      </c>
      <c r="J787" s="2215">
        <f>'Part VI-Revenues &amp; Expenses'!J18</f>
        <v>0</v>
      </c>
      <c r="K787" s="2216">
        <f>'Part VI-Revenues &amp; Expenses'!K18</f>
        <v>0</v>
      </c>
      <c r="L787" s="1899">
        <f t="shared" si="0"/>
        <v>625</v>
      </c>
      <c r="M787" s="1899">
        <f t="shared" si="1"/>
        <v>5625</v>
      </c>
      <c r="N787" s="2074" t="str">
        <f>'Part VI-Revenues &amp; Expenses'!N18</f>
        <v>No</v>
      </c>
      <c r="O787" s="2074" t="str">
        <f>'Part VI-Revenues &amp; Expenses'!O18</f>
        <v>2-Story</v>
      </c>
      <c r="P787" s="2074" t="str">
        <f>'Part VI-Revenues &amp; Expenses'!P18</f>
        <v>Rehabilitation</v>
      </c>
      <c r="Q787" s="1732" t="str">
        <f>'Part VI-Revenues &amp; Expenses'!Q18</f>
        <v>Yes</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f t="shared" si="12"/>
        <v>9</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f t="shared" si="127"/>
        <v>4230</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f t="shared" si="197"/>
        <v>9</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f t="shared" si="212"/>
        <v>9</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f t="shared" si="272"/>
        <v>9</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1</v>
      </c>
      <c r="D788" s="2214">
        <f>'Part VI-Revenues &amp; Expenses'!D19</f>
        <v>1</v>
      </c>
      <c r="E788" s="2215">
        <f>'Part VI-Revenues &amp; Expenses'!E19</f>
        <v>11</v>
      </c>
      <c r="F788" s="2215">
        <f>'Part VI-Revenues &amp; Expenses'!F19</f>
        <v>690</v>
      </c>
      <c r="G788" s="2215">
        <f>'Part VI-Revenues &amp; Expenses'!G19</f>
        <v>568</v>
      </c>
      <c r="H788" s="2215">
        <f>'Part VI-Revenues &amp; Expenses'!H19</f>
        <v>550</v>
      </c>
      <c r="I788" s="2215">
        <f>'Part VI-Revenues &amp; Expenses'!I19</f>
        <v>0</v>
      </c>
      <c r="J788" s="2215">
        <f>'Part VI-Revenues &amp; Expenses'!J19</f>
        <v>0</v>
      </c>
      <c r="K788" s="2216">
        <f>'Part VI-Revenues &amp; Expenses'!K19</f>
        <v>0</v>
      </c>
      <c r="L788" s="1899">
        <f t="shared" si="0"/>
        <v>550</v>
      </c>
      <c r="M788" s="1899">
        <f t="shared" si="1"/>
        <v>6050</v>
      </c>
      <c r="N788" s="2074" t="str">
        <f>'Part VI-Revenues &amp; Expenses'!N19</f>
        <v>No</v>
      </c>
      <c r="O788" s="2074" t="str">
        <f>'Part VI-Revenues &amp; Expenses'!O19</f>
        <v>2-Story</v>
      </c>
      <c r="P788" s="2074" t="str">
        <f>'Part VI-Revenues &amp; Expenses'!P19</f>
        <v>Rehabilitation</v>
      </c>
      <c r="Q788" s="1732" t="str">
        <f>'Part VI-Revenues &amp; Expenses'!Q19</f>
        <v>Yes</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f t="shared" si="18"/>
        <v>11</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f t="shared" si="133"/>
        <v>7590</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f t="shared" si="198"/>
        <v>11</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11</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f t="shared" si="273"/>
        <v>11</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9</v>
      </c>
      <c r="F789" s="2215">
        <f>'Part VI-Revenues &amp; Expenses'!F20</f>
        <v>690</v>
      </c>
      <c r="G789" s="2215">
        <f>'Part VI-Revenues &amp; Expenses'!G20</f>
        <v>681</v>
      </c>
      <c r="H789" s="2215">
        <f>'Part VI-Revenues &amp; Expenses'!H20</f>
        <v>650</v>
      </c>
      <c r="I789" s="2215">
        <f>'Part VI-Revenues &amp; Expenses'!I20</f>
        <v>0</v>
      </c>
      <c r="J789" s="2215">
        <f>'Part VI-Revenues &amp; Expenses'!J20</f>
        <v>0</v>
      </c>
      <c r="K789" s="2216">
        <f>'Part VI-Revenues &amp; Expenses'!K20</f>
        <v>0</v>
      </c>
      <c r="L789" s="1899">
        <f t="shared" si="0"/>
        <v>650</v>
      </c>
      <c r="M789" s="1899">
        <f t="shared" si="1"/>
        <v>5850</v>
      </c>
      <c r="N789" s="2074" t="str">
        <f>'Part VI-Revenues &amp; Expenses'!N20</f>
        <v>No</v>
      </c>
      <c r="O789" s="2074" t="str">
        <f>'Part VI-Revenues &amp; Expenses'!O20</f>
        <v>2-Story</v>
      </c>
      <c r="P789" s="2074" t="str">
        <f>'Part VI-Revenues &amp; Expenses'!P20</f>
        <v>Rehabilitation</v>
      </c>
      <c r="Q789" s="1732" t="str">
        <f>'Part VI-Revenues &amp; Expenses'!Q20</f>
        <v>Yes</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9</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6210</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f t="shared" si="198"/>
        <v>9</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9</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f t="shared" si="273"/>
        <v>9</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2</v>
      </c>
      <c r="D790" s="2214">
        <f>'Part VI-Revenues &amp; Expenses'!D21</f>
        <v>2</v>
      </c>
      <c r="E790" s="2215">
        <f>'Part VI-Revenues &amp; Expenses'!E21</f>
        <v>3</v>
      </c>
      <c r="F790" s="2215">
        <f>'Part VI-Revenues &amp; Expenses'!F21</f>
        <v>900</v>
      </c>
      <c r="G790" s="2215">
        <f>'Part VI-Revenues &amp; Expenses'!G21</f>
        <v>681</v>
      </c>
      <c r="H790" s="2215">
        <f>'Part VI-Revenues &amp; Expenses'!H21</f>
        <v>600</v>
      </c>
      <c r="I790" s="2215">
        <f>'Part VI-Revenues &amp; Expenses'!I21</f>
        <v>0</v>
      </c>
      <c r="J790" s="2215">
        <f>'Part VI-Revenues &amp; Expenses'!J21</f>
        <v>0</v>
      </c>
      <c r="K790" s="2216">
        <f>'Part VI-Revenues &amp; Expenses'!K21</f>
        <v>0</v>
      </c>
      <c r="L790" s="1899">
        <f t="shared" si="0"/>
        <v>600</v>
      </c>
      <c r="M790" s="1899">
        <f t="shared" si="1"/>
        <v>1800</v>
      </c>
      <c r="N790" s="2074" t="str">
        <f>'Part VI-Revenues &amp; Expenses'!N21</f>
        <v>No</v>
      </c>
      <c r="O790" s="2074" t="str">
        <f>'Part VI-Revenues &amp; Expenses'!O21</f>
        <v>1-Story</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f t="shared" si="19"/>
        <v>3</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f t="shared" si="134"/>
        <v>2700</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3</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3</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f t="shared" si="259"/>
        <v>3</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3</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2</v>
      </c>
      <c r="D791" s="2214">
        <f>'Part VI-Revenues &amp; Expenses'!D22</f>
        <v>2</v>
      </c>
      <c r="E791" s="2215">
        <f>'Part VI-Revenues &amp; Expenses'!E22</f>
        <v>2</v>
      </c>
      <c r="F791" s="2215">
        <f>'Part VI-Revenues &amp; Expenses'!F22</f>
        <v>900</v>
      </c>
      <c r="G791" s="2215">
        <f>'Part VI-Revenues &amp; Expenses'!G22</f>
        <v>817</v>
      </c>
      <c r="H791" s="2215">
        <f>'Part VI-Revenues &amp; Expenses'!H22</f>
        <v>700</v>
      </c>
      <c r="I791" s="2215">
        <f>'Part VI-Revenues &amp; Expenses'!I22</f>
        <v>0</v>
      </c>
      <c r="J791" s="2215">
        <f>'Part VI-Revenues &amp; Expenses'!J22</f>
        <v>0</v>
      </c>
      <c r="K791" s="2216">
        <f>'Part VI-Revenues &amp; Expenses'!K22</f>
        <v>0</v>
      </c>
      <c r="L791" s="1899">
        <f t="shared" si="0"/>
        <v>700</v>
      </c>
      <c r="M791" s="1899">
        <f t="shared" si="1"/>
        <v>1400</v>
      </c>
      <c r="N791" s="2074" t="str">
        <f>'Part VI-Revenues &amp; Expenses'!N22</f>
        <v>No</v>
      </c>
      <c r="O791" s="2074" t="str">
        <f>'Part VI-Revenues &amp; Expenses'!O22</f>
        <v>1-Story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f t="shared" si="14"/>
        <v>2</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f t="shared" si="129"/>
        <v>1800</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2</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2</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f t="shared" si="259"/>
        <v>2</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2</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80</v>
      </c>
      <c r="C792" s="2213" t="str">
        <f>'Part VI-Revenues &amp; Expenses'!C23</f>
        <v>Efficiency</v>
      </c>
      <c r="D792" s="2214">
        <f>'Part VI-Revenues &amp; Expenses'!D23</f>
        <v>1</v>
      </c>
      <c r="E792" s="2215">
        <f>'Part VI-Revenues &amp; Expenses'!E23</f>
        <v>2</v>
      </c>
      <c r="F792" s="2215">
        <f>'Part VI-Revenues &amp; Expenses'!F23</f>
        <v>470</v>
      </c>
      <c r="G792" s="2215">
        <f>'Part VI-Revenues &amp; Expenses'!G23</f>
        <v>848</v>
      </c>
      <c r="H792" s="2215">
        <f>'Part VI-Revenues &amp; Expenses'!H23</f>
        <v>650</v>
      </c>
      <c r="I792" s="2215">
        <f>'Part VI-Revenues &amp; Expenses'!I23</f>
        <v>0</v>
      </c>
      <c r="J792" s="2215">
        <f>'Part VI-Revenues &amp; Expenses'!J23</f>
        <v>0</v>
      </c>
      <c r="K792" s="2216">
        <f>'Part VI-Revenues &amp; Expenses'!K23</f>
        <v>0</v>
      </c>
      <c r="L792" s="1899">
        <f t="shared" si="0"/>
        <v>650</v>
      </c>
      <c r="M792" s="1899">
        <f t="shared" si="1"/>
        <v>1300</v>
      </c>
      <c r="N792" s="2074" t="str">
        <f>'Part VI-Revenues &amp; Expenses'!N23</f>
        <v>No</v>
      </c>
      <c r="O792" s="2074" t="str">
        <f>'Part VI-Revenues &amp; Expenses'!O23</f>
        <v>2-Story</v>
      </c>
      <c r="P792" s="2074" t="str">
        <f>'Part VI-Revenues &amp; Expenses'!P23</f>
        <v>Rehabilitation</v>
      </c>
      <c r="Q792" s="1732" t="str">
        <f>'Part VI-Revenues &amp; Expenses'!Q23</f>
        <v>Yes</v>
      </c>
      <c r="R792" s="1926"/>
      <c r="S792" s="2148"/>
      <c r="T792" s="1910"/>
      <c r="U792" s="1910"/>
      <c r="V792" s="1910"/>
      <c r="W792" s="1910"/>
      <c r="X792" s="1995">
        <f t="shared" si="2"/>
        <v>2</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f t="shared" si="72"/>
        <v>2</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f t="shared" si="117"/>
        <v>940</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f t="shared" si="197"/>
        <v>2</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f t="shared" si="212"/>
        <v>2</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f t="shared" si="272"/>
        <v>2</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80</v>
      </c>
      <c r="C793" s="2213">
        <f>'Part VI-Revenues &amp; Expenses'!C24</f>
        <v>1</v>
      </c>
      <c r="D793" s="2214">
        <f>'Part VI-Revenues &amp; Expenses'!D24</f>
        <v>1</v>
      </c>
      <c r="E793" s="2215">
        <f>'Part VI-Revenues &amp; Expenses'!E24</f>
        <v>2</v>
      </c>
      <c r="F793" s="2215">
        <f>'Part VI-Revenues &amp; Expenses'!F24</f>
        <v>690</v>
      </c>
      <c r="G793" s="2215">
        <f>'Part VI-Revenues &amp; Expenses'!G24</f>
        <v>909</v>
      </c>
      <c r="H793" s="2215">
        <f>'Part VI-Revenues &amp; Expenses'!H24</f>
        <v>725</v>
      </c>
      <c r="I793" s="2215">
        <f>'Part VI-Revenues &amp; Expenses'!I24</f>
        <v>0</v>
      </c>
      <c r="J793" s="2215">
        <f>'Part VI-Revenues &amp; Expenses'!J24</f>
        <v>0</v>
      </c>
      <c r="K793" s="2216">
        <f>'Part VI-Revenues &amp; Expenses'!K24</f>
        <v>0</v>
      </c>
      <c r="L793" s="1899">
        <f t="shared" si="0"/>
        <v>725</v>
      </c>
      <c r="M793" s="1899">
        <f t="shared" si="1"/>
        <v>1450</v>
      </c>
      <c r="N793" s="2074" t="str">
        <f>'Part VI-Revenues &amp; Expenses'!N24</f>
        <v>No</v>
      </c>
      <c r="O793" s="2074" t="str">
        <f>'Part VI-Revenues &amp; Expenses'!O24</f>
        <v>2-Story</v>
      </c>
      <c r="P793" s="2074" t="str">
        <f>'Part VI-Revenues &amp; Expenses'!P24</f>
        <v>Rehabilitation</v>
      </c>
      <c r="Q793" s="1732" t="str">
        <f>'Part VI-Revenues &amp; Expenses'!Q24</f>
        <v>Yes</v>
      </c>
      <c r="R793" s="1926"/>
      <c r="S793" s="2148"/>
      <c r="T793" s="1910"/>
      <c r="U793" s="1910"/>
      <c r="V793" s="1910"/>
      <c r="W793" s="1910"/>
      <c r="X793" s="1995" t="str">
        <f t="shared" si="2"/>
        <v/>
      </c>
      <c r="Y793" s="1995">
        <f t="shared" si="3"/>
        <v>2</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f t="shared" si="73"/>
        <v>2</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f t="shared" si="118"/>
        <v>1380</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f t="shared" si="198"/>
        <v>2</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f t="shared" si="213"/>
        <v>2</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f t="shared" si="273"/>
        <v>2</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80</v>
      </c>
      <c r="C794" s="2213">
        <f>'Part VI-Revenues &amp; Expenses'!C25</f>
        <v>2</v>
      </c>
      <c r="D794" s="2214">
        <f>'Part VI-Revenues &amp; Expenses'!D25</f>
        <v>2</v>
      </c>
      <c r="E794" s="2215">
        <f>'Part VI-Revenues &amp; Expenses'!E25</f>
        <v>1</v>
      </c>
      <c r="F794" s="2215">
        <f>'Part VI-Revenues &amp; Expenses'!F25</f>
        <v>900</v>
      </c>
      <c r="G794" s="2215">
        <f>'Part VI-Revenues &amp; Expenses'!G25</f>
        <v>1090</v>
      </c>
      <c r="H794" s="2215">
        <f>'Part VI-Revenues &amp; Expenses'!H25</f>
        <v>800</v>
      </c>
      <c r="I794" s="2215">
        <f>'Part VI-Revenues &amp; Expenses'!I25</f>
        <v>0</v>
      </c>
      <c r="J794" s="2215">
        <f>'Part VI-Revenues &amp; Expenses'!J25</f>
        <v>0</v>
      </c>
      <c r="K794" s="2216">
        <f>'Part VI-Revenues &amp; Expenses'!K25</f>
        <v>0</v>
      </c>
      <c r="L794" s="1899">
        <f t="shared" si="0"/>
        <v>800</v>
      </c>
      <c r="M794" s="1899">
        <f t="shared" si="1"/>
        <v>800</v>
      </c>
      <c r="N794" s="2074" t="str">
        <f>'Part VI-Revenues &amp; Expenses'!N25</f>
        <v>No</v>
      </c>
      <c r="O794" s="2074" t="str">
        <f>'Part VI-Revenues &amp; Expenses'!O25</f>
        <v>1-Story</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f t="shared" si="4"/>
        <v>1</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f t="shared" si="74"/>
        <v>1</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f t="shared" si="119"/>
        <v>900</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f t="shared" si="169"/>
        <v>1</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f t="shared" si="214"/>
        <v>1</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f t="shared" si="259"/>
        <v>1</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1</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4212</v>
      </c>
      <c r="C817" s="449"/>
      <c r="D817" s="1904" t="s">
        <v>996</v>
      </c>
      <c r="E817" s="1901">
        <f>SUM(E779:E816)</f>
        <v>50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30920</v>
      </c>
      <c r="H817" s="2107" t="s">
        <v>4209</v>
      </c>
      <c r="I817" s="1229" t="s">
        <v>4210</v>
      </c>
      <c r="J817" s="1903" t="str">
        <f>IF(P836=0,"",IF(SUM(P827:P831)/P836&gt;=0.4,"Pass","Fail"))</f>
        <v>Pass</v>
      </c>
      <c r="K817" s="450"/>
      <c r="L817" s="1904" t="s">
        <v>1276</v>
      </c>
      <c r="M817" s="1905">
        <f>SUM(M779:M816)</f>
        <v>30050</v>
      </c>
      <c r="N817" s="1815"/>
      <c r="O817" s="1815"/>
      <c r="P817" s="1815"/>
      <c r="Q817" s="1815"/>
      <c r="R817" s="1815"/>
      <c r="S817" s="1815"/>
      <c r="T817" s="1815"/>
      <c r="U817" s="1815"/>
      <c r="V817" s="1732"/>
      <c r="W817" s="1900"/>
      <c r="X817" s="1900">
        <f t="shared" ref="X817:FA817" si="348">SUM(X779:X816)</f>
        <v>2</v>
      </c>
      <c r="Y817" s="1900">
        <f t="shared" si="348"/>
        <v>2</v>
      </c>
      <c r="Z817" s="1900">
        <f t="shared" si="348"/>
        <v>1</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9</v>
      </c>
      <c r="AI817" s="1900">
        <f t="shared" si="348"/>
        <v>9</v>
      </c>
      <c r="AJ817" s="1900">
        <f t="shared" si="348"/>
        <v>2</v>
      </c>
      <c r="AK817" s="1900">
        <f t="shared" si="348"/>
        <v>0</v>
      </c>
      <c r="AL817" s="1900">
        <f t="shared" si="348"/>
        <v>0</v>
      </c>
      <c r="AM817" s="1900">
        <f>SUM(AM779:AM816)</f>
        <v>11</v>
      </c>
      <c r="AN817" s="1900">
        <f>SUM(AN779:AN816)</f>
        <v>11</v>
      </c>
      <c r="AO817" s="1900">
        <f>SUM(AO779:AO816)</f>
        <v>3</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2</v>
      </c>
      <c r="CQ817" s="1900">
        <f t="shared" si="349"/>
        <v>2</v>
      </c>
      <c r="CR817" s="1900">
        <f t="shared" si="349"/>
        <v>1</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940</v>
      </c>
      <c r="EJ817" s="1900">
        <f t="shared" si="348"/>
        <v>1380</v>
      </c>
      <c r="EK817" s="1900">
        <f t="shared" si="348"/>
        <v>900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4230</v>
      </c>
      <c r="ET817" s="1900">
        <f t="shared" si="348"/>
        <v>6210</v>
      </c>
      <c r="EU817" s="1900">
        <f t="shared" si="348"/>
        <v>1800</v>
      </c>
      <c r="EV817" s="1900">
        <f t="shared" si="348"/>
        <v>0</v>
      </c>
      <c r="EW817" s="1900">
        <f t="shared" si="348"/>
        <v>0</v>
      </c>
      <c r="EX817" s="1900">
        <f t="shared" si="348"/>
        <v>5170</v>
      </c>
      <c r="EY817" s="1900">
        <f t="shared" si="348"/>
        <v>7590</v>
      </c>
      <c r="EZ817" s="1900">
        <f t="shared" si="348"/>
        <v>2700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0</v>
      </c>
      <c r="GI817" s="1900">
        <f t="shared" si="350"/>
        <v>6</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22</v>
      </c>
      <c r="HL817" s="1900">
        <f t="shared" si="350"/>
        <v>22</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22</v>
      </c>
      <c r="IA817" s="1900">
        <f t="shared" si="351"/>
        <v>22</v>
      </c>
      <c r="IB817" s="1900">
        <f t="shared" si="351"/>
        <v>6</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6</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22</v>
      </c>
      <c r="KI817" s="1900">
        <f t="shared" si="351"/>
        <v>22</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0</v>
      </c>
      <c r="MW817" s="1900">
        <f t="shared" si="352"/>
        <v>6</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v>
      </c>
      <c r="C818" s="2108"/>
      <c r="D818" s="1896" t="s">
        <v>4119</v>
      </c>
      <c r="E818" s="1901">
        <f>SUM(E786:E816)</f>
        <v>50</v>
      </c>
      <c r="F818" s="1902">
        <f>(E786*F786+E787*F787+E788*F788+E789*F789+E790*F790+E791*F791+E792*F792+E793*F793+E794*F794+E795*F795+E796*F796+E797*F797+E798*F798+E799*F799+E800*F800+E801*F801+E802*F802+E803*F803+E804*F804+E805*F805+E806*F806+E807*F807+E808*F808+E809*F809+E810*F810+E811*F811+E812*F812+E813*F813+E814*F814+E815*F815+E816*F816)</f>
        <v>30920</v>
      </c>
      <c r="H818" s="2107"/>
      <c r="I818" s="1229" t="s">
        <v>4211</v>
      </c>
      <c r="J818" s="1903" t="str">
        <f>IF(P836=0,"",IF(SUM(P828:P831)/P836&gt;=0.2,"Pass","Fail"))</f>
        <v>Pass</v>
      </c>
      <c r="K818" s="450"/>
      <c r="L818" s="1904" t="s">
        <v>794</v>
      </c>
      <c r="M818" s="1905">
        <f>M817*12</f>
        <v>360600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4120</v>
      </c>
      <c r="I825" s="449"/>
      <c r="K825" s="1906">
        <f>X817</f>
        <v>2</v>
      </c>
      <c r="L825" s="1906">
        <f>Y817</f>
        <v>2</v>
      </c>
      <c r="M825" s="1906">
        <f>Z817</f>
        <v>1</v>
      </c>
      <c r="N825" s="1906">
        <f>AA817</f>
        <v>0</v>
      </c>
      <c r="O825" s="1906">
        <f>AB817</f>
        <v>0</v>
      </c>
      <c r="P825" s="1906">
        <f t="shared" ref="P825:P836" si="353">SUM(K825:O825)</f>
        <v>5</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4121</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9</v>
      </c>
      <c r="L827" s="1906">
        <f>AI817</f>
        <v>9</v>
      </c>
      <c r="M827" s="1906">
        <f>AJ817</f>
        <v>2</v>
      </c>
      <c r="N827" s="1906">
        <f>AK817</f>
        <v>0</v>
      </c>
      <c r="O827" s="1906">
        <f>AL817</f>
        <v>0</v>
      </c>
      <c r="P827" s="1906">
        <f t="shared" si="353"/>
        <v>20</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11</v>
      </c>
      <c r="L828" s="1906">
        <f>AN817</f>
        <v>11</v>
      </c>
      <c r="M828" s="1906">
        <f>AO817</f>
        <v>3</v>
      </c>
      <c r="N828" s="1906">
        <f>AP817</f>
        <v>0</v>
      </c>
      <c r="O828" s="1906">
        <f>AQ817</f>
        <v>0</v>
      </c>
      <c r="P828" s="1906">
        <f t="shared" si="353"/>
        <v>25</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4122</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4123</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4124</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4206</v>
      </c>
      <c r="D832" s="1815"/>
      <c r="E832" s="1815"/>
      <c r="F832" s="1815"/>
      <c r="H832" s="1918"/>
      <c r="I832" s="1945"/>
      <c r="K832" s="1906">
        <f>SUM(K825:K831)</f>
        <v>22</v>
      </c>
      <c r="L832" s="1906">
        <f>SUM(L825:L831)</f>
        <v>22</v>
      </c>
      <c r="M832" s="1906">
        <f>SUM(M825:M831)</f>
        <v>6</v>
      </c>
      <c r="N832" s="1906">
        <f>SUM(N825:N831)</f>
        <v>0</v>
      </c>
      <c r="O832" s="1906">
        <f>SUM(O825:O831)</f>
        <v>0</v>
      </c>
      <c r="P832" s="1906">
        <f t="shared" si="353"/>
        <v>50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22</v>
      </c>
      <c r="L834" s="1906">
        <f>SUM(L832:L833)</f>
        <v>22</v>
      </c>
      <c r="M834" s="1906">
        <f>SUM(M832:M833)</f>
        <v>6</v>
      </c>
      <c r="N834" s="1906">
        <f>SUM(N832:N833)</f>
        <v>0</v>
      </c>
      <c r="O834" s="1906">
        <f>SUM(O832:O833)</f>
        <v>0</v>
      </c>
      <c r="P834" s="1906">
        <f t="shared" si="353"/>
        <v>50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22</v>
      </c>
      <c r="L836" s="1906">
        <f>SUM(L834:L835)</f>
        <v>22</v>
      </c>
      <c r="M836" s="1906">
        <f>SUM(M834:M835)</f>
        <v>6</v>
      </c>
      <c r="N836" s="1906">
        <f>SUM(N834:N835)</f>
        <v>0</v>
      </c>
      <c r="O836" s="1906">
        <f>SUM(O834:O835)</f>
        <v>0</v>
      </c>
      <c r="P836" s="1906">
        <f t="shared" si="353"/>
        <v>50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4225</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399"/>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4120</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4121</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4122</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4123</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4124</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399"/>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399"/>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4120</v>
      </c>
      <c r="I862" s="449"/>
      <c r="K862" s="2111">
        <f>CP817</f>
        <v>2</v>
      </c>
      <c r="L862" s="2111">
        <f>CQ817</f>
        <v>2</v>
      </c>
      <c r="M862" s="2111">
        <f>CR817</f>
        <v>1</v>
      </c>
      <c r="N862" s="2111">
        <f>CS817</f>
        <v>0</v>
      </c>
      <c r="O862" s="2111">
        <f>CT817</f>
        <v>0</v>
      </c>
      <c r="P862" s="1906">
        <f t="shared" ref="P862:P869" si="375">SUM(K862:O862)</f>
        <v>5</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4121</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4122</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4123</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4124</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2</v>
      </c>
      <c r="L869" s="1906">
        <f>SUM(L862:L868)</f>
        <v>2</v>
      </c>
      <c r="M869" s="1906">
        <f>SUM(M862:M868)</f>
        <v>1</v>
      </c>
      <c r="N869" s="1906">
        <f>SUM(N862:N868)</f>
        <v>0</v>
      </c>
      <c r="O869" s="1906">
        <f>SUM(O862:O868)</f>
        <v>0</v>
      </c>
      <c r="P869" s="1906">
        <f t="shared" si="375"/>
        <v>5</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399"/>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4120</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4121</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4122</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4123</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4124</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399"/>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0</v>
      </c>
      <c r="M882" s="1906">
        <f>GI817</f>
        <v>6</v>
      </c>
      <c r="N882" s="1906">
        <f>GJ817</f>
        <v>0</v>
      </c>
      <c r="O882" s="1906">
        <f>GK817</f>
        <v>0</v>
      </c>
      <c r="P882" s="1906">
        <f t="shared" ref="P882:P892" si="377">SUM(K882:O882)</f>
        <v>6</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0</v>
      </c>
      <c r="M884" s="1906">
        <f>SUM(M882:M883)+GS817</f>
        <v>6</v>
      </c>
      <c r="N884" s="1906">
        <f>SUM(N882:N883)+GT817</f>
        <v>0</v>
      </c>
      <c r="O884" s="1906">
        <f>SUM(O882:O883)+GU817</f>
        <v>0</v>
      </c>
      <c r="P884" s="1906">
        <f t="shared" si="377"/>
        <v>6</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22</v>
      </c>
      <c r="L888" s="1906">
        <f>HL817</f>
        <v>22</v>
      </c>
      <c r="M888" s="1906">
        <f>HM817</f>
        <v>0</v>
      </c>
      <c r="N888" s="1906">
        <f>HN817</f>
        <v>0</v>
      </c>
      <c r="O888" s="1906">
        <f>HO817</f>
        <v>0</v>
      </c>
      <c r="P888" s="1906">
        <f t="shared" si="377"/>
        <v>44</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22</v>
      </c>
      <c r="L890" s="1906">
        <f>SUM(L888:L889)+HV817</f>
        <v>22</v>
      </c>
      <c r="M890" s="1906">
        <f>SUM(M888:M889)+HW817</f>
        <v>0</v>
      </c>
      <c r="N890" s="1906">
        <f>SUM(N888:N889)+HX817</f>
        <v>0</v>
      </c>
      <c r="O890" s="1906">
        <f>SUM(O888:O889)+HY817</f>
        <v>0</v>
      </c>
      <c r="P890" s="1906">
        <f t="shared" si="377"/>
        <v>44</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22</v>
      </c>
      <c r="L892" s="1906">
        <f>'Part VI-Revenues &amp; Expenses'!L123</f>
        <v>22</v>
      </c>
      <c r="M892" s="1906">
        <f>'Part VI-Revenues &amp; Expenses'!M123</f>
        <v>0</v>
      </c>
      <c r="N892" s="1906">
        <f>'Part VI-Revenues &amp; Expenses'!N123</f>
        <v>0</v>
      </c>
      <c r="O892" s="1906">
        <f>'Part VI-Revenues &amp; Expenses'!O123</f>
        <v>0</v>
      </c>
      <c r="P892" s="1906">
        <f t="shared" si="377"/>
        <v>44</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22</v>
      </c>
      <c r="L894" s="1906">
        <f>L898+L900+L902+L904+L908+L910+L912+L914</f>
        <v>22</v>
      </c>
      <c r="M894" s="1906">
        <f>M898+M900+M902+M904+M908+M910+M912+M914</f>
        <v>0</v>
      </c>
      <c r="N894" s="1906">
        <f>N898+N900+N902+N904+N908+N910+N912+N914</f>
        <v>0</v>
      </c>
      <c r="O894" s="1906">
        <f>O898+O900+O902+O904+O908+O910+O912+O914</f>
        <v>0</v>
      </c>
      <c r="P894" s="1906">
        <f>SUM(K894:O894)</f>
        <v>44</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399"/>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22</v>
      </c>
      <c r="L896" s="1906">
        <f>SUM(L897:L906)</f>
        <v>22</v>
      </c>
      <c r="M896" s="1906">
        <f t="shared" ref="M896:N896" si="378">SUM(M897:M906)</f>
        <v>6</v>
      </c>
      <c r="N896" s="1906">
        <f t="shared" si="378"/>
        <v>0</v>
      </c>
      <c r="O896" s="1906">
        <f>SUM(O897:O906)</f>
        <v>0</v>
      </c>
      <c r="P896" s="1906">
        <f>SUM(P897:P906)</f>
        <v>50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6</v>
      </c>
      <c r="N897" s="1906">
        <f>JV817</f>
        <v>0</v>
      </c>
      <c r="O897" s="1906">
        <f>JW817</f>
        <v>0</v>
      </c>
      <c r="P897" s="1906">
        <f t="shared" ref="P897:P914" si="379">SUM(K897:O897)</f>
        <v>6</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22</v>
      </c>
      <c r="L900" s="1906">
        <f>KI817</f>
        <v>22</v>
      </c>
      <c r="M900" s="1906">
        <f>KJ817</f>
        <v>0</v>
      </c>
      <c r="N900" s="1906">
        <f>KK817</f>
        <v>0</v>
      </c>
      <c r="O900" s="1906">
        <f>KL817</f>
        <v>0</v>
      </c>
      <c r="P900" s="1906">
        <f t="shared" si="379"/>
        <v>44</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6</v>
      </c>
      <c r="N920" s="1906">
        <f t="shared" si="382"/>
        <v>0</v>
      </c>
      <c r="O920" s="1906">
        <f t="shared" si="382"/>
        <v>0</v>
      </c>
      <c r="P920" s="1906">
        <f t="shared" si="381"/>
        <v>6</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22</v>
      </c>
      <c r="L925" s="1906">
        <f t="shared" si="384"/>
        <v>22</v>
      </c>
      <c r="M925" s="1906">
        <f t="shared" si="384"/>
        <v>0</v>
      </c>
      <c r="N925" s="1906">
        <f t="shared" si="384"/>
        <v>0</v>
      </c>
      <c r="O925" s="1906">
        <f t="shared" si="384"/>
        <v>0</v>
      </c>
      <c r="P925" s="1906">
        <f t="shared" si="381"/>
        <v>44</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399"/>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4120</v>
      </c>
      <c r="I928" s="1945"/>
      <c r="K928" s="2111">
        <f>EI817</f>
        <v>940</v>
      </c>
      <c r="L928" s="2111">
        <f>EJ817</f>
        <v>1380</v>
      </c>
      <c r="M928" s="2111">
        <f>EK817</f>
        <v>900</v>
      </c>
      <c r="N928" s="2111">
        <f>EL817</f>
        <v>0</v>
      </c>
      <c r="O928" s="2111">
        <f>EM817</f>
        <v>0</v>
      </c>
      <c r="P928" s="1915">
        <f t="shared" ref="P928:P934" si="385">SUM(K928:O928)</f>
        <v>3220</v>
      </c>
      <c r="Q928" s="1916">
        <f t="shared" ref="Q928:Q934" si="386">IF(OR(P825=0,P825=""),"",P928/P825)</f>
        <v>644</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4121</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4230</v>
      </c>
      <c r="L930" s="1915">
        <f>ET817</f>
        <v>6210</v>
      </c>
      <c r="M930" s="1915">
        <f>EU817</f>
        <v>1800</v>
      </c>
      <c r="N930" s="1915">
        <f>EV817</f>
        <v>0</v>
      </c>
      <c r="O930" s="1915">
        <f>EW817</f>
        <v>0</v>
      </c>
      <c r="P930" s="1915">
        <f t="shared" si="385"/>
        <v>12240</v>
      </c>
      <c r="Q930" s="1916">
        <f t="shared" si="386"/>
        <v>612</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5170</v>
      </c>
      <c r="L931" s="1915">
        <f>EY817</f>
        <v>7590</v>
      </c>
      <c r="M931" s="1915">
        <f>EZ817</f>
        <v>2700</v>
      </c>
      <c r="N931" s="1915">
        <f>FA817</f>
        <v>0</v>
      </c>
      <c r="O931" s="1915">
        <f>FB817</f>
        <v>0</v>
      </c>
      <c r="P931" s="1915">
        <f t="shared" si="385"/>
        <v>15460</v>
      </c>
      <c r="Q931" s="1916">
        <f t="shared" si="386"/>
        <v>618.4</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4122</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4123</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4124</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4205</v>
      </c>
      <c r="I935" s="1908"/>
      <c r="K935" s="1915">
        <f>SUM(K928:K934)</f>
        <v>10340</v>
      </c>
      <c r="L935" s="1915">
        <f>SUM(L928:L934)</f>
        <v>15180</v>
      </c>
      <c r="M935" s="1915">
        <f>SUM(M928:M934)</f>
        <v>5400</v>
      </c>
      <c r="N935" s="1915">
        <f>SUM(N928:N934)</f>
        <v>0</v>
      </c>
      <c r="O935" s="1915">
        <f>SUM(O928:O934)</f>
        <v>0</v>
      </c>
      <c r="P935" s="1915">
        <f>SUM(K935:O935)</f>
        <v>30920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10340</v>
      </c>
      <c r="L937" s="1915">
        <f>SUM(L935:L936)</f>
        <v>15180</v>
      </c>
      <c r="M937" s="1915">
        <f>SUM(M935:M936)</f>
        <v>5400</v>
      </c>
      <c r="N937" s="1915">
        <f>SUM(N935:N936)</f>
        <v>0</v>
      </c>
      <c r="O937" s="1915">
        <f>SUM(O935:O936)</f>
        <v>0</v>
      </c>
      <c r="P937" s="1915">
        <f>SUM(K937:O937)</f>
        <v>30920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10340</v>
      </c>
      <c r="L939" s="1915">
        <f>SUM(L937:L938)</f>
        <v>15180</v>
      </c>
      <c r="M939" s="1915">
        <f>SUM(M937:M938)</f>
        <v>5400</v>
      </c>
      <c r="N939" s="1915">
        <f>SUM(N937:N938)</f>
        <v>0</v>
      </c>
      <c r="O939" s="1915">
        <f>SUM(O937:O938)</f>
        <v>0</v>
      </c>
      <c r="P939" s="1915">
        <f>SUM(K939:O939)</f>
        <v>30920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f>IF(OR(K836="",K836=0),"",K939/K836)</f>
        <v>470</v>
      </c>
      <c r="L942" s="1917">
        <f>IF(OR(L836="",L836=0),"",L939/L836)</f>
        <v>690</v>
      </c>
      <c r="M942" s="1917">
        <f>IF(OR(M836="",M836=0),"",M939/M836)</f>
        <v>900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7212</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17103</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40000</v>
      </c>
      <c r="G989" s="1915"/>
      <c r="I989" s="1815" t="s">
        <v>1351</v>
      </c>
      <c r="L989" s="1915">
        <f>'Part VI-Revenues &amp; Expenses'!L220</f>
        <v>0</v>
      </c>
      <c r="M989" s="1915"/>
      <c r="O989" s="1921">
        <f>+Q988/(P836*0.93)</f>
        <v>367.80645161290323</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36000</v>
      </c>
      <c r="G990" s="1915"/>
      <c r="I990" s="1815" t="s">
        <v>1352</v>
      </c>
      <c r="L990" s="1915">
        <f>'Part VI-Revenues &amp; Expenses'!L221</f>
        <v>0</v>
      </c>
      <c r="M990" s="1915"/>
      <c r="O990" s="1921">
        <f>+Q988/(P836*0.93)/12</f>
        <v>30.650537634408604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7500</v>
      </c>
      <c r="G991" s="1915"/>
      <c r="K991" s="1948" t="s">
        <v>187</v>
      </c>
      <c r="L991" s="1915">
        <f>SUM(L989:M990)</f>
        <v>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6000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89500</v>
      </c>
      <c r="G995" s="1915"/>
      <c r="I995" s="1815" t="s">
        <v>1569</v>
      </c>
      <c r="L995" s="1915">
        <f>'Part VI-Revenues &amp; Expenses'!L226</f>
        <v>1800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8000</v>
      </c>
      <c r="M996" s="1915"/>
      <c r="N996" s="1897" t="str">
        <f>IF(Q998="","",IF(Q996&lt;Q998, "WARNING! OE below required minimum.",""))</f>
        <v/>
      </c>
      <c r="O996" s="1815" t="s">
        <v>2135</v>
      </c>
      <c r="Q996" s="1917">
        <f>F995+F1004+F1015+L991+L999+L1008+L1015+Q988</f>
        <v>232503</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0</v>
      </c>
      <c r="M997" s="1915"/>
      <c r="N997" s="1897"/>
      <c r="O997" s="449" t="s">
        <v>2668</v>
      </c>
      <c r="P997" s="1921">
        <f>+Q996/P836</f>
        <v>4650.0600000000004</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1200</v>
      </c>
      <c r="G998" s="1915"/>
      <c r="I998" s="2155" t="str">
        <f>'Part VI-Revenues &amp; Expenses'!I229</f>
        <v>Other (describe here)</v>
      </c>
      <c r="J998" s="2155"/>
      <c r="K998" s="2155"/>
      <c r="L998" s="1915">
        <f>'Part VI-Revenues &amp; Expenses'!L229</f>
        <v>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900</v>
      </c>
      <c r="G999" s="1915"/>
      <c r="K999" s="1948" t="s">
        <v>187</v>
      </c>
      <c r="L999" s="1917">
        <f>SUM(L995:L998)</f>
        <v>9800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3000</v>
      </c>
      <c r="G1002" s="1915"/>
      <c r="I1002" s="1815" t="s">
        <v>1348</v>
      </c>
      <c r="K1002" s="1821" t="s">
        <v>4436</v>
      </c>
      <c r="O1002" s="1815" t="s">
        <v>3360</v>
      </c>
      <c r="Q1002" s="2220">
        <f>'Part VI-Revenues &amp; Expenses'!Q233</f>
        <v>19980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50</v>
      </c>
      <c r="L1003" s="1915">
        <f>'Part VI-Revenues &amp; Expenses'!L234</f>
        <v>30000</v>
      </c>
      <c r="M1003" s="1915"/>
      <c r="N1003" s="1897" t="str">
        <f>IF(Q1002&lt;Q1011, "WARNING! RR proposed is below the DCA required minimum.","")</f>
        <v/>
      </c>
      <c r="O1003" s="449" t="s">
        <v>4435</v>
      </c>
      <c r="Q1003" s="1924">
        <f>Q1002/P1011</f>
        <v>399.6</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5100</v>
      </c>
      <c r="G1004" s="1915"/>
      <c r="I1004" s="1815" t="s">
        <v>1342</v>
      </c>
      <c r="K1004" s="1864">
        <f>L1004/12/P836</f>
        <v>15</v>
      </c>
      <c r="L1004" s="1915">
        <f>'Part VI-Revenues &amp; Expenses'!L235</f>
        <v>9000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25</v>
      </c>
      <c r="L1005" s="1915">
        <f>'Part VI-Revenues &amp; Expenses'!L236</f>
        <v>15000</v>
      </c>
      <c r="M1005" s="1915"/>
      <c r="N1005" s="1897"/>
      <c r="O1005" s="1945" t="s">
        <v>2633</v>
      </c>
      <c r="P1005" s="1817" t="s">
        <v>3633</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4800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4800</v>
      </c>
      <c r="G1007" s="1915"/>
      <c r="I1007" s="2155" t="str">
        <f>'Part VI-Revenues &amp; Expenses'!I238</f>
        <v>Internet</v>
      </c>
      <c r="J1007" s="2155"/>
      <c r="K1007" s="2155"/>
      <c r="L1007" s="1915">
        <f>'Part VI-Revenues &amp; Expenses'!L238</f>
        <v>1200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7200</v>
      </c>
      <c r="G1008" s="1915"/>
      <c r="K1008" s="1948" t="s">
        <v>187</v>
      </c>
      <c r="L1008" s="1917">
        <f>SUM(L1003:L1007)</f>
        <v>60000</v>
      </c>
      <c r="M1008" s="1917"/>
      <c r="N1008" s="1897"/>
      <c r="O1008" s="1822" t="s">
        <v>3314</v>
      </c>
      <c r="P1008" s="1925" t="str">
        <f>CONCATENATE(SUM(MU817:MY817)," units x $",'DCA Underwriting Assumptions'!$Q$69," =")</f>
        <v>6 units x $250 =</v>
      </c>
      <c r="Q1008" s="1925">
        <f>SUM(MU817:MY817)*'DCA Underwriting Assumptions'!$Q$69</f>
        <v>1500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3600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1800</v>
      </c>
      <c r="G1010" s="1915"/>
      <c r="O1010" s="1822" t="s">
        <v>3313</v>
      </c>
      <c r="P1010" s="1925" t="str">
        <f>CONCATENATE(P894," units x $",'DCA Underwriting Assumptions'!$Q$70," =")</f>
        <v>44 units x $420 =</v>
      </c>
      <c r="Q1010" s="1925">
        <f>P894*'DCA Underwriting Assumptions'!$Q$70</f>
        <v>18480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2400</v>
      </c>
      <c r="G1011" s="1915"/>
      <c r="I1011" s="1815" t="s">
        <v>1349</v>
      </c>
      <c r="O1011" s="1904" t="s">
        <v>2636</v>
      </c>
      <c r="P1011" s="1926">
        <f>SUM(MP817:MT817)+SUM(MU817:MY817)+SUM(MZ817:ND817)+P894</f>
        <v>50</v>
      </c>
      <c r="Q1011" s="1926">
        <f>SUM(Q1007:Q1010)</f>
        <v>19980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2400</v>
      </c>
      <c r="G1012" s="1915"/>
      <c r="I1012" s="1815" t="s">
        <v>6825</v>
      </c>
      <c r="L1012" s="1915">
        <f>'Part VI-Revenues &amp; Expenses'!L243</f>
        <v>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4800</v>
      </c>
      <c r="G1013" s="1915"/>
      <c r="I1013" s="1815" t="s">
        <v>143</v>
      </c>
      <c r="L1013" s="1915">
        <f>'Part VI-Revenues &amp; Expenses'!L244</f>
        <v>24000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27000</v>
      </c>
      <c r="G1015" s="1915"/>
      <c r="K1015" s="1948" t="s">
        <v>187</v>
      </c>
      <c r="L1015" s="1917">
        <f>SUM(L1011:L1014)</f>
        <v>24000</v>
      </c>
      <c r="M1015" s="1917"/>
      <c r="O1015" s="1815" t="s">
        <v>2136</v>
      </c>
      <c r="Q1015" s="1917">
        <f>Q996+Q1002</f>
        <v>252483</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4422</v>
      </c>
      <c r="C1019" s="1948"/>
      <c r="H1019" s="1906"/>
      <c r="I1019" s="1927" t="s">
        <v>4423</v>
      </c>
      <c r="K1019" s="1917">
        <f>'Part VI-Revenues &amp; Expenses'!K250</f>
        <v>0</v>
      </c>
      <c r="L1019" s="1917"/>
      <c r="M1019" s="1922" t="s">
        <v>4478</v>
      </c>
      <c r="N1019" s="1916">
        <f>'Part VI-Revenues &amp; Expenses'!N250</f>
        <v>75</v>
      </c>
      <c r="O1019" s="1815" t="s">
        <v>4425</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No</v>
      </c>
      <c r="K1021" s="1927" t="s">
        <v>4481</v>
      </c>
      <c r="L1021" s="1896" t="str">
        <f>'Part VI-Revenues &amp; Expenses'!L252</f>
        <v>No</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4421</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Property is located on a federal reservation and is exempt from property taxation so the tax basis is $0 .   The property qualifies for historic property tax exemption and National Landmark status
Insurance estimate is based on estimate from insurance agency..
The Health Services Coordinator position is being funded by the Veterans Administration Medical Center.  
The Support Services and Activities Director positions are separated in the budget, but the duties will be performed by the same person, called a Peer Counselor in our personnel terminology.  Part of the duties will include working with the HSC on HealthCare coordination and services and part will be working on the Gardening-Healthy Eating program, along with coordinating the monthly programs and enrichment activities.</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2020-042 Freedom's Path at Dublin, ,  County</v>
      </c>
      <c r="L1029" s="1815"/>
      <c r="M1029" s="1815"/>
      <c r="N1029" s="1815" t="str">
        <f>A1029</f>
        <v>PART SEVEN - OPERATING PRO FORMA  -  2020-042 Freedom's Path at Dublin,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2137</v>
      </c>
      <c r="B1033" s="1928">
        <v>0.02</v>
      </c>
      <c r="C1033" s="2120"/>
      <c r="D1033" s="1910" t="s">
        <v>6826</v>
      </c>
      <c r="E1033" s="1910"/>
      <c r="F1033" s="1910"/>
      <c r="G1033" s="2221">
        <f>'Part VII-Pro Forma'!G5</f>
        <v>5000</v>
      </c>
      <c r="H1033" s="1913" t="s">
        <v>1859</v>
      </c>
      <c r="K1033" s="1929">
        <f>'Part VII-Pro Forma'!K5</f>
        <v>-1.4617098099087322E-2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4.9999245757738092E-2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360600</v>
      </c>
      <c r="C1042" s="2122">
        <f>'Part VII-Pro Forma'!C14</f>
        <v>367812</v>
      </c>
      <c r="D1042" s="2122">
        <f>'Part VII-Pro Forma'!D14</f>
        <v>375168.24</v>
      </c>
      <c r="E1042" s="2122">
        <f>'Part VII-Pro Forma'!E14</f>
        <v>382671.60479999997</v>
      </c>
      <c r="F1042" s="2122">
        <f>'Part VII-Pro Forma'!F14</f>
        <v>390325.03689599998</v>
      </c>
      <c r="G1042" s="2122">
        <f>'Part VII-Pro Forma'!G14</f>
        <v>398131.53763392003</v>
      </c>
      <c r="H1042" s="2122">
        <f>'Part VII-Pro Forma'!H14</f>
        <v>406094.16838659841</v>
      </c>
      <c r="I1042" s="2122">
        <f>'Part VII-Pro Forma'!I14</f>
        <v>414216.05175433028</v>
      </c>
      <c r="J1042" s="2122">
        <f>'Part VII-Pro Forma'!J14</f>
        <v>422500.37278941693</v>
      </c>
      <c r="K1042" s="2122">
        <f>'Part VII-Pro Forma'!K14</f>
        <v>430950.38024520531</v>
      </c>
      <c r="N1042" s="1910"/>
      <c r="O1042" s="1910"/>
      <c r="S1042" s="1918" t="s">
        <v>3836</v>
      </c>
    </row>
    <row r="1043" spans="1:19" ht="13.35" customHeight="1">
      <c r="A1043" s="1995" t="s">
        <v>994</v>
      </c>
      <c r="B1043" s="2122">
        <f>'Part VII-Pro Forma'!B15</f>
        <v>7212</v>
      </c>
      <c r="C1043" s="2122">
        <f>'Part VII-Pro Forma'!C15</f>
        <v>7356.24</v>
      </c>
      <c r="D1043" s="2122">
        <f>'Part VII-Pro Forma'!D15</f>
        <v>7503.3648000000003</v>
      </c>
      <c r="E1043" s="2122">
        <f>'Part VII-Pro Forma'!E15</f>
        <v>7653.4320959999995</v>
      </c>
      <c r="F1043" s="2122">
        <f>'Part VII-Pro Forma'!F15</f>
        <v>7806.5007379199997</v>
      </c>
      <c r="G1043" s="2122">
        <f>'Part VII-Pro Forma'!G15</f>
        <v>7962.6307526784003</v>
      </c>
      <c r="H1043" s="2122">
        <f>'Part VII-Pro Forma'!H15</f>
        <v>8121.8833677319681</v>
      </c>
      <c r="I1043" s="2122">
        <f>'Part VII-Pro Forma'!I15</f>
        <v>8284.3210350866066</v>
      </c>
      <c r="J1043" s="2122">
        <f>'Part VII-Pro Forma'!J15</f>
        <v>8450.0074557883381</v>
      </c>
      <c r="K1043" s="2122">
        <f>'Part VII-Pro Forma'!K15</f>
        <v>8619.0076049041054</v>
      </c>
      <c r="N1043" s="1910"/>
      <c r="O1043" s="1910"/>
      <c r="S1043" s="1918"/>
    </row>
    <row r="1044" spans="1:19" ht="13.35" customHeight="1">
      <c r="A1044" s="1995" t="s">
        <v>2342</v>
      </c>
      <c r="B1044" s="2122">
        <f>'Part VII-Pro Forma'!B16</f>
        <v>-25746.840000000004</v>
      </c>
      <c r="C1044" s="2122">
        <f>'Part VII-Pro Forma'!C16</f>
        <v>-26261.776800000003</v>
      </c>
      <c r="D1044" s="2122">
        <f>'Part VII-Pro Forma'!D16</f>
        <v>-26787.012336</v>
      </c>
      <c r="E1044" s="2122">
        <f>'Part VII-Pro Forma'!E16</f>
        <v>-27322.752582720001</v>
      </c>
      <c r="F1044" s="2122">
        <f>'Part VII-Pro Forma'!F16</f>
        <v>-27869.207634374401</v>
      </c>
      <c r="G1044" s="2122">
        <f>'Part VII-Pro Forma'!G16</f>
        <v>-28426.59178706189</v>
      </c>
      <c r="H1044" s="2122">
        <f>'Part VII-Pro Forma'!H16</f>
        <v>-28995.12362280313</v>
      </c>
      <c r="I1044" s="2122">
        <f>'Part VII-Pro Forma'!I16</f>
        <v>-29575.026095259185</v>
      </c>
      <c r="J1044" s="2122">
        <f>'Part VII-Pro Forma'!J16</f>
        <v>-30166.526617164371</v>
      </c>
      <c r="K1044" s="2122">
        <f>'Part VII-Pro Forma'!K16</f>
        <v>-30769.857149507661</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4377</v>
      </c>
      <c r="B1047" s="2122">
        <f>'Part VII-Pro Forma'!B19</f>
        <v>342065.16</v>
      </c>
      <c r="C1047" s="2122">
        <f>'Part VII-Pro Forma'!C19</f>
        <v>348906.4632</v>
      </c>
      <c r="D1047" s="2122">
        <f>'Part VII-Pro Forma'!D19</f>
        <v>355884.59246399999</v>
      </c>
      <c r="E1047" s="2122">
        <f>'Part VII-Pro Forma'!E19</f>
        <v>363002.28431327996</v>
      </c>
      <c r="F1047" s="2122">
        <f>'Part VII-Pro Forma'!F19</f>
        <v>370262.32999954559</v>
      </c>
      <c r="G1047" s="2122">
        <f>'Part VII-Pro Forma'!G19</f>
        <v>377667.57659953652</v>
      </c>
      <c r="H1047" s="2122">
        <f>'Part VII-Pro Forma'!H19</f>
        <v>385220.92813152727</v>
      </c>
      <c r="I1047" s="2122">
        <f>'Part VII-Pro Forma'!I19</f>
        <v>392925.34669415769</v>
      </c>
      <c r="J1047" s="2122">
        <f>'Part VII-Pro Forma'!J19</f>
        <v>400783.85362804087</v>
      </c>
      <c r="K1047" s="2122">
        <f>'Part VII-Pro Forma'!K19</f>
        <v>408799.53070060175</v>
      </c>
      <c r="N1047" s="1910"/>
      <c r="O1047" s="1910"/>
    </row>
    <row r="1048" spans="1:19" ht="13.35" customHeight="1">
      <c r="A1048" s="1995" t="s">
        <v>597</v>
      </c>
      <c r="B1048" s="2122">
        <f>'Part VII-Pro Forma'!B20</f>
        <v>-215400</v>
      </c>
      <c r="C1048" s="2122">
        <f>'Part VII-Pro Forma'!C20</f>
        <v>-221862</v>
      </c>
      <c r="D1048" s="2122">
        <f>'Part VII-Pro Forma'!D20</f>
        <v>-228517.86</v>
      </c>
      <c r="E1048" s="2122">
        <f>'Part VII-Pro Forma'!E20</f>
        <v>-235373.3958</v>
      </c>
      <c r="F1048" s="2122">
        <f>'Part VII-Pro Forma'!F20</f>
        <v>-242434.59767399999</v>
      </c>
      <c r="G1048" s="2122">
        <f>'Part VII-Pro Forma'!G20</f>
        <v>-249707.63560421998</v>
      </c>
      <c r="H1048" s="2122">
        <f>'Part VII-Pro Forma'!H20</f>
        <v>-257198.86467234659</v>
      </c>
      <c r="I1048" s="2122">
        <f>'Part VII-Pro Forma'!I20</f>
        <v>-264914.83061251702</v>
      </c>
      <c r="J1048" s="2122">
        <f>'Part VII-Pro Forma'!J20</f>
        <v>-272862.27553089248</v>
      </c>
      <c r="K1048" s="2122">
        <f>'Part VII-Pro Forma'!K20</f>
        <v>-281048.14379681926</v>
      </c>
      <c r="N1048" s="1910"/>
      <c r="O1048" s="1910"/>
      <c r="Q1048" s="1874">
        <v>1</v>
      </c>
      <c r="R1048" s="1900">
        <f>'Part VII-Pro Forma'!R20</f>
        <v>41755.825473173281</v>
      </c>
      <c r="S1048" s="1900">
        <f>'Part VII-Pro Forma'!S20</f>
        <v>84582.159999999974</v>
      </c>
    </row>
    <row r="1049" spans="1:19" ht="13.35" customHeight="1">
      <c r="A1049" s="1995" t="s">
        <v>1093</v>
      </c>
      <c r="B1049" s="2122">
        <f>'Part VII-Pro Forma'!B21</f>
        <v>-17103</v>
      </c>
      <c r="C1049" s="2122">
        <f>'Part VII-Pro Forma'!C21</f>
        <v>-17445</v>
      </c>
      <c r="D1049" s="2122">
        <f>'Part VII-Pro Forma'!D21</f>
        <v>-17794</v>
      </c>
      <c r="E1049" s="2122">
        <f>'Part VII-Pro Forma'!E21</f>
        <v>-18150</v>
      </c>
      <c r="F1049" s="2122">
        <f>'Part VII-Pro Forma'!F21</f>
        <v>-18513</v>
      </c>
      <c r="G1049" s="2122">
        <f>'Part VII-Pro Forma'!G21</f>
        <v>-18883</v>
      </c>
      <c r="H1049" s="2122">
        <f>'Part VII-Pro Forma'!H21</f>
        <v>-19261</v>
      </c>
      <c r="I1049" s="2122">
        <f>'Part VII-Pro Forma'!I21</f>
        <v>-19646</v>
      </c>
      <c r="J1049" s="2122">
        <f>'Part VII-Pro Forma'!J21</f>
        <v>-20039</v>
      </c>
      <c r="K1049" s="2122">
        <f>'Part VII-Pro Forma'!K21</f>
        <v>-20440</v>
      </c>
      <c r="N1049" s="1910"/>
      <c r="O1049" s="1910"/>
      <c r="Q1049" s="1874">
        <v>2</v>
      </c>
      <c r="R1049" s="1900">
        <f>'Part VII-Pro Forma'!R21</f>
        <v>83511.650946346563</v>
      </c>
      <c r="S1049" s="1900">
        <f>'Part VII-Pro Forma'!S21</f>
        <v>168452.22319999998</v>
      </c>
    </row>
    <row r="1050" spans="1:19" ht="13.35" customHeight="1">
      <c r="A1050" s="1995" t="s">
        <v>1176</v>
      </c>
      <c r="B1050" s="2122">
        <f>'Part VII-Pro Forma'!B22</f>
        <v>-19980</v>
      </c>
      <c r="C1050" s="2122">
        <f>'Part VII-Pro Forma'!C22</f>
        <v>-20579.400000000001</v>
      </c>
      <c r="D1050" s="2122">
        <f>'Part VII-Pro Forma'!D22</f>
        <v>-21196.781999999999</v>
      </c>
      <c r="E1050" s="2122">
        <f>'Part VII-Pro Forma'!E22</f>
        <v>-21832.685460000001</v>
      </c>
      <c r="F1050" s="2122">
        <f>'Part VII-Pro Forma'!F22</f>
        <v>-22487.666023799997</v>
      </c>
      <c r="G1050" s="2122">
        <f>'Part VII-Pro Forma'!G22</f>
        <v>-23162.296004513995</v>
      </c>
      <c r="H1050" s="2122">
        <f>'Part VII-Pro Forma'!H22</f>
        <v>-23857.164884649417</v>
      </c>
      <c r="I1050" s="2122">
        <f>'Part VII-Pro Forma'!I22</f>
        <v>-24572.879831188904</v>
      </c>
      <c r="J1050" s="2122">
        <f>'Part VII-Pro Forma'!J22</f>
        <v>-25310.066226124567</v>
      </c>
      <c r="K1050" s="2122">
        <f>'Part VII-Pro Forma'!K22</f>
        <v>-26069.368212908303</v>
      </c>
      <c r="N1050" s="1910"/>
      <c r="O1050" s="1910"/>
      <c r="Q1050" s="1874">
        <v>3</v>
      </c>
      <c r="R1050" s="1900">
        <f>'Part VII-Pro Forma'!R22</f>
        <v>83511.650946346563</v>
      </c>
      <c r="S1050" s="1900">
        <f>'Part VII-Pro Forma'!S22</f>
        <v>251523.673664</v>
      </c>
    </row>
    <row r="1051" spans="1:19" ht="13.35" customHeight="1">
      <c r="A1051" s="1995" t="s">
        <v>4376</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83511.650946346563</v>
      </c>
      <c r="S1051" s="1900">
        <f>'Part VII-Pro Forma'!S23</f>
        <v>333706.24171727995</v>
      </c>
    </row>
    <row r="1052" spans="1:19" ht="13.35" customHeight="1">
      <c r="A1052" s="1995" t="s">
        <v>1177</v>
      </c>
      <c r="B1052" s="2122">
        <f>'Part VII-Pro Forma'!B24</f>
        <v>89582.159999999974</v>
      </c>
      <c r="C1052" s="2122">
        <f>'Part VII-Pro Forma'!C24</f>
        <v>89020.063200000004</v>
      </c>
      <c r="D1052" s="2122">
        <f>'Part VII-Pro Forma'!D24</f>
        <v>88375.950463999994</v>
      </c>
      <c r="E1052" s="2122">
        <f>'Part VII-Pro Forma'!E24</f>
        <v>87646.203053279954</v>
      </c>
      <c r="F1052" s="2122">
        <f>'Part VII-Pro Forma'!F24</f>
        <v>86827.066301745595</v>
      </c>
      <c r="G1052" s="2122">
        <f>'Part VII-Pro Forma'!G24</f>
        <v>85914.644990802553</v>
      </c>
      <c r="H1052" s="2122">
        <f>'Part VII-Pro Forma'!H24</f>
        <v>84903.898574531253</v>
      </c>
      <c r="I1052" s="2122">
        <f>'Part VII-Pro Forma'!I24</f>
        <v>83791.63625045176</v>
      </c>
      <c r="J1052" s="2122">
        <f>'Part VII-Pro Forma'!J24</f>
        <v>82572.511871023831</v>
      </c>
      <c r="K1052" s="2122">
        <f>'Part VII-Pro Forma'!K24</f>
        <v>81242.018690874189</v>
      </c>
      <c r="N1052" s="1910"/>
      <c r="O1052" s="1910"/>
      <c r="Q1052" s="1874">
        <v>5</v>
      </c>
      <c r="R1052" s="1900">
        <f>'Part VII-Pro Forma'!R24</f>
        <v>83511.650946346563</v>
      </c>
      <c r="S1052" s="1900">
        <f>'Part VII-Pro Forma'!S24</f>
        <v>414905.76396902557</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83511.650946346563</v>
      </c>
      <c r="S1053" s="1900">
        <f>'Part VII-Pro Forma'!S25</f>
        <v>495024.03858832811</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83511.650946346563</v>
      </c>
      <c r="S1054" s="1900">
        <f>'Part VII-Pro Forma'!S26</f>
        <v>573957.67568021431</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83511.650946346563</v>
      </c>
      <c r="S1055" s="1900">
        <f>'Part VII-Pro Forma'!S27</f>
        <v>651599.94260354177</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83511.650946346563</v>
      </c>
      <c r="S1056" s="1900">
        <f>'Part VII-Pro Forma'!S28</f>
        <v>727838.60406762757</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83511.650946346563</v>
      </c>
      <c r="S1057" s="1900">
        <f>'Part VII-Pro Forma'!S29</f>
        <v>802556.75683935557</v>
      </c>
    </row>
    <row r="1058" spans="1:19" ht="13.35" customHeight="1">
      <c r="A1058" s="1995" t="s">
        <v>1141</v>
      </c>
      <c r="B1058" s="2122">
        <f>'Part VII-Pro Forma'!B30</f>
        <v>-5000</v>
      </c>
      <c r="C1058" s="2122">
        <f>'Part VII-Pro Forma'!C30</f>
        <v>-5150</v>
      </c>
      <c r="D1058" s="2122">
        <f>'Part VII-Pro Forma'!D30</f>
        <v>-5304.5</v>
      </c>
      <c r="E1058" s="2122">
        <f>'Part VII-Pro Forma'!E30</f>
        <v>-5463.6350000000002</v>
      </c>
      <c r="F1058" s="2122">
        <f>'Part VII-Pro Forma'!F30</f>
        <v>-5627.5440500000004</v>
      </c>
      <c r="G1058" s="2122">
        <f>'Part VII-Pro Forma'!G30</f>
        <v>-5796.3703715000001</v>
      </c>
      <c r="H1058" s="2122">
        <f>'Part VII-Pro Forma'!H30</f>
        <v>-5970.2614826449999</v>
      </c>
      <c r="I1058" s="2122">
        <f>'Part VII-Pro Forma'!I30</f>
        <v>-6149.3693271243501</v>
      </c>
      <c r="J1058" s="2122">
        <f>'Part VII-Pro Forma'!J30</f>
        <v>-6333.8504069380806</v>
      </c>
      <c r="K1058" s="2122">
        <f>'Part VII-Pro Forma'!K30</f>
        <v>-6523.865919146223</v>
      </c>
      <c r="N1058" s="1910"/>
      <c r="O1058" s="1910"/>
      <c r="Q1058" s="1874">
        <v>11</v>
      </c>
      <c r="R1058" s="1900">
        <f>'Part VII-Pro Forma'!R30</f>
        <v>83511.650946346563</v>
      </c>
      <c r="S1058" s="1900">
        <f>'Part VII-Pro Forma'!S30</f>
        <v>875632.65888722939</v>
      </c>
    </row>
    <row r="1059" spans="1:19" ht="13.35" customHeight="1">
      <c r="A1059" s="1995" t="s">
        <v>3770</v>
      </c>
      <c r="B1059" s="2122">
        <f>'Part VII-Pro Forma'!B31</f>
        <v>-41755.825473173281</v>
      </c>
      <c r="C1059" s="2122">
        <f>'Part VII-Pro Forma'!C31</f>
        <v>-41755.825473173281</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83511.650946346563</v>
      </c>
      <c r="S1059" s="1900">
        <f>'Part VII-Pro Forma'!S31</f>
        <v>946939.55278339318</v>
      </c>
    </row>
    <row r="1060" spans="1:19" ht="13.35" customHeight="1">
      <c r="A1060" s="1995" t="s">
        <v>1142</v>
      </c>
      <c r="B1060" s="2122">
        <f>'Part VII-Pro Forma'!B32</f>
        <v>42826.334526826693</v>
      </c>
      <c r="C1060" s="2122">
        <f>'Part VII-Pro Forma'!C32</f>
        <v>42114.237726826723</v>
      </c>
      <c r="D1060" s="2122">
        <f>'Part VII-Pro Forma'!D32</f>
        <v>83071.450463999994</v>
      </c>
      <c r="E1060" s="2122">
        <f>'Part VII-Pro Forma'!E32</f>
        <v>82182.56805327996</v>
      </c>
      <c r="F1060" s="2122">
        <f>'Part VII-Pro Forma'!F32</f>
        <v>81199.522251745599</v>
      </c>
      <c r="G1060" s="2122">
        <f>'Part VII-Pro Forma'!G32</f>
        <v>80118.274619302552</v>
      </c>
      <c r="H1060" s="2122">
        <f>'Part VII-Pro Forma'!H32</f>
        <v>78933.637091886252</v>
      </c>
      <c r="I1060" s="2122">
        <f>'Part VII-Pro Forma'!I32</f>
        <v>77642.266923327406</v>
      </c>
      <c r="J1060" s="2122">
        <f>'Part VII-Pro Forma'!J32</f>
        <v>76238.661464085744</v>
      </c>
      <c r="K1060" s="2122">
        <f>'Part VII-Pro Forma'!K32</f>
        <v>74718.152771727968</v>
      </c>
      <c r="N1060" s="1910"/>
      <c r="O1060" s="1910"/>
      <c r="Q1060" s="1874">
        <v>13</v>
      </c>
      <c r="R1060" s="1900">
        <f>'Part VII-Pro Forma'!R32</f>
        <v>83511.650946346563</v>
      </c>
      <c r="S1060" s="1900">
        <f>'Part VII-Pro Forma'!S32</f>
        <v>1016345.4831790329</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83511.650946346563</v>
      </c>
      <c r="S1061" s="1900">
        <f>'Part VII-Pro Forma'!S33</f>
        <v>1083712.1081627845</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83511.650946346563</v>
      </c>
      <c r="S1062" s="1900">
        <f>'Part VII-Pro Forma'!S34</f>
        <v>1148896.5043058165</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83511.650946346563</v>
      </c>
      <c r="S1063" s="1900">
        <f>'Part VII-Pro Forma'!S35</f>
        <v>1211974.8536498304</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83511.650946346563</v>
      </c>
      <c r="S1064" s="1900">
        <f>'Part VII-Pro Forma'!S36</f>
        <v>1272799.2652480153</v>
      </c>
    </row>
    <row r="1065" spans="1:19" ht="13.35" customHeight="1">
      <c r="A1065" s="1995" t="s">
        <v>3532</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83511.650946346563</v>
      </c>
      <c r="S1065" s="1900">
        <f>'Part VII-Pro Forma'!S37</f>
        <v>1331213.8460342989</v>
      </c>
    </row>
    <row r="1066" spans="1:19" ht="13.35" customHeight="1">
      <c r="A1066" s="1995" t="s">
        <v>752</v>
      </c>
      <c r="B1066" s="2122">
        <f>'Part VII-Pro Forma'!B38</f>
        <v>1.3548047195256709</v>
      </c>
      <c r="C1066" s="2122">
        <f>'Part VII-Pro Forma'!C38</f>
        <v>1.3425345196978373</v>
      </c>
      <c r="D1066" s="2122">
        <f>'Part VII-Pro Forma'!D38</f>
        <v>1.3303667119060774</v>
      </c>
      <c r="E1066" s="2122">
        <f>'Part VII-Pro Forma'!E38</f>
        <v>1.3183013160712496</v>
      </c>
      <c r="F1066" s="2122">
        <f>'Part VII-Pro Forma'!F38</f>
        <v>1.3063382628151767</v>
      </c>
      <c r="G1066" s="2122">
        <f>'Part VII-Pro Forma'!G38</f>
        <v>1.2944774008510105</v>
      </c>
      <c r="H1066" s="2122">
        <f>'Part VII-Pro Forma'!H38</f>
        <v>1.2827142326886183</v>
      </c>
      <c r="I1066" s="2122">
        <f>'Part VII-Pro Forma'!I38</f>
        <v>1.2710530538069884</v>
      </c>
      <c r="J1066" s="2122">
        <f>'Part VII-Pro Forma'!J38</f>
        <v>1.2594895311244918</v>
      </c>
      <c r="K1066" s="2122">
        <f>'Part VII-Pro Forma'!K38</f>
        <v>1.2480236774067985</v>
      </c>
      <c r="N1066" s="1910"/>
      <c r="O1066" s="1910"/>
      <c r="Q1066" s="1874">
        <v>19</v>
      </c>
      <c r="R1066" s="1900">
        <f>'Part VII-Pro Forma'!R38</f>
        <v>83511.650946346563</v>
      </c>
      <c r="S1066" s="1900">
        <f>'Part VII-Pro Forma'!S38</f>
        <v>1394620.4332762277</v>
      </c>
    </row>
    <row r="1067" spans="1:19" ht="13.35" customHeight="1">
      <c r="A1067" s="1995" t="s">
        <v>2549</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83511.650946346563</v>
      </c>
      <c r="S1067" s="1900">
        <f>'Part VII-Pro Forma'!S39</f>
        <v>1455288.5253234487</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40001.321547576328</v>
      </c>
      <c r="C1071" s="2122">
        <f>'Part VII-Pro Forma'!C43</f>
        <v>7.2031980380415916E-10</v>
      </c>
      <c r="D1071" s="2122">
        <f>'Part VII-Pro Forma'!D43</f>
        <v>7.8010599226358671E-10</v>
      </c>
      <c r="E1071" s="2122">
        <f>'Part VII-Pro Forma'!E43</f>
        <v>8.4485440487904759E-10</v>
      </c>
      <c r="F1071" s="2122">
        <f>'Part VII-Pro Forma'!F43</f>
        <v>9.1497690380816089E-10</v>
      </c>
      <c r="G1071" s="2122">
        <f>'Part VII-Pro Forma'!G43</f>
        <v>9.9091953556450075E-10</v>
      </c>
      <c r="H1071" s="2122">
        <f>'Part VII-Pro Forma'!H43</f>
        <v>1.0731653683022813E-9</v>
      </c>
      <c r="I1071" s="2122">
        <f>'Part VII-Pro Forma'!I43</f>
        <v>1.1622375645942705E-9</v>
      </c>
      <c r="J1071" s="2122">
        <f>'Part VII-Pro Forma'!J43</f>
        <v>1.2587027092487565E-9</v>
      </c>
      <c r="K1071" s="2122">
        <f>'Part VII-Pro Forma'!K43</f>
        <v>1.3631744133336799E-9</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439569.38785010943</v>
      </c>
      <c r="C1074" s="2122">
        <f>'Part VII-Pro Forma'!C46</f>
        <v>448360.77560711151</v>
      </c>
      <c r="D1074" s="2122">
        <f>'Part VII-Pro Forma'!D46</f>
        <v>457327.9911192538</v>
      </c>
      <c r="E1074" s="2122">
        <f>'Part VII-Pro Forma'!E46</f>
        <v>466474.55094163888</v>
      </c>
      <c r="F1074" s="2122">
        <f>'Part VII-Pro Forma'!F46</f>
        <v>475804.04196047172</v>
      </c>
      <c r="G1074" s="2122">
        <f>'Part VII-Pro Forma'!G46</f>
        <v>485320.12279968098</v>
      </c>
      <c r="H1074" s="2122">
        <f>'Part VII-Pro Forma'!H46</f>
        <v>495026.52525567473</v>
      </c>
      <c r="I1074" s="2122">
        <f>'Part VII-Pro Forma'!I46</f>
        <v>504927.05576078827</v>
      </c>
      <c r="J1074" s="2122">
        <f>'Part VII-Pro Forma'!J46</f>
        <v>515025.59687600395</v>
      </c>
      <c r="K1074" s="2122">
        <f>'Part VII-Pro Forma'!K46</f>
        <v>525326.10881352401</v>
      </c>
      <c r="N1074" s="1910"/>
      <c r="O1074" s="1910"/>
    </row>
    <row r="1075" spans="1:19" ht="13.35" customHeight="1">
      <c r="A1075" s="1995" t="s">
        <v>994</v>
      </c>
      <c r="B1075" s="2122">
        <f>'Part VII-Pro Forma'!B47</f>
        <v>8791.3877570021887</v>
      </c>
      <c r="C1075" s="2122">
        <f>'Part VII-Pro Forma'!C47</f>
        <v>8967.2155121422311</v>
      </c>
      <c r="D1075" s="2122">
        <f>'Part VII-Pro Forma'!D47</f>
        <v>9146.5598223850757</v>
      </c>
      <c r="E1075" s="2122">
        <f>'Part VII-Pro Forma'!E47</f>
        <v>9329.4910188327776</v>
      </c>
      <c r="F1075" s="2122">
        <f>'Part VII-Pro Forma'!F47</f>
        <v>9516.0808392094332</v>
      </c>
      <c r="G1075" s="2122">
        <f>'Part VII-Pro Forma'!G47</f>
        <v>9706.4024559936206</v>
      </c>
      <c r="H1075" s="2122">
        <f>'Part VII-Pro Forma'!H47</f>
        <v>9900.5305051134947</v>
      </c>
      <c r="I1075" s="2122">
        <f>'Part VII-Pro Forma'!I47</f>
        <v>10098.541115215765</v>
      </c>
      <c r="J1075" s="2122">
        <f>'Part VII-Pro Forma'!J47</f>
        <v>10300.511937520079</v>
      </c>
      <c r="K1075" s="2122">
        <f>'Part VII-Pro Forma'!K47</f>
        <v>10506.52217627048</v>
      </c>
      <c r="N1075" s="1910"/>
      <c r="O1075" s="1910"/>
    </row>
    <row r="1076" spans="1:19" ht="13.35" customHeight="1">
      <c r="A1076" s="1995" t="s">
        <v>2342</v>
      </c>
      <c r="B1076" s="2122">
        <f>'Part VII-Pro Forma'!B48</f>
        <v>-31385.254292497819</v>
      </c>
      <c r="C1076" s="2122">
        <f>'Part VII-Pro Forma'!C48</f>
        <v>-32012.959378347765</v>
      </c>
      <c r="D1076" s="2122">
        <f>'Part VII-Pro Forma'!D48</f>
        <v>-32653.218565914725</v>
      </c>
      <c r="E1076" s="2122">
        <f>'Part VII-Pro Forma'!E48</f>
        <v>-33306.282937233016</v>
      </c>
      <c r="F1076" s="2122">
        <f>'Part VII-Pro Forma'!F48</f>
        <v>-33972.408595977686</v>
      </c>
      <c r="G1076" s="2122">
        <f>'Part VII-Pro Forma'!G48</f>
        <v>-34651.856767897225</v>
      </c>
      <c r="H1076" s="2122">
        <f>'Part VII-Pro Forma'!H48</f>
        <v>-35344.893903255179</v>
      </c>
      <c r="I1076" s="2122">
        <f>'Part VII-Pro Forma'!I48</f>
        <v>-36051.791781320288</v>
      </c>
      <c r="J1076" s="2122">
        <f>'Part VII-Pro Forma'!J48</f>
        <v>-36772.827616946684</v>
      </c>
      <c r="K1076" s="2122">
        <f>'Part VII-Pro Forma'!K48</f>
        <v>-37508.284169285616</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4377</v>
      </c>
      <c r="B1079" s="2122">
        <f>'Part VII-Pro Forma'!B51</f>
        <v>416975.52131461381</v>
      </c>
      <c r="C1079" s="2122">
        <f>'Part VII-Pro Forma'!C51</f>
        <v>425315.03174090595</v>
      </c>
      <c r="D1079" s="2122">
        <f>'Part VII-Pro Forma'!D51</f>
        <v>433821.33237572416</v>
      </c>
      <c r="E1079" s="2122">
        <f>'Part VII-Pro Forma'!E51</f>
        <v>442497.75902323867</v>
      </c>
      <c r="F1079" s="2122">
        <f>'Part VII-Pro Forma'!F51</f>
        <v>451347.71420370345</v>
      </c>
      <c r="G1079" s="2122">
        <f>'Part VII-Pro Forma'!G51</f>
        <v>460374.66848777741</v>
      </c>
      <c r="H1079" s="2122">
        <f>'Part VII-Pro Forma'!H51</f>
        <v>469582.16185753304</v>
      </c>
      <c r="I1079" s="2122">
        <f>'Part VII-Pro Forma'!I51</f>
        <v>478973.80509468372</v>
      </c>
      <c r="J1079" s="2122">
        <f>'Part VII-Pro Forma'!J51</f>
        <v>488553.28119657736</v>
      </c>
      <c r="K1079" s="2122">
        <f>'Part VII-Pro Forma'!K51</f>
        <v>498324.34682050889</v>
      </c>
      <c r="N1079" s="1910"/>
      <c r="O1079" s="1910"/>
    </row>
    <row r="1080" spans="1:19" ht="13.35" customHeight="1">
      <c r="A1080" s="1995" t="s">
        <v>597</v>
      </c>
      <c r="B1080" s="2122">
        <f>'Part VII-Pro Forma'!B52</f>
        <v>-289479.58811072382</v>
      </c>
      <c r="C1080" s="2122">
        <f>'Part VII-Pro Forma'!C52</f>
        <v>-298163.97575404553</v>
      </c>
      <c r="D1080" s="2122">
        <f>'Part VII-Pro Forma'!D52</f>
        <v>-307108.89502666687</v>
      </c>
      <c r="E1080" s="2122">
        <f>'Part VII-Pro Forma'!E52</f>
        <v>-316322.16187746689</v>
      </c>
      <c r="F1080" s="2122">
        <f>'Part VII-Pro Forma'!F52</f>
        <v>-325811.82673379092</v>
      </c>
      <c r="G1080" s="2122">
        <f>'Part VII-Pro Forma'!G52</f>
        <v>-335586.18153580464</v>
      </c>
      <c r="H1080" s="2122">
        <f>'Part VII-Pro Forma'!H52</f>
        <v>-345653.76698187873</v>
      </c>
      <c r="I1080" s="2122">
        <f>'Part VII-Pro Forma'!I52</f>
        <v>-356023.3799913351</v>
      </c>
      <c r="J1080" s="2122">
        <f>'Part VII-Pro Forma'!J52</f>
        <v>-366704.08139107516</v>
      </c>
      <c r="K1080" s="2122">
        <f>'Part VII-Pro Forma'!K52</f>
        <v>-377705.20383280743</v>
      </c>
      <c r="N1080" s="1910"/>
      <c r="O1080" s="1910"/>
    </row>
    <row r="1081" spans="1:19" ht="13.35" customHeight="1">
      <c r="A1081" s="1995" t="s">
        <v>1093</v>
      </c>
      <c r="B1081" s="2122">
        <f>'Part VII-Pro Forma'!B53</f>
        <v>-20849</v>
      </c>
      <c r="C1081" s="2122">
        <f>'Part VII-Pro Forma'!C53</f>
        <v>-21266</v>
      </c>
      <c r="D1081" s="2122">
        <f>'Part VII-Pro Forma'!D53</f>
        <v>-21691</v>
      </c>
      <c r="E1081" s="2122">
        <f>'Part VII-Pro Forma'!E53</f>
        <v>-22125</v>
      </c>
      <c r="F1081" s="2122">
        <f>'Part VII-Pro Forma'!F53</f>
        <v>-22567</v>
      </c>
      <c r="G1081" s="2122">
        <f>'Part VII-Pro Forma'!G53</f>
        <v>-23019</v>
      </c>
      <c r="H1081" s="2122">
        <f>'Part VII-Pro Forma'!H53</f>
        <v>-23479</v>
      </c>
      <c r="I1081" s="2122">
        <f>'Part VII-Pro Forma'!I53</f>
        <v>-23949</v>
      </c>
      <c r="J1081" s="2122">
        <f>'Part VII-Pro Forma'!J53</f>
        <v>-24428</v>
      </c>
      <c r="K1081" s="2122">
        <f>'Part VII-Pro Forma'!K53</f>
        <v>-24916</v>
      </c>
      <c r="N1081" s="1910"/>
      <c r="O1081" s="1910"/>
    </row>
    <row r="1082" spans="1:19" ht="13.35" customHeight="1">
      <c r="A1082" s="1995" t="s">
        <v>1176</v>
      </c>
      <c r="B1082" s="2122">
        <f>'Part VII-Pro Forma'!B54</f>
        <v>-26851.449259295554</v>
      </c>
      <c r="C1082" s="2122">
        <f>'Part VII-Pro Forma'!C54</f>
        <v>-27656.992737074419</v>
      </c>
      <c r="D1082" s="2122">
        <f>'Part VII-Pro Forma'!D54</f>
        <v>-28486.702519186649</v>
      </c>
      <c r="E1082" s="2122">
        <f>'Part VII-Pro Forma'!E54</f>
        <v>-29341.303594762248</v>
      </c>
      <c r="F1082" s="2122">
        <f>'Part VII-Pro Forma'!F54</f>
        <v>-30221.542702605118</v>
      </c>
      <c r="G1082" s="2122">
        <f>'Part VII-Pro Forma'!G54</f>
        <v>-31128.188983683274</v>
      </c>
      <c r="H1082" s="2122">
        <f>'Part VII-Pro Forma'!H54</f>
        <v>-32062.034653193765</v>
      </c>
      <c r="I1082" s="2122">
        <f>'Part VII-Pro Forma'!I54</f>
        <v>-33023.895692789578</v>
      </c>
      <c r="J1082" s="2122">
        <f>'Part VII-Pro Forma'!J54</f>
        <v>-34014.612563573268</v>
      </c>
      <c r="K1082" s="2122">
        <f>'Part VII-Pro Forma'!K54</f>
        <v>-35035.050940480462</v>
      </c>
      <c r="N1082" s="1910"/>
      <c r="O1082" s="1910"/>
      <c r="Q1082" s="1874">
        <v>10</v>
      </c>
      <c r="R1082" s="1900">
        <f>-SUM(B1088:K1088)</f>
        <v>0</v>
      </c>
      <c r="S1082" s="1900">
        <f>SUM(B1089:K1089)+R1082</f>
        <v>0</v>
      </c>
    </row>
    <row r="1083" spans="1:19" ht="13.35" customHeight="1">
      <c r="A1083" s="1995" t="s">
        <v>4376</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79795.483944594438</v>
      </c>
      <c r="C1084" s="2122">
        <f>'Part VII-Pro Forma'!C56</f>
        <v>78228.063249786006</v>
      </c>
      <c r="D1084" s="2122">
        <f>'Part VII-Pro Forma'!D56</f>
        <v>76534.734829870635</v>
      </c>
      <c r="E1084" s="2122">
        <f>'Part VII-Pro Forma'!E56</f>
        <v>74709.293551009527</v>
      </c>
      <c r="F1084" s="2122">
        <f>'Part VII-Pro Forma'!F56</f>
        <v>72747.344767307412</v>
      </c>
      <c r="G1084" s="2122">
        <f>'Part VII-Pro Forma'!G56</f>
        <v>70641.297968289495</v>
      </c>
      <c r="H1084" s="2122">
        <f>'Part VII-Pro Forma'!H56</f>
        <v>68387.360222460542</v>
      </c>
      <c r="I1084" s="2122">
        <f>'Part VII-Pro Forma'!I56</f>
        <v>65977.529410559044</v>
      </c>
      <c r="J1084" s="2122">
        <f>'Part VII-Pro Forma'!J56</f>
        <v>63406.58724192893</v>
      </c>
      <c r="K1084" s="2122">
        <f>'Part VII-Pro Forma'!K56</f>
        <v>60668.092047220998</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-6719.5818967206096</v>
      </c>
      <c r="C1090" s="2122">
        <f>'Part VII-Pro Forma'!C62</f>
        <v>-6921.1693536222283</v>
      </c>
      <c r="D1090" s="2122">
        <f>'Part VII-Pro Forma'!D62</f>
        <v>-7128.8044342308949</v>
      </c>
      <c r="E1090" s="2122">
        <f>'Part VII-Pro Forma'!E62</f>
        <v>-7342.6685672578224</v>
      </c>
      <c r="F1090" s="2122">
        <f>'Part VII-Pro Forma'!F62</f>
        <v>-7562.9486242755574</v>
      </c>
      <c r="G1090" s="2122">
        <f>'Part VII-Pro Forma'!G62</f>
        <v>-7562.9486242755574</v>
      </c>
      <c r="H1090" s="2122">
        <f>'Part VII-Pro Forma'!H62</f>
        <v>-7562.9486242755574</v>
      </c>
      <c r="I1090" s="2122">
        <f>'Part VII-Pro Forma'!I62</f>
        <v>-7562.9486242755574</v>
      </c>
      <c r="J1090" s="2122">
        <f>'Part VII-Pro Forma'!J62</f>
        <v>0</v>
      </c>
      <c r="K1090" s="2122">
        <f>'Part VII-Pro Forma'!K62</f>
        <v>0</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73075.902047873824</v>
      </c>
      <c r="C1092" s="2122">
        <f>'Part VII-Pro Forma'!C64</f>
        <v>71306.893896163776</v>
      </c>
      <c r="D1092" s="2122">
        <f>'Part VII-Pro Forma'!D64</f>
        <v>69405.930395639734</v>
      </c>
      <c r="E1092" s="2122">
        <f>'Part VII-Pro Forma'!E64</f>
        <v>67366.62498375171</v>
      </c>
      <c r="F1092" s="2122">
        <f>'Part VII-Pro Forma'!F64</f>
        <v>65184.396143031852</v>
      </c>
      <c r="G1092" s="2122">
        <f>'Part VII-Pro Forma'!G64</f>
        <v>63078.349344013935</v>
      </c>
      <c r="H1092" s="2122">
        <f>'Part VII-Pro Forma'!H64</f>
        <v>60824.411598184983</v>
      </c>
      <c r="I1092" s="2122">
        <f>'Part VII-Pro Forma'!I64</f>
        <v>58414.580786283484</v>
      </c>
      <c r="J1092" s="2122">
        <f>'Part VII-Pro Forma'!J64</f>
        <v>63406.58724192893</v>
      </c>
      <c r="K1092" s="2122">
        <f>'Part VII-Pro Forma'!K64</f>
        <v>60668.092047220998</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1.2366554217355026</v>
      </c>
      <c r="C1098" s="2122">
        <f>'Part VII-Pro Forma'!C70</f>
        <v>1.2253846163970499</v>
      </c>
      <c r="D1098" s="2122">
        <f>'Part VII-Pro Forma'!D70</f>
        <v>1.2142110433348912</v>
      </c>
      <c r="E1098" s="2122">
        <f>'Part VII-Pro Forma'!E70</f>
        <v>1.2031311489203043</v>
      </c>
      <c r="F1098" s="2122">
        <f>'Part VII-Pro Forma'!F70</f>
        <v>1.1921481082430079</v>
      </c>
      <c r="G1098" s="2122">
        <f>'Part VII-Pro Forma'!G70</f>
        <v>1.181255451320808</v>
      </c>
      <c r="H1098" s="2122">
        <f>'Part VII-Pro Forma'!H70</f>
        <v>1.1704592381151184</v>
      </c>
      <c r="I1098" s="2122">
        <f>'Part VII-Pro Forma'!I70</f>
        <v>1.159753327802455</v>
      </c>
      <c r="J1098" s="2122">
        <f>'Part VII-Pro Forma'!J70</f>
        <v>1.1491404923136781</v>
      </c>
      <c r="K1098" s="2122">
        <f>'Part VII-Pro Forma'!K70</f>
        <v>1.1386204158755777</v>
      </c>
      <c r="N1098" s="1910"/>
      <c r="O1098" s="1910"/>
    </row>
    <row r="1099" spans="1:18" ht="13.35" customHeight="1">
      <c r="A1099" s="1995" t="s">
        <v>2549</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1.476317217332992E-9</v>
      </c>
      <c r="C1103" s="2122">
        <f>'Part VII-Pro Forma'!C75</f>
        <v>1.5988508182630659E-9</v>
      </c>
      <c r="D1103" s="2122">
        <f>'Part VII-Pro Forma'!D75</f>
        <v>1.7315546476376842E-9</v>
      </c>
      <c r="E1103" s="2122">
        <f>'Part VII-Pro Forma'!E75</f>
        <v>1.8752728294018639E-9</v>
      </c>
      <c r="F1103" s="2122">
        <f>'Part VII-Pro Forma'!F75</f>
        <v>2.0309195493717424E-9</v>
      </c>
      <c r="G1103" s="2122">
        <f>'Part VII-Pro Forma'!G75</f>
        <v>2.1994848703353274E-9</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535832.6309897945</v>
      </c>
      <c r="C1106" s="2122">
        <f>'Part VII-Pro Forma'!C78</f>
        <v>546549.28360959038</v>
      </c>
      <c r="D1106" s="2122">
        <f>'Part VII-Pro Forma'!D78</f>
        <v>557480.26928178221</v>
      </c>
      <c r="E1106" s="2122">
        <f>'Part VII-Pro Forma'!E78</f>
        <v>568629.87466741772</v>
      </c>
      <c r="F1106" s="2122">
        <f>'Part VII-Pro Forma'!F78</f>
        <v>580002.47216076613</v>
      </c>
      <c r="G1106" s="2122">
        <f>'Part VII-Pro Forma'!G78</f>
        <v>591602.5216039815</v>
      </c>
      <c r="H1106" s="2122">
        <f>'Part VII-Pro Forma'!H78</f>
        <v>603434.5720360612</v>
      </c>
      <c r="I1106" s="2122">
        <f>'Part VII-Pro Forma'!I78</f>
        <v>615503.26347678225</v>
      </c>
      <c r="J1106" s="2122">
        <f>'Part VII-Pro Forma'!J78</f>
        <v>627813.328746318</v>
      </c>
      <c r="K1106" s="2122">
        <f>'Part VII-Pro Forma'!K78</f>
        <v>640369.59532124433</v>
      </c>
      <c r="N1106" s="1910"/>
      <c r="O1106" s="1910"/>
    </row>
    <row r="1107" spans="1:19" ht="13.35" customHeight="1">
      <c r="A1107" s="1995" t="s">
        <v>994</v>
      </c>
      <c r="B1107" s="2122">
        <f>'Part VII-Pro Forma'!B79</f>
        <v>10716.65261979589</v>
      </c>
      <c r="C1107" s="2122">
        <f>'Part VII-Pro Forma'!C79</f>
        <v>10930.985672191808</v>
      </c>
      <c r="D1107" s="2122">
        <f>'Part VII-Pro Forma'!D79</f>
        <v>11149.605385635645</v>
      </c>
      <c r="E1107" s="2122">
        <f>'Part VII-Pro Forma'!E79</f>
        <v>11372.597493348356</v>
      </c>
      <c r="F1107" s="2122">
        <f>'Part VII-Pro Forma'!F79</f>
        <v>11600.049443215323</v>
      </c>
      <c r="G1107" s="2122">
        <f>'Part VII-Pro Forma'!G79</f>
        <v>11832.05043207963</v>
      </c>
      <c r="H1107" s="2122">
        <f>'Part VII-Pro Forma'!H79</f>
        <v>12068.691440721223</v>
      </c>
      <c r="I1107" s="2122">
        <f>'Part VII-Pro Forma'!I79</f>
        <v>12310.065269535646</v>
      </c>
      <c r="J1107" s="2122">
        <f>'Part VII-Pro Forma'!J79</f>
        <v>12556.266574926361</v>
      </c>
      <c r="K1107" s="2122">
        <f>'Part VII-Pro Forma'!K79</f>
        <v>12807.391906424886</v>
      </c>
      <c r="N1107" s="1910"/>
      <c r="O1107" s="1910"/>
    </row>
    <row r="1108" spans="1:19" ht="13.35" customHeight="1">
      <c r="A1108" s="1995" t="s">
        <v>2342</v>
      </c>
      <c r="B1108" s="2122">
        <f>'Part VII-Pro Forma'!B80</f>
        <v>-38258.449852671329</v>
      </c>
      <c r="C1108" s="2122">
        <f>'Part VII-Pro Forma'!C80</f>
        <v>-39023.618849724757</v>
      </c>
      <c r="D1108" s="2122">
        <f>'Part VII-Pro Forma'!D80</f>
        <v>-39804.091226719254</v>
      </c>
      <c r="E1108" s="2122">
        <f>'Part VII-Pro Forma'!E80</f>
        <v>-40600.173051253631</v>
      </c>
      <c r="F1108" s="2122">
        <f>'Part VII-Pro Forma'!F80</f>
        <v>-41412.176512278711</v>
      </c>
      <c r="G1108" s="2122">
        <f>'Part VII-Pro Forma'!G80</f>
        <v>-42240.420042524282</v>
      </c>
      <c r="H1108" s="2122">
        <f>'Part VII-Pro Forma'!H80</f>
        <v>-43085.228443374777</v>
      </c>
      <c r="I1108" s="2122">
        <f>'Part VII-Pro Forma'!I80</f>
        <v>-43946.933012242254</v>
      </c>
      <c r="J1108" s="2122">
        <f>'Part VII-Pro Forma'!J80</f>
        <v>-44825.871672487105</v>
      </c>
      <c r="K1108" s="2122">
        <f>'Part VII-Pro Forma'!K80</f>
        <v>-45722.389105936847</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4377</v>
      </c>
      <c r="B1111" s="2122">
        <f>'Part VII-Pro Forma'!B83</f>
        <v>508290.83375691902</v>
      </c>
      <c r="C1111" s="2122">
        <f>'Part VII-Pro Forma'!C83</f>
        <v>518456.65043205745</v>
      </c>
      <c r="D1111" s="2122">
        <f>'Part VII-Pro Forma'!D83</f>
        <v>528825.78344069864</v>
      </c>
      <c r="E1111" s="2122">
        <f>'Part VII-Pro Forma'!E83</f>
        <v>539402.29910951247</v>
      </c>
      <c r="F1111" s="2122">
        <f>'Part VII-Pro Forma'!F83</f>
        <v>550190.34509170277</v>
      </c>
      <c r="G1111" s="2122">
        <f>'Part VII-Pro Forma'!G83</f>
        <v>561194.15199353686</v>
      </c>
      <c r="H1111" s="2122">
        <f>'Part VII-Pro Forma'!H83</f>
        <v>572418.03503340774</v>
      </c>
      <c r="I1111" s="2122">
        <f>'Part VII-Pro Forma'!I83</f>
        <v>583866.39573407569</v>
      </c>
      <c r="J1111" s="2122">
        <f>'Part VII-Pro Forma'!J83</f>
        <v>595543.72364875721</v>
      </c>
      <c r="K1111" s="2122">
        <f>'Part VII-Pro Forma'!K83</f>
        <v>607454.59812173236</v>
      </c>
      <c r="N1111" s="1910"/>
      <c r="O1111" s="1910"/>
    </row>
    <row r="1112" spans="1:19" ht="13.35" customHeight="1">
      <c r="A1112" s="1995" t="s">
        <v>597</v>
      </c>
      <c r="B1112" s="2122">
        <f>'Part VII-Pro Forma'!B84</f>
        <v>-389036.35994779161</v>
      </c>
      <c r="C1112" s="2122">
        <f>'Part VII-Pro Forma'!C84</f>
        <v>-400707.45074622531</v>
      </c>
      <c r="D1112" s="2122">
        <f>'Part VII-Pro Forma'!D84</f>
        <v>-412728.67426861211</v>
      </c>
      <c r="E1112" s="2122">
        <f>'Part VII-Pro Forma'!E84</f>
        <v>-425110.53449667047</v>
      </c>
      <c r="F1112" s="2122">
        <f>'Part VII-Pro Forma'!F84</f>
        <v>-437863.85053157056</v>
      </c>
      <c r="G1112" s="2122">
        <f>'Part VII-Pro Forma'!G84</f>
        <v>-450999.76604751765</v>
      </c>
      <c r="H1112" s="2122">
        <f>'Part VII-Pro Forma'!H84</f>
        <v>-464529.75902894326</v>
      </c>
      <c r="I1112" s="2122">
        <f>'Part VII-Pro Forma'!I84</f>
        <v>-478465.65179981152</v>
      </c>
      <c r="J1112" s="2122">
        <f>'Part VII-Pro Forma'!J84</f>
        <v>-492819.62135380582</v>
      </c>
      <c r="K1112" s="2122">
        <f>'Part VII-Pro Forma'!K84</f>
        <v>-507604.20999441994</v>
      </c>
      <c r="N1112" s="1910"/>
      <c r="O1112" s="1910"/>
    </row>
    <row r="1113" spans="1:19" ht="13.35" customHeight="1">
      <c r="A1113" s="1995" t="s">
        <v>1093</v>
      </c>
      <c r="B1113" s="2122">
        <f>'Part VII-Pro Forma'!B85</f>
        <v>-25415</v>
      </c>
      <c r="C1113" s="2122">
        <f>'Part VII-Pro Forma'!C85</f>
        <v>-25923</v>
      </c>
      <c r="D1113" s="2122">
        <f>'Part VII-Pro Forma'!D85</f>
        <v>-26441</v>
      </c>
      <c r="E1113" s="2122">
        <f>'Part VII-Pro Forma'!E85</f>
        <v>-26970</v>
      </c>
      <c r="F1113" s="2122">
        <f>'Part VII-Pro Forma'!F85</f>
        <v>-27510</v>
      </c>
      <c r="G1113" s="2122">
        <f>'Part VII-Pro Forma'!G85</f>
        <v>-28060</v>
      </c>
      <c r="H1113" s="2122">
        <f>'Part VII-Pro Forma'!H85</f>
        <v>-28621</v>
      </c>
      <c r="I1113" s="2122">
        <f>'Part VII-Pro Forma'!I85</f>
        <v>-29193</v>
      </c>
      <c r="J1113" s="2122">
        <f>'Part VII-Pro Forma'!J85</f>
        <v>-29777</v>
      </c>
      <c r="K1113" s="2122">
        <f>'Part VII-Pro Forma'!K85</f>
        <v>-30373</v>
      </c>
      <c r="N1113" s="1910"/>
      <c r="O1113" s="1910"/>
    </row>
    <row r="1114" spans="1:19" ht="13.35" customHeight="1">
      <c r="A1114" s="1995" t="s">
        <v>1176</v>
      </c>
      <c r="B1114" s="2122">
        <f>'Part VII-Pro Forma'!B86</f>
        <v>-36086.10246869488</v>
      </c>
      <c r="C1114" s="2122">
        <f>'Part VII-Pro Forma'!C86</f>
        <v>-37168.685542755717</v>
      </c>
      <c r="D1114" s="2122">
        <f>'Part VII-Pro Forma'!D86</f>
        <v>-38283.746109038395</v>
      </c>
      <c r="E1114" s="2122">
        <f>'Part VII-Pro Forma'!E86</f>
        <v>-39432.258492309549</v>
      </c>
      <c r="F1114" s="2122">
        <f>'Part VII-Pro Forma'!F86</f>
        <v>-40615.226247078826</v>
      </c>
      <c r="G1114" s="2122">
        <f>'Part VII-Pro Forma'!G86</f>
        <v>-41833.683034491194</v>
      </c>
      <c r="H1114" s="2122">
        <f>'Part VII-Pro Forma'!H86</f>
        <v>-43088.693525525938</v>
      </c>
      <c r="I1114" s="2122">
        <f>'Part VII-Pro Forma'!I86</f>
        <v>-44381.35433129171</v>
      </c>
      <c r="J1114" s="2122">
        <f>'Part VII-Pro Forma'!J86</f>
        <v>-45712.794961230458</v>
      </c>
      <c r="K1114" s="2122">
        <f>'Part VII-Pro Forma'!K86</f>
        <v>-47084.178810067366</v>
      </c>
      <c r="N1114" s="1910"/>
      <c r="O1114" s="1910"/>
      <c r="Q1114" s="1874">
        <v>10</v>
      </c>
      <c r="R1114" s="1900">
        <f>-SUM(B1120:K1120)</f>
        <v>0</v>
      </c>
      <c r="S1114" s="1900">
        <f>SUM(B1121:K1121)+R1114</f>
        <v>0</v>
      </c>
    </row>
    <row r="1115" spans="1:19" ht="13.35" customHeight="1">
      <c r="A1115" s="1995" t="s">
        <v>4376</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57753.371340432524</v>
      </c>
      <c r="C1116" s="2122">
        <f>'Part VII-Pro Forma'!C88</f>
        <v>54657.51414307642</v>
      </c>
      <c r="D1116" s="2122">
        <f>'Part VII-Pro Forma'!D88</f>
        <v>51372.363063048128</v>
      </c>
      <c r="E1116" s="2122">
        <f>'Part VII-Pro Forma'!E88</f>
        <v>47889.506120532453</v>
      </c>
      <c r="F1116" s="2122">
        <f>'Part VII-Pro Forma'!F88</f>
        <v>44201.268313053384</v>
      </c>
      <c r="G1116" s="2122">
        <f>'Part VII-Pro Forma'!G88</f>
        <v>40300.702911528009</v>
      </c>
      <c r="H1116" s="2122">
        <f>'Part VII-Pro Forma'!H88</f>
        <v>36178.582478938544</v>
      </c>
      <c r="I1116" s="2122">
        <f>'Part VII-Pro Forma'!I88</f>
        <v>31826.389602972464</v>
      </c>
      <c r="J1116" s="2122">
        <f>'Part VII-Pro Forma'!J88</f>
        <v>27234.307333720928</v>
      </c>
      <c r="K1116" s="2122">
        <f>'Part VII-Pro Forma'!K88</f>
        <v>22393.209317245048</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57753.371340432524</v>
      </c>
      <c r="C1123" s="2122">
        <f>'Part VII-Pro Forma'!C95</f>
        <v>54657.51414307642</v>
      </c>
      <c r="D1123" s="2122">
        <f>'Part VII-Pro Forma'!D95</f>
        <v>51372.363063048128</v>
      </c>
      <c r="E1123" s="2122">
        <f>'Part VII-Pro Forma'!E95</f>
        <v>47889.506120532453</v>
      </c>
      <c r="F1123" s="2122">
        <f>'Part VII-Pro Forma'!F95</f>
        <v>44201.268313053384</v>
      </c>
      <c r="G1123" s="2122">
        <f>'Part VII-Pro Forma'!G95</f>
        <v>40300.702911528009</v>
      </c>
      <c r="H1123" s="2122">
        <f>'Part VII-Pro Forma'!H95</f>
        <v>36178.582478938544</v>
      </c>
      <c r="I1123" s="2122">
        <f>'Part VII-Pro Forma'!I95</f>
        <v>31826.389602972464</v>
      </c>
      <c r="J1123" s="2122">
        <f>'Part VII-Pro Forma'!J95</f>
        <v>27234.307333720928</v>
      </c>
      <c r="K1123" s="2122">
        <f>'Part VII-Pro Forma'!K95</f>
        <v>22393.209317245048</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1.1281877227937243</v>
      </c>
      <c r="C1129" s="2122">
        <f>'Part VII-Pro Forma'!C101</f>
        <v>1.1178473823397135</v>
      </c>
      <c r="D1129" s="2122">
        <f>'Part VII-Pro Forma'!D101</f>
        <v>1.1075965965903316</v>
      </c>
      <c r="E1129" s="2122">
        <f>'Part VII-Pro Forma'!E101</f>
        <v>1.0974328782559402</v>
      </c>
      <c r="F1129" s="2122">
        <f>'Part VII-Pro Forma'!F101</f>
        <v>1.0873561709957422</v>
      </c>
      <c r="G1129" s="2122">
        <f>'Part VII-Pro Forma'!G101</f>
        <v>1.0773684195540403</v>
      </c>
      <c r="H1129" s="2122">
        <f>'Part VII-Pro Forma'!H101</f>
        <v>1.0674672150782558</v>
      </c>
      <c r="I1129" s="2122">
        <f>'Part VII-Pro Forma'!I101</f>
        <v>1.0576523245589089</v>
      </c>
      <c r="J1129" s="2122">
        <f>'Part VII-Pro Forma'!J101</f>
        <v>1.0479216190192842</v>
      </c>
      <c r="K1129" s="2122">
        <f>'Part VII-Pro Forma'!K101</f>
        <v>1.0382749737818167</v>
      </c>
      <c r="N1129" s="1910"/>
      <c r="O1129" s="1910"/>
    </row>
    <row r="1130" spans="1:15" ht="13.35" customHeight="1">
      <c r="A1130" s="1995" t="s">
        <v>2549</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2341</v>
      </c>
      <c r="B1136" s="2122">
        <f>'Part VII-Pro Forma'!B108</f>
        <v>653176.98722766922</v>
      </c>
      <c r="C1136" s="2122">
        <f>'Part VII-Pro Forma'!C108</f>
        <v>666240.52697222249</v>
      </c>
      <c r="D1136" s="2122">
        <f>'Part VII-Pro Forma'!D108</f>
        <v>679565.33751166705</v>
      </c>
      <c r="E1136" s="2122">
        <f>'Part VII-Pro Forma'!E108</f>
        <v>693156.64426190045</v>
      </c>
      <c r="F1136" s="2122">
        <f>'Part VII-Pro Forma'!F108</f>
        <v>707019.77714713837</v>
      </c>
      <c r="G1136" s="2122"/>
      <c r="H1136" s="2122"/>
      <c r="I1136" s="2122"/>
      <c r="J1136" s="2122"/>
      <c r="K1136" s="2122"/>
      <c r="N1136" s="1910"/>
      <c r="O1136" s="1910"/>
    </row>
    <row r="1137" spans="1:19" ht="13.35" customHeight="1">
      <c r="A1137" s="1995" t="s">
        <v>994</v>
      </c>
      <c r="B1137" s="2122">
        <f>'Part VII-Pro Forma'!B109</f>
        <v>13063.539744553385</v>
      </c>
      <c r="C1137" s="2122">
        <f>'Part VII-Pro Forma'!C109</f>
        <v>13324.81053944445</v>
      </c>
      <c r="D1137" s="2122">
        <f>'Part VII-Pro Forma'!D109</f>
        <v>13591.306750233342</v>
      </c>
      <c r="E1137" s="2122">
        <f>'Part VII-Pro Forma'!E109</f>
        <v>13863.13288523801</v>
      </c>
      <c r="F1137" s="2122">
        <f>'Part VII-Pro Forma'!F109</f>
        <v>14140.395542942768</v>
      </c>
      <c r="G1137" s="2122"/>
      <c r="H1137" s="2122"/>
      <c r="I1137" s="2122"/>
      <c r="J1137" s="2122"/>
      <c r="K1137" s="2122"/>
      <c r="N1137" s="1910"/>
      <c r="O1137" s="1910"/>
    </row>
    <row r="1138" spans="1:19" ht="13.35" customHeight="1">
      <c r="A1138" s="1995" t="s">
        <v>2342</v>
      </c>
      <c r="B1138" s="2122">
        <f>'Part VII-Pro Forma'!B110</f>
        <v>-46636.836888055586</v>
      </c>
      <c r="C1138" s="2122">
        <f>'Part VII-Pro Forma'!C110</f>
        <v>-47569.573625816687</v>
      </c>
      <c r="D1138" s="2122">
        <f>'Part VII-Pro Forma'!D110</f>
        <v>-48520.965098333028</v>
      </c>
      <c r="E1138" s="2122">
        <f>'Part VII-Pro Forma'!E110</f>
        <v>-49491.384400299699</v>
      </c>
      <c r="F1138" s="2122">
        <f>'Part VII-Pro Forma'!F110</f>
        <v>-50481.212088305685</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4377</v>
      </c>
      <c r="B1141" s="2122">
        <f>'Part VII-Pro Forma'!B113</f>
        <v>619603.69008416706</v>
      </c>
      <c r="C1141" s="2122">
        <f>'Part VII-Pro Forma'!C113</f>
        <v>631995.7638858502</v>
      </c>
      <c r="D1141" s="2122">
        <f>'Part VII-Pro Forma'!D113</f>
        <v>644635.67916356726</v>
      </c>
      <c r="E1141" s="2122">
        <f>'Part VII-Pro Forma'!E113</f>
        <v>657528.39274683874</v>
      </c>
      <c r="F1141" s="2122">
        <f>'Part VII-Pro Forma'!F113</f>
        <v>670678.96060177544</v>
      </c>
      <c r="G1141" s="2122"/>
      <c r="H1141" s="2122"/>
      <c r="I1141" s="2122"/>
      <c r="J1141" s="2122"/>
      <c r="K1141" s="2122"/>
      <c r="N1141" s="1910"/>
      <c r="O1141" s="1910"/>
    </row>
    <row r="1142" spans="1:19" ht="13.35" customHeight="1">
      <c r="A1142" s="1995" t="s">
        <v>597</v>
      </c>
      <c r="B1142" s="2122">
        <f>'Part VII-Pro Forma'!B114</f>
        <v>-522832.33629425254</v>
      </c>
      <c r="C1142" s="2122">
        <f>'Part VII-Pro Forma'!C114</f>
        <v>-538517.3063830802</v>
      </c>
      <c r="D1142" s="2122">
        <f>'Part VII-Pro Forma'!D114</f>
        <v>-554672.82557457255</v>
      </c>
      <c r="E1142" s="2122">
        <f>'Part VII-Pro Forma'!E114</f>
        <v>-571313.01034180971</v>
      </c>
      <c r="F1142" s="2122">
        <f>'Part VII-Pro Forma'!F114</f>
        <v>-588452.40065206389</v>
      </c>
      <c r="G1142" s="2122"/>
      <c r="H1142" s="2122"/>
      <c r="I1142" s="2122"/>
      <c r="J1142" s="2122"/>
      <c r="K1142" s="2122"/>
      <c r="N1142" s="1910"/>
      <c r="O1142" s="1910"/>
    </row>
    <row r="1143" spans="1:19" ht="13.35" customHeight="1">
      <c r="A1143" s="1995" t="s">
        <v>1093</v>
      </c>
      <c r="B1143" s="2122">
        <f>'Part VII-Pro Forma'!B115</f>
        <v>-30980</v>
      </c>
      <c r="C1143" s="2122">
        <f>'Part VII-Pro Forma'!C115</f>
        <v>-31600</v>
      </c>
      <c r="D1143" s="2122">
        <f>'Part VII-Pro Forma'!D115</f>
        <v>-32232</v>
      </c>
      <c r="E1143" s="2122">
        <f>'Part VII-Pro Forma'!E115</f>
        <v>-32876</v>
      </c>
      <c r="F1143" s="2122">
        <f>'Part VII-Pro Forma'!F115</f>
        <v>-33534</v>
      </c>
      <c r="G1143" s="2122"/>
      <c r="H1143" s="2122"/>
      <c r="I1143" s="2122"/>
      <c r="J1143" s="2122"/>
      <c r="K1143" s="2122"/>
      <c r="N1143" s="1910"/>
      <c r="O1143" s="1910"/>
    </row>
    <row r="1144" spans="1:19" ht="13.35" customHeight="1">
      <c r="A1144" s="1995" t="s">
        <v>1176</v>
      </c>
      <c r="B1144" s="2122">
        <f>'Part VII-Pro Forma'!B116</f>
        <v>-48496.704174369392</v>
      </c>
      <c r="C1144" s="2122">
        <f>'Part VII-Pro Forma'!C116</f>
        <v>-49951.60529960048</v>
      </c>
      <c r="D1144" s="2122">
        <f>'Part VII-Pro Forma'!D116</f>
        <v>-51450.15345858848</v>
      </c>
      <c r="E1144" s="2122">
        <f>'Part VII-Pro Forma'!E116</f>
        <v>-52993.658062346141</v>
      </c>
      <c r="F1144" s="2122">
        <f>'Part VII-Pro Forma'!F116</f>
        <v>-54583.467804216518</v>
      </c>
      <c r="G1144" s="2122"/>
      <c r="H1144" s="2122"/>
      <c r="I1144" s="2122"/>
      <c r="J1144" s="2122"/>
      <c r="K1144" s="2122"/>
      <c r="N1144" s="1910"/>
      <c r="O1144" s="1910"/>
      <c r="Q1144" s="1874">
        <v>10</v>
      </c>
      <c r="R1144" s="1900">
        <f>-SUM(B1150:K1150)</f>
        <v>0</v>
      </c>
      <c r="S1144" s="1900">
        <f>SUM(B1151:K1151)+R1144</f>
        <v>0</v>
      </c>
    </row>
    <row r="1145" spans="1:19" ht="13.35" customHeight="1">
      <c r="A1145" s="1995" t="s">
        <v>4376</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17294.649615545124</v>
      </c>
      <c r="C1146" s="2122">
        <f>'Part VII-Pro Forma'!C118</f>
        <v>11926.852203169525</v>
      </c>
      <c r="D1146" s="2122">
        <f>'Part VII-Pro Forma'!D118</f>
        <v>6280.7001304062287</v>
      </c>
      <c r="E1146" s="2122">
        <f>'Part VII-Pro Forma'!E118</f>
        <v>345.72434268288634</v>
      </c>
      <c r="F1146" s="2122">
        <f>'Part VII-Pro Forma'!F118</f>
        <v>-5890.9078545049706</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17294.649615545124</v>
      </c>
      <c r="C1153" s="2122">
        <f>'Part VII-Pro Forma'!C125</f>
        <v>11926.852203169525</v>
      </c>
      <c r="D1153" s="2122">
        <f>'Part VII-Pro Forma'!D125</f>
        <v>6280.7001304062287</v>
      </c>
      <c r="E1153" s="2122">
        <f>'Part VII-Pro Forma'!E125</f>
        <v>345.72434268288634</v>
      </c>
      <c r="F1153" s="2122">
        <f>'Part VII-Pro Forma'!F125</f>
        <v>-5890.9078545049706</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1.0287139133792333</v>
      </c>
      <c r="C1159" s="2122">
        <f>'Part VII-Pro Forma'!C131</f>
        <v>1.0192347204938941</v>
      </c>
      <c r="D1159" s="2122">
        <f>'Part VII-Pro Forma'!D131</f>
        <v>1.0098388832807708</v>
      </c>
      <c r="E1159" s="2122">
        <f>'Part VII-Pro Forma'!E131</f>
        <v>1.0005260703900216</v>
      </c>
      <c r="F1159" s="2122">
        <f>'Part VII-Pro Forma'!F131</f>
        <v>0.9912929792928169</v>
      </c>
      <c r="G1159" s="2122"/>
      <c r="H1159" s="2122"/>
      <c r="I1159" s="2122"/>
      <c r="J1159" s="2122"/>
      <c r="K1159" s="2122"/>
      <c r="N1159" s="1910"/>
      <c r="O1159" s="1910"/>
    </row>
    <row r="1160" spans="1:15" ht="13.35" customHeight="1">
      <c r="A1160" s="1995" t="s">
        <v>2549</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Asset Management Fee is discontinued after year 18, as it is contemplated that by that point, the Limited Partner will have exited the Partnership.</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2020-042 Freedom's Path at Dublin,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394"/>
      <c r="S1182" s="2394"/>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394"/>
      <c r="S1183" s="2394"/>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The project falls below the DCA stipulated cost caps, and since the buildings are existing, the site development questions are limited to the one new construction building.  This makes the feasibililty quite strong.  The Developer, Architect, and Contractor have extensive experience with historic rehabilitation, and this project does not offer any extraordinary issues.  The rehabilitation of the building, the new construction of the larger family units and this application as a whole have been prepared in total conformance with DCA's requirements and dictates.  As such, the project is feasible, viable and in conformation with the Qualified Allocation Plan.</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2633</v>
      </c>
      <c r="F1210" s="1945" t="s">
        <v>3337</v>
      </c>
      <c r="G1210" s="1945" t="s">
        <v>4453</v>
      </c>
      <c r="H1210" s="1945"/>
      <c r="I1210" s="1945"/>
      <c r="K1210" s="1945" t="s">
        <v>3337</v>
      </c>
      <c r="L1210" s="1945" t="s">
        <v>4452</v>
      </c>
      <c r="M1210" s="1945"/>
      <c r="N1210" s="1945"/>
      <c r="P1210" s="1849"/>
      <c r="Q1210" s="1849"/>
      <c r="R1210" s="2399"/>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172377.60000000001</v>
      </c>
      <c r="H1211" s="1908" t="str">
        <f>'Part VIII-Threshold Criteria'!H41</f>
        <v xml:space="preserve">x  units = </v>
      </c>
      <c r="I1211" s="1875" t="str">
        <f>IF(F1211="","",F1211*G1211)</f>
        <v/>
      </c>
      <c r="J1211" s="1815"/>
      <c r="K1211" s="1934" t="str">
        <f>'Part VIII-Threshold Criteria'!K41</f>
        <v/>
      </c>
      <c r="L1211" s="2126">
        <f>'Part VIII-Threshold Criteria'!L41</f>
        <v>189615.36000000002</v>
      </c>
      <c r="M1211" s="1908" t="str">
        <f>'Part VIII-Threshold Criteria'!M41</f>
        <v xml:space="preserve">x  units = </v>
      </c>
      <c r="N1211" s="1875" t="str">
        <f>IF(K1211="","",K1211*L1211)</f>
        <v/>
      </c>
      <c r="O1211" s="1939"/>
      <c r="P1211" s="1849"/>
      <c r="Q1211" s="1849"/>
      <c r="R1211" s="2399"/>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213757.4</v>
      </c>
      <c r="H1212" s="1908" t="str">
        <f>'Part VIII-Threshold Criteria'!H42</f>
        <v xml:space="preserve">x  units = </v>
      </c>
      <c r="I1212" s="1875" t="str">
        <f>IF(F1212="","",F1212*G1212)</f>
        <v/>
      </c>
      <c r="J1212" s="1815"/>
      <c r="K1212" s="1934" t="str">
        <f>'Part VIII-Threshold Criteria'!K42</f>
        <v/>
      </c>
      <c r="L1212" s="2126">
        <f>'Part VIII-Threshold Criteria'!L42</f>
        <v>235133.14</v>
      </c>
      <c r="M1212" s="1908" t="str">
        <f>'Part VIII-Threshold Criteria'!M42</f>
        <v xml:space="preserve">x  units = </v>
      </c>
      <c r="N1212" s="1875" t="str">
        <f>IF(K1212="","",K1212*L1212)</f>
        <v/>
      </c>
      <c r="O1212" s="1939"/>
      <c r="P1212" s="2103" t="str">
        <f>'Part VIII-Threshold Criteria'!P42</f>
        <v>Macon</v>
      </c>
      <c r="Q1212" s="2103"/>
      <c r="R1212" s="2399"/>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255794.49999999997</v>
      </c>
      <c r="H1213" s="1908" t="str">
        <f>'Part VIII-Threshold Criteria'!H43</f>
        <v xml:space="preserve">x  units = </v>
      </c>
      <c r="I1213" s="1875" t="str">
        <f>IF(F1213="","",F1213*G1213)</f>
        <v/>
      </c>
      <c r="J1213" s="1815"/>
      <c r="K1213" s="1934" t="str">
        <f>'Part VIII-Threshold Criteria'!K43</f>
        <v/>
      </c>
      <c r="L1213" s="2126">
        <f>'Part VIII-Threshold Criteria'!L43</f>
        <v>281373.95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291740.90000000002</v>
      </c>
      <c r="H1214" s="1908" t="str">
        <f>'Part VIII-Threshold Criteria'!H44</f>
        <v xml:space="preserve">x  units = </v>
      </c>
      <c r="I1214" s="1875" t="str">
        <f>IF(F1214="","",F1214*G1214)</f>
        <v/>
      </c>
      <c r="J1214" s="1815"/>
      <c r="K1214" s="1934" t="str">
        <f>'Part VIII-Threshold Criteria'!K44</f>
        <v/>
      </c>
      <c r="L1214" s="2126">
        <f>'Part VIII-Threshold Criteria'!L44</f>
        <v>320914.99000000005</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343805</v>
      </c>
      <c r="H1215" s="1908" t="str">
        <f>'Part VIII-Threshold Criteria'!H45</f>
        <v xml:space="preserve">x  units = </v>
      </c>
      <c r="I1215" s="1875" t="str">
        <f>IF(F1215="","",F1215*G1215)</f>
        <v/>
      </c>
      <c r="J1215" s="1815"/>
      <c r="K1215" s="1934" t="str">
        <f>'Part VIII-Threshold Criteria'!K45</f>
        <v/>
      </c>
      <c r="L1215" s="2126">
        <f>'Part VIII-Threshold Criteria'!L45</f>
        <v>378185.50000000006</v>
      </c>
      <c r="M1215" s="1908" t="str">
        <f>'Part VIII-Threshold Criteria'!M45</f>
        <v xml:space="preserve">x  units = </v>
      </c>
      <c r="N1215" s="1875" t="str">
        <f>IF(K1215="","",K1215*L1215)</f>
        <v/>
      </c>
      <c r="O1215" s="1939"/>
      <c r="P1215" s="2127">
        <f>'Part IV-A-Uses of Funds'!$G$132</f>
        <v>9105000</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399"/>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148159.19999999998</v>
      </c>
      <c r="H1218" s="1908" t="str">
        <f>'Part VIII-Threshold Criteria'!H48</f>
        <v xml:space="preserve">x  units = </v>
      </c>
      <c r="I1218" s="1875" t="str">
        <f>IF(F1218="","",F1218*G1218)</f>
        <v/>
      </c>
      <c r="J1218" s="1815"/>
      <c r="K1218" s="1934" t="s">
        <v>4485</v>
      </c>
      <c r="L1218" s="2126">
        <v>159979.19999999998</v>
      </c>
      <c r="M1218" s="1908" t="s">
        <v>6814</v>
      </c>
      <c r="N1218" s="1875" t="str">
        <f>IF(K1218="","",K1218*L1218)</f>
        <v/>
      </c>
      <c r="P1218" s="2127">
        <f>'Part VIII-Threshold Criteria'!P48</f>
        <v>8803500</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185459.34999999998</v>
      </c>
      <c r="H1219" s="1908" t="str">
        <f>'Part VIII-Threshold Criteria'!H49</f>
        <v xml:space="preserve">x  units = </v>
      </c>
      <c r="I1219" s="1875" t="str">
        <f>IF(F1219="","",F1219*G1219)</f>
        <v/>
      </c>
      <c r="J1219" s="1815"/>
      <c r="K1219" s="1934" t="s">
        <v>4485</v>
      </c>
      <c r="L1219" s="2126">
        <v>198564.74999999997</v>
      </c>
      <c r="M1219" s="1908" t="s">
        <v>6814</v>
      </c>
      <c r="N1219" s="1875" t="str">
        <f>IF(K1219="","",K1219*L1219)</f>
        <v/>
      </c>
      <c r="P1219" s="1822" t="s">
        <v>3774</v>
      </c>
      <c r="Q1219" s="1822"/>
      <c r="AC1219" s="450"/>
      <c r="AD1219" s="450"/>
      <c r="AE1219" s="450"/>
      <c r="AF1219" s="450"/>
    </row>
    <row r="1220" spans="1:32" ht="10.5" customHeight="1">
      <c r="A1220" s="1956"/>
      <c r="B1220" s="1956"/>
      <c r="C1220" s="1956"/>
      <c r="D1220" s="1933" t="s">
        <v>2377</v>
      </c>
      <c r="E1220" s="1229">
        <v>2</v>
      </c>
      <c r="F1220" s="1934">
        <f>'Part VIII-Threshold Criteria'!F50</f>
        <v>6</v>
      </c>
      <c r="G1220" s="2126">
        <f>'Part VIII-Threshold Criteria'!G50</f>
        <v>224804.3</v>
      </c>
      <c r="H1220" s="1908" t="str">
        <f>'Part VIII-Threshold Criteria'!H50</f>
        <v xml:space="preserve">x 6 units = </v>
      </c>
      <c r="I1220" s="1875">
        <f>IF(F1220="","",F1220*G1220)</f>
        <v>1348825.7999999998</v>
      </c>
      <c r="J1220" s="1815"/>
      <c r="K1220" s="1934" t="s">
        <v>4485</v>
      </c>
      <c r="L1220" s="2126">
        <v>237737.19999999998</v>
      </c>
      <c r="M1220" s="1908" t="s">
        <v>6814</v>
      </c>
      <c r="N1220" s="1875" t="str">
        <f>IF(K1220="","",K1220*L1220)</f>
        <v/>
      </c>
      <c r="O1220" s="1896"/>
      <c r="P1220" s="2132"/>
      <c r="Q1220" s="2132"/>
      <c r="R1220" s="2399"/>
      <c r="S1220" s="1952" t="s">
        <v>6928</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262540.30000000005</v>
      </c>
      <c r="H1221" s="1908" t="str">
        <f>'Part VIII-Threshold Criteria'!H51</f>
        <v xml:space="preserve">x  units = </v>
      </c>
      <c r="I1221" s="1875" t="str">
        <f>IF(F1221="","",F1221*G1221)</f>
        <v/>
      </c>
      <c r="J1221" s="1815"/>
      <c r="K1221" s="1934" t="s">
        <v>4485</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311483.7</v>
      </c>
      <c r="H1222" s="1908" t="str">
        <f>'Part VIII-Threshold Criteria'!H52</f>
        <v xml:space="preserve">x  units = </v>
      </c>
      <c r="I1222" s="1875" t="str">
        <f>IF(F1222="","",F1222*G1222)</f>
        <v/>
      </c>
      <c r="J1222" s="1815"/>
      <c r="K1222" s="1934" t="s">
        <v>4485</v>
      </c>
      <c r="L1222" s="2126">
        <v>319916.30000000005</v>
      </c>
      <c r="M1222" s="1908" t="s">
        <v>6814</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3261</v>
      </c>
      <c r="E1223" s="1910"/>
      <c r="F1223" s="2129">
        <f>SUM(F1218:F1222)</f>
        <v>6</v>
      </c>
      <c r="G1223" s="2130"/>
      <c r="H1223" s="1938"/>
      <c r="I1223" s="2131">
        <f>SUM(I1218:I1222)</f>
        <v>1348825.7999999998</v>
      </c>
      <c r="J1223" s="1910"/>
      <c r="K1223" s="2129">
        <f>SUM(K1218:K1222)</f>
        <v>0</v>
      </c>
      <c r="L1223" s="1910"/>
      <c r="M1223" s="1938"/>
      <c r="N1223" s="2131">
        <f>SUM(N1218:N1222)</f>
        <v>0</v>
      </c>
      <c r="O1223" s="1896"/>
      <c r="P1223" s="1898" t="s">
        <v>3140</v>
      </c>
      <c r="Q1223" s="1898" t="s">
        <v>251</v>
      </c>
      <c r="R1223" s="2399"/>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399"/>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130016.4</v>
      </c>
      <c r="H1225" s="1908" t="str">
        <f>'Part VIII-Threshold Criteria'!H55</f>
        <v xml:space="preserve">x  units = </v>
      </c>
      <c r="I1225" s="1875" t="str">
        <f>IF(F1225="","",F1225*G1225)</f>
        <v/>
      </c>
      <c r="J1225" s="1815"/>
      <c r="K1225" s="1934" t="str">
        <f>'Part VIII-Threshold Criteria'!K55</f>
        <v/>
      </c>
      <c r="L1225" s="2126">
        <f>'Part VIII-Threshold Criteria'!L55</f>
        <v>143018.04</v>
      </c>
      <c r="M1225" s="1908" t="str">
        <f>'Part VIII-Threshold Criteria'!M55</f>
        <v xml:space="preserve">x  units = </v>
      </c>
      <c r="N1225" s="1875" t="str">
        <f>IF(K1225="","",K1225*L1225)</f>
        <v/>
      </c>
      <c r="O1225" s="1896"/>
      <c r="P1225" s="1916">
        <f>'Part VIII-Threshold Criteria'!P55</f>
        <v>2</v>
      </c>
      <c r="Q1225" s="1916">
        <f>'Part VIII-Threshold Criteria'!Q55</f>
        <v>0</v>
      </c>
      <c r="R1225" s="2399"/>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170090.75</v>
      </c>
      <c r="H1226" s="1908" t="str">
        <f>'Part VIII-Threshold Criteria'!H56</f>
        <v xml:space="preserve">x  units = </v>
      </c>
      <c r="I1226" s="1875" t="str">
        <f>IF(F1226="","",F1226*G1226)</f>
        <v/>
      </c>
      <c r="J1226" s="1815"/>
      <c r="K1226" s="1934" t="str">
        <f>'Part VIII-Threshold Criteria'!K56</f>
        <v/>
      </c>
      <c r="L1226" s="2126">
        <f>'Part VIII-Threshold Criteria'!L56</f>
        <v>187099.82500000001</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215255.84999999998</v>
      </c>
      <c r="H1227" s="1908" t="str">
        <f>'Part VIII-Threshold Criteria'!H57</f>
        <v xml:space="preserve">x  units = </v>
      </c>
      <c r="I1227" s="1875" t="str">
        <f>IF(F1227="","",F1227*G1227)</f>
        <v/>
      </c>
      <c r="J1227" s="1815"/>
      <c r="K1227" s="1934" t="str">
        <f>'Part VIII-Threshold Criteria'!K57</f>
        <v/>
      </c>
      <c r="L1227" s="2126">
        <f>'Part VIII-Threshold Criteria'!L57</f>
        <v>236781.435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271257.80000000005</v>
      </c>
      <c r="H1228" s="1908" t="str">
        <f>'Part VIII-Threshold Criteria'!H58</f>
        <v xml:space="preserve">x  units = </v>
      </c>
      <c r="I1228" s="1875" t="str">
        <f>IF(F1228="","",F1228*G1228)</f>
        <v/>
      </c>
      <c r="J1228" s="1815"/>
      <c r="K1228" s="1934" t="str">
        <f>'Part VIII-Threshold Criteria'!K58</f>
        <v/>
      </c>
      <c r="L1228" s="2126">
        <f>'Part VIII-Threshold Criteria'!L58</f>
        <v>298383.58000000007</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336185.30000000005</v>
      </c>
      <c r="H1229" s="1908" t="str">
        <f>'Part VIII-Threshold Criteria'!H59</f>
        <v xml:space="preserve">x  units = </v>
      </c>
      <c r="I1229" s="1875" t="str">
        <f>IF(F1229="","",F1229*G1229)</f>
        <v/>
      </c>
      <c r="J1229" s="1815"/>
      <c r="K1229" s="1934" t="str">
        <f>'Part VIII-Threshold Criteria'!K59</f>
        <v/>
      </c>
      <c r="L1229" s="2126">
        <f>'Part VIII-Threshold Criteria'!L59</f>
        <v>369803.83000000007</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399"/>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134386.79999999999</v>
      </c>
      <c r="H1232" s="1908" t="str">
        <f>'Part VIII-Threshold Criteria'!H62</f>
        <v xml:space="preserve">x  units = </v>
      </c>
      <c r="I1232" s="1875" t="str">
        <f>IF(F1232="","",F1232*G1232)</f>
        <v/>
      </c>
      <c r="J1232" s="1815"/>
      <c r="K1232" s="1934">
        <f>'Part VIII-Threshold Criteria'!K62</f>
        <v>22</v>
      </c>
      <c r="L1232" s="2126">
        <f>'Part VIII-Threshold Criteria'!L62</f>
        <v>147825.48000000001</v>
      </c>
      <c r="M1232" s="1908" t="str">
        <f>'Part VIII-Threshold Criteria'!M62</f>
        <v xml:space="preserve">x 22 units = </v>
      </c>
      <c r="N1232" s="1875">
        <f>IF(K1232="","",K1232*L1232)</f>
        <v>3252160.56</v>
      </c>
      <c r="O1232" s="1896"/>
      <c r="R1232" s="2399"/>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180301.59999999998</v>
      </c>
      <c r="H1233" s="1908" t="str">
        <f>'Part VIII-Threshold Criteria'!H63</f>
        <v xml:space="preserve">x  units = </v>
      </c>
      <c r="I1233" s="1875" t="str">
        <f>IF(F1233="","",F1233*G1233)</f>
        <v/>
      </c>
      <c r="J1233" s="1815"/>
      <c r="K1233" s="1934">
        <f>'Part VIII-Threshold Criteria'!K63</f>
        <v>22</v>
      </c>
      <c r="L1233" s="2126">
        <f>'Part VIII-Threshold Criteria'!L63</f>
        <v>198331.75999999998</v>
      </c>
      <c r="M1233" s="1908" t="str">
        <f>'Part VIII-Threshold Criteria'!M63</f>
        <v xml:space="preserve">x 22 units = </v>
      </c>
      <c r="N1233" s="1875">
        <f>IF(K1233="","",K1233*L1233)</f>
        <v>4363298.72</v>
      </c>
      <c r="O1233" s="1896"/>
      <c r="P1233" s="2133">
        <f>'Part VIII-Threshold Criteria'!P63</f>
        <v>8964285.0799999982</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231815.84999999998</v>
      </c>
      <c r="H1234" s="1908" t="str">
        <f>'Part VIII-Threshold Criteria'!H64</f>
        <v xml:space="preserve">x  units = </v>
      </c>
      <c r="I1234" s="1875" t="str">
        <f>IF(F1234="","",F1234*G1234)</f>
        <v/>
      </c>
      <c r="J1234" s="1815"/>
      <c r="K1234" s="1934" t="str">
        <f>'Part VIII-Threshold Criteria'!K64</f>
        <v/>
      </c>
      <c r="L1234" s="2126">
        <f>'Part VIII-Threshold Criteria'!L64</f>
        <v>254997.435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295650.30000000005</v>
      </c>
      <c r="H1235" s="1908" t="str">
        <f>'Part VIII-Threshold Criteria'!H65</f>
        <v xml:space="preserve">x  units = </v>
      </c>
      <c r="I1235" s="1875" t="str">
        <f>IF(F1235="","",F1235*G1235)</f>
        <v/>
      </c>
      <c r="J1235" s="1815"/>
      <c r="K1235" s="1934" t="str">
        <f>'Part VIII-Threshold Criteria'!K65</f>
        <v/>
      </c>
      <c r="L1235" s="2126">
        <f>'Part VIII-Threshold Criteria'!L65</f>
        <v>325215.33000000007</v>
      </c>
      <c r="M1235" s="1908" t="str">
        <f>'Part VIII-Threshold Criteria'!M65</f>
        <v xml:space="preserve">x  units = </v>
      </c>
      <c r="N1235" s="1875" t="str">
        <f>IF(K1235="","",K1235*L1235)</f>
        <v/>
      </c>
      <c r="P1235" s="1986" t="s">
        <v>6811</v>
      </c>
      <c r="Q1235" s="1986"/>
      <c r="R1235" s="2399"/>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369562.60000000003</v>
      </c>
      <c r="H1236" s="1908" t="str">
        <f>'Part VIII-Threshold Criteria'!H66</f>
        <v xml:space="preserve">x  units = </v>
      </c>
      <c r="I1236" s="1875" t="str">
        <f>IF(F1236="","",F1236*G1236)</f>
        <v/>
      </c>
      <c r="J1236" s="1815"/>
      <c r="K1236" s="1934" t="str">
        <f>'Part VIII-Threshold Criteria'!K66</f>
        <v/>
      </c>
      <c r="L1236" s="2126">
        <f>'Part VIII-Threshold Criteria'!L66</f>
        <v>406518.86000000004</v>
      </c>
      <c r="M1236" s="1908" t="str">
        <f>'Part VIII-Threshold Criteria'!M66</f>
        <v xml:space="preserve">x  units = </v>
      </c>
      <c r="N1236" s="1875" t="str">
        <f>IF(K1236="","",K1236*L1236)</f>
        <v/>
      </c>
      <c r="O1236" s="1896"/>
      <c r="P1236" s="1986"/>
      <c r="Q1236" s="1986"/>
      <c r="R1236" s="2399"/>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0</v>
      </c>
      <c r="G1237" s="2130"/>
      <c r="H1237" s="1938"/>
      <c r="I1237" s="2131">
        <f>SUM(I1232:I1236)</f>
        <v>0</v>
      </c>
      <c r="J1237" s="1910"/>
      <c r="K1237" s="2129">
        <f>SUM(K1232:K1236)</f>
        <v>44</v>
      </c>
      <c r="L1237" s="1910"/>
      <c r="M1237" s="1938"/>
      <c r="N1237" s="2131">
        <f>SUM(N1232:N1236)</f>
        <v>7615459.2799999993</v>
      </c>
      <c r="O1237" s="1896"/>
      <c r="P1237" s="1986"/>
      <c r="Q1237" s="1986"/>
      <c r="R1237" s="2399"/>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399"/>
      <c r="S1238" s="2399"/>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6</v>
      </c>
      <c r="G1239" s="1849"/>
      <c r="H1239" s="1858">
        <f>I1216+I1223+I1230+I1237</f>
        <v>1348825.7999999998</v>
      </c>
      <c r="I1239" s="1858"/>
      <c r="J1239" s="1858"/>
      <c r="K1239" s="2134">
        <f>K1216+K1223+K1230+K1237</f>
        <v>44</v>
      </c>
      <c r="L1239" s="2135"/>
      <c r="M1239" s="1858">
        <f>N1216+N1223+N1230+N1237</f>
        <v>7615459.2799999993</v>
      </c>
      <c r="N1239" s="1858"/>
      <c r="O1239" s="1858"/>
      <c r="P1239" s="1986"/>
      <c r="Q1239" s="1986"/>
      <c r="R1239" s="2399"/>
      <c r="S1239" s="2399"/>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As an 88% Historic Preservation project, the costs fall within the DCA mandated cost caps, with some cushion as well.    The costs are based on contractor provided pricing and Developer experience with similar projects in Georgia as well as other locales around the country, utilizing professional team members whose pricing and work quality are known.</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Family</v>
      </c>
      <c r="K1243" s="449"/>
      <c r="L1243" s="449"/>
      <c r="O1243" s="1942" t="s">
        <v>1820</v>
      </c>
      <c r="P1243" s="1897"/>
      <c r="Q1243" s="1897"/>
    </row>
    <row r="1244" spans="1:32" ht="10.5" customHeight="1">
      <c r="B1244" s="1908" t="s">
        <v>3565</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This project has been designated as family housing.  It has been explicitly noted that the target population is Veterans.  Veterans are not considered a protected class, so we did not ask for any special tenancy waivers.  Based on all empirical and anecdotal information, there is a significant need for Veteran-centric housing.  However, in the event that Veterans do not comprise the full population, there is nothing in the funding, nor the lease with the VA that requires the project to be Veterans-only.  This maximizes the market breadth while allowing the project to serve the focus market segment of Veterans.  We expect a large percentage of the Veteran population to utilize HUD-VASH vouchers as these are available and this housing is going to be highly attractive to that population of Veterans.</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4250</v>
      </c>
      <c r="M1247" s="1229" t="s">
        <v>4251</v>
      </c>
      <c r="O1247" s="1942" t="s">
        <v>1820</v>
      </c>
      <c r="P1247" s="1897"/>
      <c r="Q1247" s="1897"/>
    </row>
    <row r="1248" spans="1:32" ht="1.5" customHeight="1"/>
    <row r="1249" spans="1:31" ht="12" customHeight="1">
      <c r="A1249" s="1942" t="s">
        <v>1935</v>
      </c>
      <c r="B1249" s="1936" t="s">
        <v>4243</v>
      </c>
      <c r="C1249" s="1936"/>
      <c r="D1249" s="1936"/>
      <c r="E1249" s="1936"/>
      <c r="F1249" s="1936"/>
      <c r="G1249" s="1936"/>
      <c r="H1249" s="1936"/>
      <c r="I1249" s="1936"/>
      <c r="J1249" s="1936"/>
      <c r="L1249" s="1938" t="s">
        <v>2807</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4249</v>
      </c>
      <c r="M1250" s="1938">
        <v>4</v>
      </c>
      <c r="O1250" s="1936"/>
      <c r="P1250" s="449"/>
      <c r="Q1250" s="449"/>
    </row>
    <row r="1251" spans="1:31" ht="12" customHeight="1">
      <c r="A1251" s="1940" t="s">
        <v>1937</v>
      </c>
      <c r="B1251" s="1936" t="s">
        <v>4252</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4256</v>
      </c>
      <c r="D1252" s="1936"/>
      <c r="E1252" s="1936"/>
      <c r="F1252" s="1936"/>
      <c r="G1252" s="1936"/>
      <c r="H1252" s="1936"/>
      <c r="I1252" s="1936"/>
      <c r="J1252" s="1936"/>
      <c r="K1252" s="1936"/>
      <c r="L1252" s="1936"/>
      <c r="N1252" s="1936" t="s">
        <v>4701</v>
      </c>
      <c r="O1252" s="1936"/>
      <c r="P1252" s="1229" t="str">
        <f>'Part VIII-Threshold Criteria'!P82</f>
        <v>N/ap</v>
      </c>
      <c r="Q1252" s="1229"/>
    </row>
    <row r="1253" spans="1:31" ht="12" customHeight="1">
      <c r="A1253" s="1940"/>
      <c r="B1253" s="1939" t="s">
        <v>1695</v>
      </c>
      <c r="C1253" s="1936" t="s">
        <v>4253</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4254</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2304</v>
      </c>
      <c r="C1255" s="1939" t="s">
        <v>4257</v>
      </c>
      <c r="D1255" s="449"/>
      <c r="E1255" s="449"/>
      <c r="F1255" s="449"/>
      <c r="G1255" s="449"/>
      <c r="H1255" s="449"/>
      <c r="I1255" s="1815"/>
      <c r="J1255" s="1815"/>
      <c r="N1255" s="1936" t="s">
        <v>4704</v>
      </c>
      <c r="O1255" s="1936"/>
      <c r="P1255" s="1229" t="str">
        <f>'Part VIII-Threshold Criteria'!P85</f>
        <v>N/Ap</v>
      </c>
      <c r="Q1255" s="1229"/>
    </row>
    <row r="1256" spans="1:31" ht="11.1" customHeight="1">
      <c r="A1256" s="1982"/>
      <c r="B1256" s="1939"/>
      <c r="C1256" s="1936" t="s">
        <v>4258</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4255</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 xml:space="preserve">A part-time Activities Director/Coordinator will be hired for the project.  This is budgeted in the Operating Budget.  This person will work in tandem with the Health Services Coordinator, hired and funded by the VA, and with the Gardening Healthy eating program.  </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4309</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 xml:space="preserve">John Wall </v>
      </c>
      <c r="N1264" s="449"/>
      <c r="O1264" s="449"/>
      <c r="P1264" s="1815"/>
      <c r="Q1264" s="1229"/>
    </row>
    <row r="1265" spans="1:31" ht="10.5" customHeight="1">
      <c r="A1265" s="1940" t="s">
        <v>1937</v>
      </c>
      <c r="B1265" s="449" t="s">
        <v>4556</v>
      </c>
      <c r="D1265" s="449"/>
      <c r="E1265" s="449"/>
      <c r="F1265" s="449"/>
      <c r="L1265" s="1940" t="s">
        <v>1937</v>
      </c>
      <c r="M1265" s="449" t="str">
        <f>'Part VIII-Threshold Criteria'!M95</f>
        <v>5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0.99</v>
      </c>
      <c r="N1266" s="2136"/>
      <c r="O1266" s="2136"/>
      <c r="P1266" s="2225"/>
      <c r="Q1266" s="1229"/>
    </row>
    <row r="1267" spans="1:31" ht="10.5" customHeight="1">
      <c r="A1267" s="1940" t="s">
        <v>2064</v>
      </c>
      <c r="B1267" s="449" t="s">
        <v>3666</v>
      </c>
      <c r="D1267" s="449"/>
      <c r="E1267" s="449"/>
      <c r="F1267" s="449"/>
      <c r="L1267" s="1940" t="s">
        <v>3667</v>
      </c>
      <c r="M1267" s="2226">
        <f>'Part VIII-Threshold Criteria'!M97</f>
        <v>8.8999999999999996E-2</v>
      </c>
      <c r="N1267" s="2136"/>
      <c r="O1267" s="1941" t="s">
        <v>3806</v>
      </c>
      <c r="P1267" s="1985">
        <f>'Part VIII-Threshold Criteria'!P97</f>
        <v>0</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2004-007</v>
      </c>
      <c r="E1270" s="449" t="str">
        <f>'Part VIII-Threshold Criteria'!E100</f>
        <v>Emerald Pointe</v>
      </c>
      <c r="F1270" s="449"/>
      <c r="G1270" s="449"/>
      <c r="H1270" s="1940" t="s">
        <v>1696</v>
      </c>
      <c r="I1270" s="1229" t="str">
        <f>'Part VIII-Threshold Criteria'!I100</f>
        <v>1997-008</v>
      </c>
      <c r="J1270" s="449" t="str">
        <f>'Part VIII-Threshold Criteria'!J100</f>
        <v>Meadowood Park</v>
      </c>
      <c r="K1270" s="449"/>
      <c r="L1270" s="449"/>
      <c r="M1270" s="1940" t="s">
        <v>1516</v>
      </c>
      <c r="N1270" s="1229" t="str">
        <f>'Part VIII-Threshold Criteria'!N100</f>
        <v>2008-068</v>
      </c>
      <c r="O1270" s="449" t="str">
        <f>'Part VIII-Threshold Criteria'!O100</f>
        <v>Riverview Heights</v>
      </c>
      <c r="P1270" s="449"/>
      <c r="Q1270" s="449"/>
    </row>
    <row r="1271" spans="1:31" ht="10.5" customHeight="1">
      <c r="C1271" s="1940" t="s">
        <v>1695</v>
      </c>
      <c r="D1271" s="1229" t="str">
        <f>'Part VIII-Threshold Criteria'!D101</f>
        <v>1995-088</v>
      </c>
      <c r="E1271" s="449" t="str">
        <f>'Part VIII-Threshold Criteria'!E101</f>
        <v>HillCrest</v>
      </c>
      <c r="F1271" s="449"/>
      <c r="G1271" s="449"/>
      <c r="H1271" s="1940" t="s">
        <v>2304</v>
      </c>
      <c r="I1271" s="1229" t="str">
        <f>'Part VIII-Threshold Criteria'!I101</f>
        <v>2008-019</v>
      </c>
      <c r="J1271" s="449" t="str">
        <f>'Part VIII-Threshold Criteria'!J101</f>
        <v>Waterford Estates</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6870</v>
      </c>
      <c r="C1273" s="1936"/>
      <c r="D1273" s="1936"/>
      <c r="E1273" s="1936"/>
      <c r="F1273" s="1936"/>
      <c r="G1273" s="1936"/>
      <c r="H1273" s="1936"/>
      <c r="I1273" s="1936"/>
      <c r="J1273" s="1936"/>
      <c r="K1273" s="1936"/>
      <c r="L1273" s="1936"/>
      <c r="M1273" s="1936"/>
      <c r="N1273" s="1936"/>
      <c r="O1273" s="1942" t="s">
        <v>4789</v>
      </c>
      <c r="P1273" s="1938" t="str">
        <f>'Part VIII-Threshold Criteria'!P103</f>
        <v>No</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overall market vacancy rate is 1%, which includes 3 of the 4 tax credit projects surveyed.  The VA has stipulated a substantial need for this product as an adjunct to its campus programming, giving the VA the ability to house vulnerable Veterans within proximity to the services on which they rely.  The VA has pledged to utilize some of its Tenant Based HUD-VASH vouchers to assist Veterans to utilize this housing for Veterans who qualify for HUD VASH and need the nearby housing.  There is a very strong market demand within the target population.</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4706</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4375</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2304</v>
      </c>
      <c r="C1285" s="1908" t="s">
        <v>4259</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4558</v>
      </c>
      <c r="C1290" s="449"/>
      <c r="E1290" s="449"/>
      <c r="F1290" s="449"/>
      <c r="G1290" s="449"/>
      <c r="H1290" s="449"/>
      <c r="I1290" s="449"/>
      <c r="J1290" s="449"/>
      <c r="K1290" s="449"/>
      <c r="L1290" s="449"/>
      <c r="M1290" s="449"/>
      <c r="O1290" s="1940" t="s">
        <v>1937</v>
      </c>
      <c r="P1290" s="1229">
        <f>'Part VIII-Threshold Criteria'!P120</f>
        <v>0</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f>'Part VIII-Threshold Criteria'!P124</f>
        <v>0</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was no appriasal required.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GEC-Terracon</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GEC-Terracon</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60</v>
      </c>
      <c r="Q1307" s="1229"/>
    </row>
    <row r="1308" spans="1:31" ht="12" customHeight="1">
      <c r="A1308" s="1904"/>
      <c r="B1308" s="1908" t="s">
        <v>1696</v>
      </c>
      <c r="C1308" s="449" t="s">
        <v>4244</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Yes</v>
      </c>
      <c r="G1320" s="1229"/>
      <c r="H1320" s="1940" t="s">
        <v>4406</v>
      </c>
      <c r="I1320" s="1945" t="s">
        <v>2568</v>
      </c>
      <c r="L1320" s="1229" t="str">
        <f>'Part VIII-Threshold Criteria'!L150</f>
        <v>No</v>
      </c>
      <c r="M1320" s="1229"/>
      <c r="N1320" s="1940" t="s">
        <v>4410</v>
      </c>
      <c r="O1320" s="449" t="s">
        <v>1519</v>
      </c>
      <c r="P1320" s="1229" t="str">
        <f>'Part VIII-Threshold Criteria'!P150</f>
        <v>Yes</v>
      </c>
      <c r="Q1320" s="1229"/>
    </row>
    <row r="1321" spans="1:17" ht="12" customHeight="1">
      <c r="A1321" s="449"/>
      <c r="B1321" s="1908" t="s">
        <v>1695</v>
      </c>
      <c r="C1321" s="449" t="s">
        <v>2709</v>
      </c>
      <c r="E1321" s="449"/>
      <c r="F1321" s="1229" t="str">
        <f>'Part VIII-Threshold Criteria'!F151</f>
        <v>No</v>
      </c>
      <c r="G1321" s="1229"/>
      <c r="H1321" s="1940" t="s">
        <v>4407</v>
      </c>
      <c r="I1321" s="1945" t="s">
        <v>2569</v>
      </c>
      <c r="L1321" s="1229" t="str">
        <f>'Part VIII-Threshold Criteria'!L151</f>
        <v>Yes</v>
      </c>
      <c r="M1321" s="1229"/>
      <c r="N1321" s="1940" t="s">
        <v>4411</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4408</v>
      </c>
      <c r="I1322" s="1945" t="s">
        <v>3630</v>
      </c>
      <c r="L1322" s="1229" t="str">
        <f>'Part VIII-Threshold Criteria'!L152</f>
        <v>No</v>
      </c>
      <c r="M1322" s="1229"/>
      <c r="N1322" s="1940" t="s">
        <v>4412</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4409</v>
      </c>
      <c r="I1323" s="449" t="s">
        <v>2708</v>
      </c>
      <c r="L1323" s="1229" t="str">
        <f>'Part VIII-Threshold Criteria'!L153</f>
        <v>Yes</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 xml:space="preserve">As historic buildings constructed in 1945, there is lead based paint and asbestos in the buildings and in the soils surrounding the buildings.  The mitigation of these issues has been included in the rehab budget.  Overall the buildings have not been subject to significant water intrusions, but some mold was identified and is also included in the mitigation scope of work.  These are not unusual occurrences for historic buildings and given the experience of the Developer and Contractor in historic preservation projects, they do not pose any significant hurdles. </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2304</v>
      </c>
      <c r="C1330" s="449" t="s">
        <v>4392</v>
      </c>
      <c r="E1330" s="449"/>
      <c r="F1330" s="449"/>
      <c r="G1330" s="449"/>
      <c r="H1330" s="449"/>
      <c r="I1330" s="1815"/>
      <c r="J1330" s="1815"/>
      <c r="K1330" s="449"/>
      <c r="L1330" s="449"/>
      <c r="M1330" s="449"/>
      <c r="O1330" s="1940" t="s">
        <v>2304</v>
      </c>
      <c r="P1330" s="1229" t="str">
        <f>'Part VIII-Threshold Criteria'!P160</f>
        <v>No</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6929</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project is not utilizing HOME funds so this section is not applicable.  All environmental comments have been addressed above.</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6871</v>
      </c>
      <c r="D1340" s="449"/>
      <c r="E1340" s="449"/>
      <c r="F1340" s="449"/>
      <c r="G1340" s="449"/>
      <c r="K1340" s="449" t="s">
        <v>2626</v>
      </c>
      <c r="M1340" s="2227">
        <f>'Part VIII-Threshold Criteria'!M170</f>
        <v>44926</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RFP Selection</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Communities for Veterans LLC</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In addition to the documentation for selection through a competitive RFP process, we have provided a Site Control Agreement and Support Letters from the VA which spell out the terms and conditions of the Leasehold interest the developer will have.  In essence, these constitute an Option to Lease, meeting the criteria spelled out by DCA for site control.</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3556</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4260</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4353</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accessed through paved roads traversing the VA campus which are open to the general public.  The site itself is served by an existing paved road that ends in a traffic circle.  Documentation has been included that visually identifies and confirms this access.</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4365</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f>'Part VIII-Threshold Criteria'!P197</f>
        <v>0</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Yes</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site is zoned for public use.  A letter from the City of Dublin has been included that defers all zoning/site development matters to the VA.  It has been noted as well the VA's support for this project--in fact, this project was generated by the VA through an RFP process.  Typical city zoning is not applicable to this project.</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City of Dublin</v>
      </c>
      <c r="K1378" s="449"/>
      <c r="L1378" s="449"/>
      <c r="M1378" s="449"/>
      <c r="N1378" s="449"/>
      <c r="O1378" s="1940" t="s">
        <v>1694</v>
      </c>
      <c r="P1378" s="1229" t="str">
        <f>'Part VIII-Threshold Criteria'!P208</f>
        <v>Yes</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Evidence of utilities has been provided.  Depending on final project design, gas service may be utilized for heating and hot water.  Therefore, both sources of utilities have been identified, though it is possible the project will be all electric.</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Dublin</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 xml:space="preserve">City of Dublin </v>
      </c>
      <c r="K1386" s="449"/>
      <c r="L1386" s="449"/>
      <c r="M1386" s="449"/>
      <c r="N1386" s="449"/>
      <c r="O1386" s="1942" t="s">
        <v>1695</v>
      </c>
      <c r="P1386" s="1229" t="str">
        <f>'Part VIII-Threshold Criteria'!P216</f>
        <v>Yes</v>
      </c>
      <c r="Q1386" s="1229"/>
    </row>
    <row r="1387" spans="1:31" ht="12" customHeight="1">
      <c r="A1387" s="1942" t="s">
        <v>1937</v>
      </c>
      <c r="B1387" s="449" t="s">
        <v>3673</v>
      </c>
      <c r="D1387" s="449"/>
      <c r="E1387" s="449"/>
      <c r="F1387" s="449"/>
      <c r="G1387" s="449"/>
      <c r="H1387" s="449"/>
      <c r="I1387" s="449"/>
      <c r="J1387" s="449"/>
      <c r="K1387" s="1815"/>
      <c r="L1387" s="449"/>
      <c r="M1387" s="449"/>
      <c r="O1387" s="1940" t="s">
        <v>1937</v>
      </c>
      <c r="P1387" s="1229">
        <f>'Part VIII-Threshold Criteria'!P217</f>
        <v>0</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The project has access to City utilities for water and sewer, which already serve the buildings.  The project will replace existing laterals and in-building utilities, but utilize the existing utility infrastructure on the VA campus.  Letters for water and sewer have been provided.</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6974</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4245</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4248</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4247</v>
      </c>
      <c r="E1400" s="1908"/>
      <c r="F1400" s="1908"/>
      <c r="G1400" s="1908"/>
      <c r="H1400" s="1908"/>
      <c r="I1400" s="1815"/>
      <c r="J1400" s="1940" t="s">
        <v>4246</v>
      </c>
      <c r="K1400" s="449" t="str">
        <f>'Part VIII-Threshold Criteria'!K230</f>
        <v>On-site laundry</v>
      </c>
      <c r="L1400" s="449"/>
      <c r="M1400" s="449"/>
      <c r="N1400" s="449"/>
      <c r="Q1400" s="1229"/>
      <c r="R1400" s="1815"/>
    </row>
    <row r="1401" spans="1:18" ht="11.25" customHeight="1">
      <c r="A1401" s="1940" t="s">
        <v>1937</v>
      </c>
      <c r="B1401" s="449" t="s">
        <v>6931</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3451</v>
      </c>
      <c r="O1402" s="2139">
        <f>'Part VI-Revenues &amp; Expenses'!$P$67</f>
        <v>50</v>
      </c>
      <c r="P1402" s="1945" t="s">
        <v>4403</v>
      </c>
      <c r="Q1402" s="1945"/>
    </row>
    <row r="1403" spans="1:18" ht="11.1" customHeight="1">
      <c r="A1403" s="1940"/>
      <c r="B1403" s="1908" t="s">
        <v>1694</v>
      </c>
      <c r="C1403" s="449" t="s">
        <v>4404</v>
      </c>
      <c r="D1403" s="449"/>
      <c r="E1403" s="449"/>
      <c r="F1403" s="449"/>
      <c r="H1403" s="1940" t="s">
        <v>4405</v>
      </c>
      <c r="I1403" s="449" t="s">
        <v>6827</v>
      </c>
      <c r="M1403" s="1815"/>
      <c r="N1403" s="1815"/>
      <c r="O1403" s="1816"/>
      <c r="P1403" s="1898" t="s">
        <v>755</v>
      </c>
      <c r="Q1403" s="1898" t="s">
        <v>4402</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 xml:space="preserve">Covered pavilion with picnic/BBQ facilities </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 xml:space="preserve">Equipped Computer Center and WiFi </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4413</v>
      </c>
      <c r="C1407" s="1936" t="str">
        <f>'Part VIII-Threshold Criteria'!C237</f>
        <v>Furnished Exercise /Fitness Center</v>
      </c>
      <c r="D1407" s="1936"/>
      <c r="E1407" s="1936"/>
      <c r="F1407" s="1936"/>
      <c r="G1407" s="1936"/>
      <c r="H1407" s="1940" t="s">
        <v>4413</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4561</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4261</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All required amenities will be provided.  Additionally, the project will have an equipped medical examination room and elevator service to the second floor in each building.</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4563</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Historic Preservation</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43997</v>
      </c>
      <c r="L1426" s="2140"/>
      <c r="M1426" s="2140"/>
      <c r="N1426" s="2140"/>
      <c r="O1426" s="2140"/>
      <c r="P1426" s="2140"/>
      <c r="Q1426" s="2140"/>
    </row>
    <row r="1427" spans="1:17" ht="11.4" customHeight="1">
      <c r="A1427" s="1940"/>
      <c r="B1427" s="449" t="s">
        <v>1897</v>
      </c>
      <c r="D1427" s="449"/>
      <c r="E1427" s="449"/>
      <c r="F1427" s="449"/>
      <c r="K1427" s="449" t="str">
        <f>'Part VIII-Threshold Criteria'!K257</f>
        <v>Newbanks.</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t="str">
        <f>'Part VIII-Threshold Criteria'!P258</f>
        <v>Yes</v>
      </c>
      <c r="Q1428" s="1229"/>
    </row>
    <row r="1429" spans="1:17" ht="11.4" customHeight="1">
      <c r="A1429" s="1940" t="s">
        <v>731</v>
      </c>
      <c r="B1429" s="449" t="s">
        <v>4354</v>
      </c>
      <c r="D1429" s="449"/>
      <c r="E1429" s="449"/>
      <c r="F1429" s="449"/>
      <c r="J1429" s="1940" t="s">
        <v>731</v>
      </c>
      <c r="K1429" s="2140" t="str">
        <f>'Part VIII-Threshold Criteria'!K259</f>
        <v>Not applicable for adaptive re-use</v>
      </c>
      <c r="L1429" s="2140"/>
      <c r="M1429" s="2140"/>
      <c r="N1429" s="2140"/>
      <c r="O1429" s="2140"/>
      <c r="P1429" s="2140"/>
      <c r="Q1429" s="2140"/>
    </row>
    <row r="1430" spans="1:17" ht="11.4" customHeight="1">
      <c r="A1430" s="1940"/>
      <c r="B1430" s="449" t="s">
        <v>4266</v>
      </c>
      <c r="D1430" s="449"/>
      <c r="E1430" s="449"/>
      <c r="F1430" s="449"/>
    </row>
    <row r="1431" spans="1:17" ht="11.4" customHeight="1">
      <c r="A1431" s="1940"/>
      <c r="C1431" s="449" t="s">
        <v>4264</v>
      </c>
      <c r="D1431" s="449"/>
      <c r="E1431" s="449"/>
      <c r="F1431" s="449"/>
      <c r="K1431" s="1940" t="s">
        <v>4263</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4265</v>
      </c>
      <c r="L1432" s="2170">
        <f>'Part VIII-Threshold Criteria'!L262</f>
        <v>0</v>
      </c>
      <c r="M1432" s="449"/>
      <c r="N1432" s="1946"/>
      <c r="O1432" s="1946"/>
      <c r="P1432" s="1229">
        <f>'Part VIII-Threshold Criteria'!P262</f>
        <v>0</v>
      </c>
      <c r="Q1432" s="1229"/>
    </row>
    <row r="1433" spans="1:17" ht="11.4" customHeight="1">
      <c r="A1433" s="1940"/>
      <c r="B1433" s="449" t="s">
        <v>4262</v>
      </c>
      <c r="D1433" s="449"/>
      <c r="E1433" s="449"/>
      <c r="F1433" s="449"/>
      <c r="K1433" s="449">
        <f>'Part VIII-Threshold Criteria'!K263</f>
        <v>0</v>
      </c>
      <c r="L1433" s="449"/>
      <c r="M1433" s="449"/>
      <c r="N1433" s="449"/>
      <c r="O1433" s="449"/>
      <c r="P1433" s="449"/>
      <c r="Q1433" s="449"/>
    </row>
    <row r="1434" spans="1:17" ht="11.4" customHeight="1">
      <c r="A1434" s="1940" t="s">
        <v>2064</v>
      </c>
      <c r="B1434" s="449" t="s">
        <v>3675</v>
      </c>
      <c r="D1434" s="449"/>
      <c r="E1434" s="449"/>
      <c r="F1434" s="449"/>
      <c r="G1434" s="449"/>
      <c r="H1434" s="449"/>
      <c r="I1434" s="1815"/>
      <c r="J1434" s="1815"/>
      <c r="K1434" s="1815"/>
      <c r="M1434" s="449"/>
      <c r="N1434" s="1946"/>
      <c r="O1434" s="1940" t="s">
        <v>2064</v>
      </c>
      <c r="P1434" s="1229" t="str">
        <f>'Part VIII-Threshold Criteria'!P264</f>
        <v>Yes</v>
      </c>
      <c r="Q1434" s="1229"/>
    </row>
    <row r="1435" spans="1:17" ht="11.4" customHeight="1">
      <c r="A1435" s="1940"/>
      <c r="B1435" s="1936" t="s">
        <v>3571</v>
      </c>
      <c r="C1435" s="1936"/>
      <c r="D1435" s="1936"/>
      <c r="E1435" s="1936"/>
      <c r="F1435" s="1936"/>
      <c r="G1435" s="1936"/>
      <c r="H1435" s="1945" t="s">
        <v>3797</v>
      </c>
      <c r="K1435" s="1815"/>
      <c r="M1435" s="449"/>
      <c r="N1435" s="1946"/>
      <c r="O1435" s="1940" t="s">
        <v>1694</v>
      </c>
      <c r="P1435" s="1229" t="str">
        <f>'Part VIII-Threshold Criteria'!P265</f>
        <v>Yes</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t="str">
        <f>'Part VIII-Threshold Criteria'!P266</f>
        <v>Yes</v>
      </c>
      <c r="Q1436" s="1229"/>
    </row>
    <row r="1437" spans="1:17" ht="11.4" customHeight="1">
      <c r="A1437" s="1940"/>
      <c r="B1437" s="449"/>
      <c r="D1437" s="449"/>
      <c r="E1437" s="449"/>
      <c r="F1437" s="449"/>
      <c r="G1437" s="449"/>
      <c r="H1437" s="1945" t="s">
        <v>3799</v>
      </c>
      <c r="K1437" s="1815"/>
      <c r="M1437" s="449"/>
      <c r="N1437" s="1946"/>
      <c r="O1437" s="1940" t="s">
        <v>1696</v>
      </c>
      <c r="P1437" s="1229" t="str">
        <f>'Part VIII-Threshold Criteria'!P267</f>
        <v>Yes</v>
      </c>
      <c r="Q1437" s="1229"/>
    </row>
    <row r="1438" spans="1:17" ht="11.4" customHeight="1">
      <c r="A1438" s="1940"/>
      <c r="B1438" s="449"/>
      <c r="D1438" s="449"/>
      <c r="E1438" s="449"/>
      <c r="F1438" s="449"/>
      <c r="G1438" s="449"/>
      <c r="H1438" s="1945" t="s">
        <v>3800</v>
      </c>
      <c r="K1438" s="1815"/>
      <c r="M1438" s="449"/>
      <c r="N1438" s="1946"/>
      <c r="O1438" s="1940" t="s">
        <v>2304</v>
      </c>
      <c r="P1438" s="1229" t="str">
        <f>'Part VIII-Threshold Criteria'!P268</f>
        <v>Yes</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t="str">
        <f>'Part VIII-Threshold Criteria'!P269</f>
        <v>Agree</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The project entails the adaptive re-use of a former dormitory building/treatment facility.  As such, none of the existing systems and much of the interior (subject to historic preservation limitations) will be redeveloped with new systems, walls, flooring, ceilings, doors and  windows (again as approved by the SHPO and NPS).  The project will qualify for the EarthCraft Sustainable Preservation program.</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3569</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4748</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All documentation has been provided, with significant inclusion of pictures and drawings to give a substantial overview of the project.  Additional pictures are included in the Market Study, the Physical Needs Assessment, and the Environmental Phase I.</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4393</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4551</v>
      </c>
      <c r="D1461" s="1815"/>
      <c r="E1461" s="1815"/>
      <c r="O1461" s="1940" t="s">
        <v>1937</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As noted above, the project will qualify with a high score under the EarthCraft Sustainable Preservation Program.  The Developer sat through a most enjoyable presentation  and training program regarding the Building Sustainabililty aspects of DCA's programming and sustainable requirements and designation.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6875</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3652</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3802</v>
      </c>
      <c r="K1475" s="2228">
        <f>'Part VIII-Threshold Criteria'!K305</f>
        <v>6</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3803</v>
      </c>
      <c r="J1476" s="1819"/>
      <c r="K1476" s="2228">
        <f>'Part VIII-Threshold Criteria'!K306</f>
        <v>6</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3653</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Zeffert</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4355</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Developer has chosen to double the required disabled accessibililty units, given the population to be served and the expection that more units will be required up front with these special features.  As noted above, the buildings will be elevator equipped, allowing for visitability throughout the development.   All trainings, analysis and inspections will be done as required.  We hope and expect this project to be a bellwether for what historic preservation and accessibility can achieve.</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6879</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t="str">
        <f>'Part VIII-Threshold Criteria'!P326</f>
        <v>Yes</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Rehab of bldgs eligible for historic preservatn credits will maintain &amp; if necessary replace with matching materials, the existing or original exterior finish surfaces including front wall face, rear wall face and both side wall faces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This project includes the new construction of 6 units, which will have in excess of 30% brick and utilize fiber cement siding for the balance of the exterior finishes.  The historic buildings will be renovated in accordance with Preservation Standards to ensure qualification for historic tax credits.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1820</v>
      </c>
      <c r="P1509" s="1897"/>
      <c r="Q1509" s="1897"/>
    </row>
    <row r="1510" spans="1:31" ht="11.4" customHeight="1">
      <c r="A1510" s="1940" t="s">
        <v>1935</v>
      </c>
      <c r="B1510" s="1945" t="s">
        <v>4711</v>
      </c>
      <c r="O1510" s="1942" t="s">
        <v>1935</v>
      </c>
      <c r="P1510" s="1229" t="str">
        <f>'Part VIII-Threshold Criteria'!P340</f>
        <v>Yes</v>
      </c>
      <c r="Q1510" s="1229"/>
    </row>
    <row r="1511" spans="1:31" ht="11.4" customHeight="1">
      <c r="A1511" s="1942" t="s">
        <v>1937</v>
      </c>
      <c r="B1511" s="1945" t="s">
        <v>3775</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3627</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Don Paxton with Communities for Veterans was provided the "Qualified"  determination as the Managing General Partner and Developer.  Additionally, two entities are involved in this project at the levels needed to begin the process of being certified:  The Dublin Housing Authority and Garrison for Veterans.</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3767</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3768</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3760</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3763</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3764</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Not Applicable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4695</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2304</v>
      </c>
      <c r="C1543" s="449" t="s">
        <v>4356</v>
      </c>
      <c r="E1543" s="449"/>
      <c r="F1543" s="449"/>
      <c r="G1543" s="449"/>
      <c r="H1543" s="449" t="s">
        <v>4357</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4358</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4359</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3687</v>
      </c>
      <c r="D1548" s="449"/>
      <c r="E1548" s="449"/>
      <c r="F1548" s="449"/>
      <c r="G1548" s="449"/>
      <c r="H1548" s="449"/>
      <c r="P1548" s="449"/>
      <c r="Q1548" s="449"/>
      <c r="R1548" s="449"/>
    </row>
    <row r="1549" spans="1:18" s="1815" customFormat="1" ht="11.25" customHeight="1">
      <c r="B1549" s="1908" t="s">
        <v>1694</v>
      </c>
      <c r="C1549" s="1908" t="s">
        <v>4394</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3692</v>
      </c>
      <c r="E1553" s="449"/>
      <c r="F1553" s="449"/>
      <c r="G1553" s="449"/>
      <c r="H1553" s="449"/>
      <c r="M1553" s="449"/>
      <c r="N1553" s="449"/>
      <c r="O1553" s="1940" t="s">
        <v>2304</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Not Applicable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Not Applicable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4712</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Not Applicable</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4534</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4715</v>
      </c>
      <c r="E1585" s="1815"/>
      <c r="F1585" s="1815"/>
      <c r="G1585" s="1815"/>
      <c r="H1585" s="1815"/>
      <c r="I1585" s="1815"/>
      <c r="J1585" s="1815"/>
      <c r="K1585" s="1815"/>
      <c r="L1585" s="1815"/>
      <c r="M1585" s="1815"/>
      <c r="N1585" s="1815"/>
      <c r="O1585" s="1940" t="s">
        <v>2372</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t="str">
        <f>'Part VIII-Threshold Criteria'!P418</f>
        <v>No</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4368</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3644</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4275</v>
      </c>
      <c r="M1599" s="449">
        <f>'Part VIII-Threshold Criteria'!M429</f>
        <v>0</v>
      </c>
      <c r="N1599" s="449"/>
      <c r="O1599" s="449"/>
      <c r="P1599" s="449"/>
      <c r="Q1599" s="449"/>
    </row>
    <row r="1600" spans="1:17" ht="12" customHeight="1">
      <c r="A1600" s="1815"/>
      <c r="C1600" s="1945" t="s">
        <v>4415</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Not Applicable</v>
      </c>
      <c r="C1601" s="1956"/>
      <c r="D1601" s="1956"/>
      <c r="E1601" s="1956"/>
      <c r="F1601" s="1956"/>
      <c r="G1601" s="1956"/>
      <c r="H1601" s="1956"/>
      <c r="I1601" s="1956"/>
      <c r="J1601" s="1956"/>
      <c r="K1601" s="1956"/>
      <c r="L1601" s="1956"/>
      <c r="M1601" s="1956"/>
      <c r="N1601" s="1956"/>
      <c r="O1601" s="1956"/>
      <c r="P1601" s="1956"/>
      <c r="Q1601" s="1956"/>
      <c r="R1601" s="1973" t="s">
        <v>4270</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Not Applicable</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2719</v>
      </c>
      <c r="C1611" s="1815"/>
      <c r="D1611" s="449"/>
      <c r="E1611" s="1939"/>
      <c r="F1611" s="1939"/>
      <c r="G1611" s="1939"/>
      <c r="H1611" s="1939"/>
      <c r="O1611" s="1942" t="s">
        <v>1820</v>
      </c>
      <c r="P1611" s="1897"/>
      <c r="Q1611" s="1897"/>
    </row>
    <row r="1612" spans="1:31" ht="14.1" customHeight="1">
      <c r="B1612" s="449" t="s">
        <v>4459</v>
      </c>
      <c r="C1612" s="1815"/>
      <c r="D1612" s="449"/>
      <c r="E1612" s="1939"/>
      <c r="F1612" s="1939"/>
      <c r="G1612" s="1939"/>
      <c r="H1612" s="1939"/>
    </row>
    <row r="1613" spans="1:31" s="1910" customFormat="1" ht="21.75" customHeight="1">
      <c r="A1613" s="1942" t="s">
        <v>1935</v>
      </c>
      <c r="B1613" s="1936" t="s">
        <v>3694</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3693</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4416</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4417</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4418</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4419</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4501</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Developer working with the Management Company will  craft an Affirmative Fair Housing Marketing Plan and will engage in significant levels of activity to market the property to those who otherwise might not consider this as available housing.  Given the primary target population of Veterans, it is expected that there will be considerable opportunity to serve populations not usually housed in this area (based on the ethnic makeup of the armed services), and who will need and benefit from reasonable accommodation measures.</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2638</v>
      </c>
      <c r="D1628" s="1945"/>
      <c r="E1628" s="449"/>
      <c r="J1628" s="1908"/>
      <c r="M1628" s="1896"/>
      <c r="N1628" s="1896"/>
      <c r="O1628" s="1942" t="s">
        <v>1820</v>
      </c>
      <c r="P1628" s="1897"/>
      <c r="Q1628" s="1897"/>
    </row>
    <row r="1629" spans="1:31" s="1950" customFormat="1" ht="15" customHeight="1">
      <c r="A1629" s="1942" t="s">
        <v>1935</v>
      </c>
      <c r="B1629" s="1936" t="s">
        <v>4585</v>
      </c>
      <c r="C1629" s="1936"/>
      <c r="D1629" s="1936"/>
      <c r="E1629" s="1936"/>
      <c r="F1629" s="1936"/>
      <c r="G1629" s="1936"/>
      <c r="H1629" s="1936"/>
      <c r="I1629" s="1936"/>
      <c r="J1629" s="1945" t="s">
        <v>4455</v>
      </c>
      <c r="K1629" s="1945"/>
      <c r="L1629" s="1843" t="s">
        <v>4587</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50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50</v>
      </c>
      <c r="P1631" s="1936"/>
      <c r="Q1631" s="1936"/>
    </row>
    <row r="1632" spans="1:31" s="1936" customFormat="1" ht="22.5" customHeight="1">
      <c r="A1632" s="1942" t="s">
        <v>1937</v>
      </c>
      <c r="B1632" s="1936" t="s">
        <v>4591</v>
      </c>
      <c r="J1632" s="449" t="s">
        <v>4586</v>
      </c>
      <c r="K1632" s="449"/>
      <c r="L1632" s="449">
        <f>'Part VIII-Threshold Criteria'!L462</f>
        <v>0</v>
      </c>
      <c r="M1632" s="449"/>
      <c r="N1632" s="449"/>
      <c r="O1632" s="1949" t="s">
        <v>1937</v>
      </c>
      <c r="P1632" s="1938" t="str">
        <f>'Part VIII-Threshold Criteria'!P462</f>
        <v>N/a</v>
      </c>
      <c r="Q1632" s="1938"/>
    </row>
    <row r="1633" spans="1:31" s="1936" customFormat="1" ht="12" customHeight="1">
      <c r="A1633" s="1942" t="s">
        <v>731</v>
      </c>
      <c r="B1633" s="1936" t="s">
        <v>4360</v>
      </c>
      <c r="J1633" s="449" t="s">
        <v>4279</v>
      </c>
      <c r="K1633" s="1958">
        <f>'Part VI-Revenues &amp; Expenses'!$P$115</f>
        <v>6</v>
      </c>
      <c r="L1633" s="1908" t="s">
        <v>4278</v>
      </c>
      <c r="M1633" s="1947"/>
      <c r="N1633" s="1926">
        <f>ROUNDUP(N1631*0.1,0)</f>
        <v>5</v>
      </c>
      <c r="O1633" s="1949" t="s">
        <v>731</v>
      </c>
      <c r="P1633" s="1936" t="str">
        <f>'Part VIII-Threshold Criteria'!P463</f>
        <v>Yes</v>
      </c>
      <c r="R1633" s="1822"/>
      <c r="S1633" s="1822"/>
    </row>
    <row r="1634" spans="1:31" s="1936" customFormat="1" ht="12" customHeight="1">
      <c r="J1634" s="449" t="s">
        <v>4280</v>
      </c>
      <c r="K1634" s="2147">
        <f>IF(N1631=0,"",K1633/N1631)</f>
        <v>0.12</v>
      </c>
      <c r="L1634" s="1908" t="s">
        <v>4454</v>
      </c>
      <c r="M1634" s="449"/>
      <c r="N1634" s="2148">
        <f>'Part VI-Revenues &amp; Expenses'!$L$67/'Part VI-Revenues &amp; Expenses'!$P$67</f>
        <v>0.44</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4281</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1940</v>
      </c>
      <c r="C1636" s="449" t="s">
        <v>4589</v>
      </c>
      <c r="D1636" s="449"/>
      <c r="E1636" s="449"/>
      <c r="F1636" s="449"/>
      <c r="G1636" s="449"/>
      <c r="H1636" s="449"/>
      <c r="I1636" s="449"/>
      <c r="J1636" s="449"/>
      <c r="K1636" s="449"/>
      <c r="L1636" s="449"/>
      <c r="M1636" s="449"/>
      <c r="N1636" s="449"/>
      <c r="O1636" s="1940" t="s">
        <v>4590</v>
      </c>
      <c r="P1636" s="1229">
        <f>'Part VIII-Threshold Criteria'!P466</f>
        <v>0</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The Developer will welcome residents who can benefit from the specific programs and services that this project will afford, expecially given the amenities and the number of one bedroom units available.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4276</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The Developer went through considerable time, effort and expense to qualify this project for Historic Tax Credits, which allow for the funds to effectively renovate the property without utilizing more than needed LIHTC's.  Further, the support of the VA and the City of Dublin with land cost and fee waivers further allows the project to make the most of the available resources for creating a highly desirable product with the least amount of scarce funding at the state level.  </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4277</v>
      </c>
      <c r="B1649" s="1815"/>
      <c r="C1649" s="1815" t="s">
        <v>4696</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4282</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4361</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2020-042 Freedom's Path at Dublin,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394" t="s">
        <v>1200</v>
      </c>
      <c r="M1661" s="1923">
        <f>M2098</f>
        <v>95</v>
      </c>
      <c r="N1661" s="1923"/>
      <c r="O1661" s="1923">
        <f>O2098</f>
        <v>57</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4291</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4289</v>
      </c>
      <c r="P1665" s="1229">
        <f>SUM(P1666:P1678)</f>
        <v>0</v>
      </c>
      <c r="Q1665" s="449" t="s">
        <v>6934</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 xml:space="preserve">The project is located on a VA Medical Center campus, where desirable features such as the Hospital, Emergency Care facility, pharmacy, post office, and police services are all available.  However, in the event that any non-Veterans may live at the property, we have included amenities that are accessible by any potential resident in sufficient number to qualify for the full 10 points.  Given the location, there are no undesirable activities located near the property.  We have utilized walking distances throughout to demonstrate the significant walkability of the site.  There is the possibility that the VA will be providing a sidewalk from the property to the intersecton of Hillcrest and Veterans Boulevard, which will even further reduce walking distances to many amenities.  While it is not possible to note the presence of the Home Depot in the amenities section, given that corporation's support of Veterans and having this store immediately adjacent to the site affords the opportunity for employment for residents who otherwise might have difficulty finding jobs.  While just outside of the limits for points, 2.1 miles from the property is a Super WalMart, another attractive feature to the location.  Middle Georgia College has a campus adjacent to the VA as well.  Again, this is not a point desirable (though it should be), but it is a highly desirable amenity for the population.  For the type of residency we project, the number of restaurants, job centers, education institutions and medical care facilities make this a spectacular location for housing.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While Laurens County does not have a public transportion system the Carl Vinson VAMC is a federal reservation within the county which operates independent of the county government.  To serve its residents, it provides an on-campus transportation service to transport residents to and from VAMC medical appointments.  It also works in conjunction with local transportation companies to provide off-campus transportation vouchers to access services in the larger community to on-campus residents as a means of offering a public transportation option to its residents.   Within the parameters of the VA Medical Center, this constitutes a public transportation system.</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The Developer has established a core relationship with the Carl Vinson VA Medical Center to provide a comprehensive array of Healthcare Services for the population.  The VA will provide a Health Services Coordinator and the Developer will complement that with a Part-Time Activities Director/Coordinator.  A well-equipped examination room will be provided on site, and VA personnel will be available to the residents on a daily basis to provide medical screenings and services that can be done on site.  If required, the residents will be transported to the VA Medical Center for further diagnosis and treatment.  Classes across a broad range of physical health, fitness, mental health and lifestyle choices and implications will be conducted on a regular and ongoing basis for all residents.  A full scale Community Gardening program will be operating in conjunction with the Laurens County Extension Service and the Georgia Master Gardeners program which will hold classes and training in all aspects of small plot gardening, and reinforce that with classes and instruction regarding the above mentioned health programs, coordinated in conjunction with the VA, through its Health Services Coordinator.</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5</v>
      </c>
      <c r="F1669" s="1986" t="str">
        <f>'Part IX Scoring Criteria'!F14</f>
        <v>The three schools serving Dublin all beat the odds in either 2018 and/or 2019.  No CCRPI data is included.  Documentation has been provided in Tab 30 Section A along with letters from the respective school systems regarding the eligibility of Freedom's Path students to attend the schools.  The Jobs printout of the Latitude/Longitude coordinates used to identify the local jobs was also used and included as well as the printout of the jobs number.  When the jobs location is pulled up on the website, while close, it does not correspond exactly to the Lat/Long input.  However, the difference is minimal, by just what looks like a 100 feet or so, providing assurance that the jobs numbers are accurate</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Not Applicable</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Not Applicable</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0</v>
      </c>
      <c r="F1672" s="1986" t="str">
        <f>'Part IX Scoring Criteria'!F17</f>
        <v>Not Applicable.  Census tract does not score any points in either Category A or B.</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4346</v>
      </c>
      <c r="B1673" s="1956" t="s">
        <v>3597</v>
      </c>
      <c r="C1673" s="1956"/>
      <c r="D1673" s="1956"/>
      <c r="E1673" s="2149">
        <f>'Part IX Scoring Criteria'!E18</f>
        <v>0</v>
      </c>
      <c r="F1673" s="1986" t="str">
        <f>'Part IX Scoring Criteria'!F18</f>
        <v>Not Applicable</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Not Applicable</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3</v>
      </c>
      <c r="F1675" s="1986" t="str">
        <f>'Part IX Scoring Criteria'!F20</f>
        <v>No competitive projects have been developed in Dublin since 2008, meeting the requirement for the 3 points in this section.  The LIHTC projects developed in Dublin are listed in the Market Study section of the Threshold Tab of this application.</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1</v>
      </c>
      <c r="F1676" s="1986" t="str">
        <f>'Part IX Scoring Criteria'!F21</f>
        <v>Dublin is an alumni of the GIHC program.  Letters from the GIHC and from the City have been included in the Tabs section.  We have worked very closely with the GIHC Board regarding the structuring and implementation of this project.</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4</v>
      </c>
      <c r="F1677" s="1986" t="str">
        <f>'Part IX Scoring Criteria'!F22</f>
        <v>The project will receive both federal and state historic tax credits which provide the Favorable Financing in excess of the 10% requirement.  An equity letter from RBC Tax Credit Equity Group has been included inTab 1, Tab 41 and Tab 42 to evidence the financing for the financing.  Site control documentation has been provided from the VA regarding the willingness of the VA to enter into a 75 year ground lease on the project.  Regarding c) above, the VA, after conversations with DCA staff, has provided an Opinion from its office of General Counsel, regarding the compliance with Section 42 by pledging the Leasehold interest and not the underlying fee simple title to the land in terms of executing the LURA.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2</v>
      </c>
      <c r="F1678" s="1986" t="str">
        <f>'Part IX Scoring Criteria'!F23</f>
        <v>While the project is certified, we chose to answer this area with the above description.</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4284</v>
      </c>
      <c r="D1682" s="1897"/>
      <c r="E1682" s="1897"/>
      <c r="F1682" s="1229"/>
      <c r="M1682" s="1896"/>
      <c r="N1682" s="1940" t="s">
        <v>1935</v>
      </c>
    </row>
    <row r="1683" spans="1:20" s="1951" customFormat="1" ht="11.25" customHeight="1">
      <c r="A1683" s="1904"/>
      <c r="B1683" s="2151" t="s">
        <v>1938</v>
      </c>
      <c r="C1683" s="1897" t="s">
        <v>4287</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6828</v>
      </c>
      <c r="D1684" s="1897"/>
      <c r="E1684" s="1897"/>
      <c r="F1684" s="1229"/>
      <c r="H1684" s="1822" t="s">
        <v>4285</v>
      </c>
      <c r="J1684" s="449"/>
      <c r="M1684" s="1896"/>
      <c r="N1684" s="1949" t="s">
        <v>1940</v>
      </c>
      <c r="O1684" s="1916">
        <f>'Part IX Scoring Criteria'!O29</f>
        <v>0</v>
      </c>
      <c r="P1684" s="1916">
        <f>J1691</f>
        <v>0</v>
      </c>
    </row>
    <row r="1685" spans="1:20" s="1951" customFormat="1" ht="11.25" customHeight="1">
      <c r="A1685" s="1904"/>
      <c r="B1685" s="2151" t="s">
        <v>2467</v>
      </c>
      <c r="C1685" s="1897" t="s">
        <v>4286</v>
      </c>
      <c r="D1685" s="1897"/>
      <c r="E1685" s="1897"/>
      <c r="F1685" s="1229"/>
      <c r="H1685" s="1822" t="s">
        <v>4290</v>
      </c>
      <c r="J1685" s="449"/>
      <c r="M1685" s="1896"/>
      <c r="N1685" s="1949" t="s">
        <v>2467</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6935</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4437</v>
      </c>
      <c r="B1690" s="1849"/>
      <c r="C1690" s="1849"/>
      <c r="D1690" s="1849"/>
      <c r="E1690" s="1849"/>
      <c r="F1690" s="1816" t="s">
        <v>3810</v>
      </c>
      <c r="G1690" s="449" t="s">
        <v>4438</v>
      </c>
      <c r="H1690" s="449"/>
      <c r="I1690" s="449"/>
      <c r="J1690" s="1816" t="s">
        <v>3810</v>
      </c>
      <c r="K1690" s="1945" t="s">
        <v>4283</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4298</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4439</v>
      </c>
      <c r="J1707" s="2155"/>
      <c r="K1707" s="2155" t="str">
        <f>'Part I-Project Information'!$K$94</f>
        <v>Income Averaging</v>
      </c>
      <c r="M1707" s="1896"/>
      <c r="N1707" s="1896"/>
      <c r="Q1707" s="1896"/>
      <c r="R1707" s="1732"/>
    </row>
    <row r="1708" spans="1:18" s="1947" customFormat="1" ht="9" customHeight="1">
      <c r="A1708" s="1904"/>
      <c r="B1708" s="1897" t="s">
        <v>4292</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4293</v>
      </c>
      <c r="D1710" s="449"/>
      <c r="H1710" s="449" t="s">
        <v>4294</v>
      </c>
      <c r="I1710" s="1822"/>
      <c r="K1710" s="2157">
        <f>'Part IX Scoring Criteria'!K55</f>
        <v>57</v>
      </c>
      <c r="L1710" s="1849" t="str">
        <f>IF(AND(O1710&gt;0,O1711&gt;0), "CHOOSE EITHER A OR B, NOT BOTH!", "")</f>
        <v/>
      </c>
      <c r="M1710" s="1732">
        <v>2</v>
      </c>
      <c r="N1710" s="1960" t="s">
        <v>1938</v>
      </c>
      <c r="O1710" s="1923">
        <f>'Part IX Scoring Criteria'!O55</f>
        <v>2</v>
      </c>
      <c r="P1710" s="1923"/>
      <c r="Q1710" s="1843" t="str">
        <f>IF(OR($O1710=$M1710,$O1710=0,$O1710=""),"","*CHECK!*")</f>
        <v/>
      </c>
      <c r="R1710" s="1823" t="s">
        <v>4767</v>
      </c>
    </row>
    <row r="1711" spans="1:18" s="1947" customFormat="1" ht="13.5" customHeight="1">
      <c r="A1711" s="1940" t="s">
        <v>3237</v>
      </c>
      <c r="B1711" s="2156" t="s">
        <v>1940</v>
      </c>
      <c r="C1711" s="1959" t="s">
        <v>4295</v>
      </c>
      <c r="D1711" s="449"/>
      <c r="I1711" s="1822"/>
      <c r="K1711" s="449"/>
      <c r="L1711" s="1849"/>
      <c r="M1711" s="1732">
        <v>2</v>
      </c>
      <c r="N1711" s="1960" t="s">
        <v>1940</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6937</v>
      </c>
      <c r="E1713" s="1945"/>
      <c r="H1713" s="1822" t="s">
        <v>4296</v>
      </c>
      <c r="I1713" s="1822"/>
      <c r="J1713" s="1961" t="s">
        <v>4297</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50</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3707</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6938</v>
      </c>
      <c r="J1722" s="1956"/>
      <c r="K1722" s="1956"/>
      <c r="L1722" s="1956"/>
      <c r="M1722" s="1896">
        <v>10</v>
      </c>
      <c r="N1722" s="1960" t="s">
        <v>1935</v>
      </c>
      <c r="O1722" s="1923">
        <f>'Part IX Scoring Criteria'!O67</f>
        <v>10</v>
      </c>
      <c r="P1722" s="1923"/>
      <c r="Q1722" s="1843" t="str">
        <f>IF(OR($O1722=$M1722,$O1722=0,$O1722=""),"","*CHECK!*")</f>
        <v/>
      </c>
      <c r="R1722" s="1823" t="s">
        <v>4767</v>
      </c>
    </row>
    <row r="1723" spans="1:18" s="1947" customFormat="1" ht="12.6" customHeight="1">
      <c r="A1723" s="1904" t="s">
        <v>1937</v>
      </c>
      <c r="B1723" s="1897" t="s">
        <v>3628</v>
      </c>
      <c r="D1723" s="1962"/>
      <c r="F1723" s="1963"/>
      <c r="H1723" s="1863" t="s">
        <v>3729</v>
      </c>
      <c r="I1723" s="1956"/>
      <c r="J1723" s="1956"/>
      <c r="K1723" s="1956"/>
      <c r="L1723" s="1956"/>
      <c r="M1723" s="1229" t="s">
        <v>1212</v>
      </c>
      <c r="N1723" s="1940" t="s">
        <v>1937</v>
      </c>
      <c r="O1723" s="1923">
        <f>'Part IX Scoring Criteria'!O68</f>
        <v>0</v>
      </c>
      <c r="P1723" s="1923"/>
      <c r="R1723" s="1823" t="s">
        <v>4767</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The project is located on a VA Medical Center campus, where desirable features such as the Hospital, Emergency Care facility, pharmacy, post office, and police services are all available.  However, in the event that any non-Veterans may live at the property, we have included amenities that are accessible by any potential resident in sufficient number to qualify for the full 10 points.  Given the location, there are no undesirable activities located near the property.  We have utilized walking distances throughout to demonstrate the significant walkability of the site.  There is the possibility that the VA will be providing a sidewalk from the property to the intersecton of Hillcrest and Veterans Boulevard, which will even further reduce walking distances to many amenities.  While it is not possible to note the presence of the Home Depot in the amenities section, given that corporation's support of Veterans and having this store immediately adjacent to the site affords the opportunity for employment for residents who otherwise might have difficulty finding jobs.  While just outside of the limits for points, 2.1 miles from the property is a Super WalMart, another attractive feature to the location.  Middle Georgia College has a campus adjacent to the VA as well.  Again, this is not a point desirable (though it should be), but it is a highly desirable amenity for the population.  For the type of residency we project, the number of restaurants, job centers, education institutions and medical care facilities make this a spectacular location for housing.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6975</v>
      </c>
      <c r="S1729" s="1952"/>
      <c r="T1729" s="1952"/>
      <c r="U1729" s="1952"/>
    </row>
    <row r="1730" spans="1:21" s="1951" customFormat="1" ht="17.25" customHeight="1">
      <c r="A1730" s="2150"/>
      <c r="B1730" s="1897" t="s">
        <v>3708</v>
      </c>
      <c r="D1730" s="2163"/>
      <c r="H1730" s="1897" t="s">
        <v>2702</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4303</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4304</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6910</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4299</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3535</v>
      </c>
      <c r="G1736" s="1897"/>
      <c r="H1736" s="1897"/>
      <c r="I1736" s="1897"/>
      <c r="J1736" s="1897" t="s">
        <v>3536</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3713</v>
      </c>
      <c r="D1737" s="1855"/>
      <c r="E1737" s="1849"/>
      <c r="F1737" s="1965">
        <f>'Part IX Scoring Criteria'!F82</f>
        <v>32.538440000000001</v>
      </c>
      <c r="G1737" s="1965"/>
      <c r="H1737" s="1965"/>
      <c r="I1737" s="1965"/>
      <c r="J1737" s="1965">
        <f>'Part IX Scoring Criteria'!J82</f>
        <v>-82.945049999999995</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32.538440000000001</v>
      </c>
      <c r="G1738" s="1965"/>
      <c r="H1738" s="1965"/>
      <c r="I1738" s="1965"/>
      <c r="J1738" s="1965">
        <f>'Part IX Scoring Criteria'!J83</f>
        <v>-82.945049999999995</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3559</v>
      </c>
      <c r="D1744" s="2163"/>
      <c r="F1744" s="449" t="s">
        <v>6911</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6939</v>
      </c>
      <c r="D1745" s="1936"/>
      <c r="E1745" s="1936"/>
      <c r="F1745" s="1936"/>
      <c r="G1745" s="1936"/>
      <c r="H1745" s="1936"/>
      <c r="I1745" s="1963" t="s">
        <v>6940</v>
      </c>
      <c r="J1745" s="1963"/>
      <c r="K1745" s="1963"/>
      <c r="L1745" s="1963"/>
      <c r="M1745" s="1967">
        <v>5</v>
      </c>
      <c r="N1745" s="1968" t="s">
        <v>1938</v>
      </c>
      <c r="O1745" s="2166">
        <f>'Part IX Scoring Criteria'!O90</f>
        <v>0</v>
      </c>
      <c r="P1745" s="2166"/>
      <c r="Q1745" s="1843" t="str">
        <f>IF(OR($O1745=$M1745,$O1745=0,$O1745=""),"","*CHECK!*")</f>
        <v/>
      </c>
      <c r="R1745" s="1823" t="s">
        <v>4767</v>
      </c>
    </row>
    <row r="1746" spans="1:21" s="1950" customFormat="1" ht="12" customHeight="1">
      <c r="A1746" s="1229" t="s">
        <v>1326</v>
      </c>
      <c r="B1746" s="1968" t="s">
        <v>1940</v>
      </c>
      <c r="C1746" s="1936" t="s">
        <v>6941</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4767</v>
      </c>
    </row>
    <row r="1747" spans="1:21" s="1950" customFormat="1" ht="12" customHeight="1">
      <c r="B1747" s="1968" t="s">
        <v>2467</v>
      </c>
      <c r="C1747" s="1936" t="s">
        <v>3560</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4767</v>
      </c>
    </row>
    <row r="1748" spans="1:21" s="1950" customFormat="1" ht="12" customHeight="1">
      <c r="B1748" s="1968"/>
      <c r="C1748" s="1863" t="s">
        <v>3777</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3561</v>
      </c>
      <c r="C1750" s="1772"/>
      <c r="D1750" s="1772"/>
      <c r="E1750" s="1772"/>
      <c r="F1750" s="1936" t="s">
        <v>6912</v>
      </c>
      <c r="I1750" s="1956" t="str">
        <f>'Part IX Scoring Criteria'!I95</f>
        <v>Carl Vinson VA Medical Center</v>
      </c>
      <c r="J1750" s="1956"/>
      <c r="K1750" s="1956"/>
      <c r="L1750" s="2230" t="str">
        <f>'Part IX Scoring Criteria'!L95</f>
        <v>478-272-1210, ext 2729</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3589</v>
      </c>
      <c r="C1751" s="1822" t="s">
        <v>4302</v>
      </c>
      <c r="D1751" s="1962"/>
      <c r="E1751" s="1947"/>
      <c r="F1751" s="1947"/>
      <c r="G1751" s="1947"/>
      <c r="H1751" s="449"/>
      <c r="I1751" s="1956"/>
      <c r="J1751" s="1956"/>
      <c r="K1751" s="1956"/>
      <c r="L1751" s="2230"/>
      <c r="M1751" s="1947"/>
      <c r="N1751" s="1940" t="s">
        <v>3589</v>
      </c>
      <c r="O1751" s="1229" t="str">
        <f>'Part IX Scoring Criteria'!O96</f>
        <v>N/a</v>
      </c>
      <c r="P1751" s="1229"/>
      <c r="Q1751" s="1896"/>
      <c r="R1751" s="1955"/>
      <c r="S1751" s="1950"/>
      <c r="T1751" s="1950"/>
      <c r="U1751" s="1950"/>
    </row>
    <row r="1752" spans="1:21" s="1951" customFormat="1" ht="11.25" customHeight="1">
      <c r="A1752" s="2150"/>
      <c r="B1752" s="1940" t="s">
        <v>3590</v>
      </c>
      <c r="C1752" s="1822" t="s">
        <v>4301</v>
      </c>
      <c r="D1752" s="1962"/>
      <c r="E1752" s="1947"/>
      <c r="F1752" s="1947"/>
      <c r="G1752" s="1947"/>
      <c r="H1752" s="449"/>
      <c r="I1752" s="1956" t="str">
        <f>'Part IX Scoring Criteria'!I97</f>
        <v>keith.griffin@va.gov</v>
      </c>
      <c r="J1752" s="1956"/>
      <c r="K1752" s="1956"/>
      <c r="L1752" s="1956"/>
      <c r="M1752" s="1947"/>
      <c r="N1752" s="1940" t="s">
        <v>3590</v>
      </c>
      <c r="O1752" s="1229" t="str">
        <f>'Part IX Scoring Criteria'!O97</f>
        <v>N/a</v>
      </c>
      <c r="P1752" s="1229"/>
      <c r="Q1752" s="1896"/>
      <c r="R1752" s="1955"/>
      <c r="S1752" s="1950"/>
      <c r="T1752" s="1950"/>
      <c r="U1752" s="1950"/>
    </row>
    <row r="1753" spans="1:21" s="1950" customFormat="1" ht="12" customHeight="1">
      <c r="A1753" s="1904"/>
      <c r="B1753" s="2167" t="s">
        <v>1938</v>
      </c>
      <c r="C1753" s="449" t="s">
        <v>6942</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4767</v>
      </c>
    </row>
    <row r="1754" spans="1:21" s="1951" customFormat="1" ht="12" customHeight="1">
      <c r="A1754" s="1229" t="s">
        <v>1326</v>
      </c>
      <c r="B1754" s="2167" t="s">
        <v>1940</v>
      </c>
      <c r="C1754" s="449" t="s">
        <v>6943</v>
      </c>
      <c r="D1754" s="449"/>
      <c r="E1754" s="449"/>
      <c r="F1754" s="449"/>
      <c r="G1754" s="449"/>
      <c r="H1754" s="449"/>
      <c r="I1754" s="1956" t="str">
        <f>'Part IX Scoring Criteria'!I99</f>
        <v>www.dublin.va.gov/location/directions.asp</v>
      </c>
      <c r="J1754" s="1956"/>
      <c r="K1754" s="1956"/>
      <c r="L1754" s="1956"/>
      <c r="M1754" s="1896">
        <v>2</v>
      </c>
      <c r="N1754" s="1969" t="s">
        <v>1940</v>
      </c>
      <c r="O1754" s="1923">
        <f>'Part IX Scoring Criteria'!O99</f>
        <v>0</v>
      </c>
      <c r="P1754" s="1923"/>
      <c r="Q1754" s="1993" t="str">
        <f>IF(OR($O1754=$M1754,$O1754=0,$O1754=""),"","*CHECK!*")</f>
        <v/>
      </c>
      <c r="R1754" s="1823" t="s">
        <v>4767</v>
      </c>
    </row>
    <row r="1755" spans="1:21" s="1951" customFormat="1" ht="14.25" customHeight="1">
      <c r="A1755" s="1229" t="s">
        <v>1326</v>
      </c>
      <c r="B1755" s="2167" t="s">
        <v>2467</v>
      </c>
      <c r="C1755" s="449" t="s">
        <v>6944</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Not applicable--On call system</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While Laurens County does not have a public transportion system the Carl Vinson VAMC is a federal reservation within the county which operates independent of the county government.  To serve its residents, it provides an on-campus transportation service to transport residents to and from VAMC medical appointments.  It also works in conjunction with local transportation companies to provide off-campus transportation vouchers to access services in the larger community to on-campus residents as a means of offering a public transportation option to its residents.   Within the parameters of the VA Medical Center, this constitutes a public transportation system.</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3728</v>
      </c>
      <c r="D1769" s="1962"/>
      <c r="E1769" s="449" t="s">
        <v>3783</v>
      </c>
      <c r="G1769" s="1908"/>
      <c r="I1769" s="1940" t="s">
        <v>3777</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4728</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4306</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3730</v>
      </c>
      <c r="L1774" s="1732" t="str">
        <f>IF(OR($O1774=$M1774,$O1774=0,$O1774=""),"","* * Check Score! * *")</f>
        <v/>
      </c>
      <c r="M1774" s="1732">
        <v>3</v>
      </c>
      <c r="N1774" s="1940" t="s">
        <v>1937</v>
      </c>
      <c r="O1774" s="1923">
        <f>'Part IX Scoring Criteria'!O119</f>
        <v>3</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4612</v>
      </c>
      <c r="D1776" s="1956" t="s">
        <v>4306</v>
      </c>
      <c r="E1776" s="1956"/>
      <c r="F1776" s="1956"/>
      <c r="G1776" s="1956" t="str">
        <f>'Part IX Scoring Criteria'!G121</f>
        <v>Carl Vinson VA Medical Center</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t="str">
        <f>'Part IX Scoring Criteria'!O122</f>
        <v>Yes</v>
      </c>
      <c r="P1777" s="1229"/>
      <c r="Q1777" s="2125"/>
      <c r="R1777" s="2125"/>
      <c r="S1777" s="2125"/>
      <c r="T1777" s="2125"/>
    </row>
    <row r="1778" spans="1:21" s="449" customFormat="1" ht="10.5" customHeight="1">
      <c r="A1778" s="1940"/>
      <c r="B1778" s="1969"/>
      <c r="C1778" s="449" t="s">
        <v>4617</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3805</v>
      </c>
      <c r="E1779" s="449"/>
      <c r="F1779" s="449"/>
      <c r="G1779" s="449"/>
      <c r="L1779" s="1945" t="s">
        <v>3616</v>
      </c>
      <c r="O1779" s="1945" t="s">
        <v>3615</v>
      </c>
      <c r="Q1779" s="449"/>
    </row>
    <row r="1780" spans="1:21" s="1945" customFormat="1" ht="10.95" customHeight="1">
      <c r="A1780" s="1940"/>
      <c r="B1780" s="1940"/>
      <c r="C1780" s="1956" t="str">
        <f>'Part IX Scoring Criteria'!C125</f>
        <v>Blood Pressure Screening/Monitoring--Counseling and Treatment</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Diabetes Checks/Counseling/Treatment Options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 xml:space="preserve">Alcohol Use/Smoking/Legal/Illegal Drug Use/Counseling/Treatments </v>
      </c>
      <c r="D1782" s="1956"/>
      <c r="E1782" s="1956"/>
      <c r="F1782" s="1956"/>
      <c r="G1782" s="1956"/>
      <c r="H1782" s="1956"/>
      <c r="I1782" s="1956"/>
      <c r="J1782" s="1956"/>
      <c r="K1782" s="1956"/>
      <c r="L1782" s="1936" t="str">
        <f>'Part IX Scoring Criteria'!L127</f>
        <v>weekly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Depression/PTSD/Suicide information/Screening/Support Groups</v>
      </c>
      <c r="D1783" s="1956"/>
      <c r="E1783" s="1956"/>
      <c r="F1783" s="1956"/>
      <c r="G1783" s="1956"/>
      <c r="H1783" s="1956"/>
      <c r="I1783" s="1956"/>
      <c r="J1783" s="1956"/>
      <c r="K1783" s="1956"/>
      <c r="L1783" s="1936" t="str">
        <f>'Part IX Scoring Criteria'!L128</f>
        <v>Daily</v>
      </c>
      <c r="M1783" s="1936"/>
      <c r="N1783" s="1936"/>
      <c r="O1783" s="2231">
        <f>'Part IX Scoring Criteria'!O128</f>
        <v>0</v>
      </c>
      <c r="P1783" s="2231"/>
      <c r="Q1783" s="449" t="str">
        <f>IF(O1783&gt;15, "Too much!","")</f>
        <v/>
      </c>
    </row>
    <row r="1784" spans="1:21" s="1947" customFormat="1" ht="10.5" customHeight="1">
      <c r="B1784" s="2167" t="s">
        <v>1940</v>
      </c>
      <c r="C1784" s="449" t="s">
        <v>4613</v>
      </c>
      <c r="D1784" s="449" t="s">
        <v>4618</v>
      </c>
      <c r="E1784" s="449"/>
      <c r="F1784" s="449"/>
      <c r="G1784" s="449"/>
      <c r="N1784" s="1942" t="s">
        <v>4809</v>
      </c>
      <c r="O1784" s="1229" t="str">
        <f>'Part IX Scoring Criteria'!O129</f>
        <v>Yes</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6945</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2375</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6946</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3624</v>
      </c>
      <c r="E1795" s="449"/>
      <c r="F1795" s="449"/>
      <c r="G1795" s="1945" t="s">
        <v>3807</v>
      </c>
      <c r="Q1795" s="449"/>
    </row>
    <row r="1796" spans="1:23" s="1945" customFormat="1" ht="21" customHeight="1">
      <c r="B1796" s="1940"/>
      <c r="C1796" s="1956" t="str">
        <f>'Part IX Scoring Criteria'!C141</f>
        <v>Nutrition Basics and Healthy Eating Option</v>
      </c>
      <c r="D1796" s="1956"/>
      <c r="E1796" s="1956"/>
      <c r="F1796" s="1956"/>
      <c r="G1796" s="1956" t="str">
        <f>'Part IX Scoring Criteria'!G141</f>
        <v>Classes will be linked to the Gardening options, food lists for healthy nutrition buying and food preparation, healthy eating menus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Weight Management Strategies and Objectives</v>
      </c>
      <c r="D1797" s="1956"/>
      <c r="E1797" s="1956"/>
      <c r="F1797" s="1956"/>
      <c r="G1797" s="1956" t="str">
        <f>'Part IX Scoring Criteria'!G142</f>
        <v xml:space="preserve">Regular weigh-ins, contests for weight loss, linkages between BMI and health, lipids understanding relative to diet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Exercise Programs, Options and Goals</v>
      </c>
      <c r="D1798" s="1956"/>
      <c r="E1798" s="1956"/>
      <c r="F1798" s="1956"/>
      <c r="G1798" s="1956" t="str">
        <f>'Part IX Scoring Criteria'!G143</f>
        <v>Regular (daily) exercise program, information on linking proper exericise to physical condition, age and goals, training in proper exercise technique for desired results</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Linkages of Diet, Exercise, Physical Examinations and Treatment and Long-term Health Benefits</v>
      </c>
      <c r="D1799" s="1956"/>
      <c r="E1799" s="1956"/>
      <c r="F1799" s="1956"/>
      <c r="G1799" s="1956" t="str">
        <f>'Part IX Scoring Criteria'!G144</f>
        <v>Classes in putting it all together, how the various factors of the components lead to a vital life, longer life, less medical conditions and treatment</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Developer has established a core relationship with the Carl Vinson VA Medical Center to provide a comprehensive array of Healthcare Services for the population.  The VA will provide a Health Services Coordinator and the Developer will complement that with a Part-Time Activities Director/Coordinator.  A well-equipped examination room will be provided on site, and VA personnel will be available to the residents on a daily basis to provide medical screenings and services that can be done on site.  If required, the residents will be transported to the VA Medical Center for further diagnosis and treatment.  Classes across a broad range of physical health, fitness, mental health and lifestyle choices and implications will be conducted on a regular and ongoing basis for all residents.  A full scale Community Gardening program will be operating in conjunction with the Laurens County Extension Service and the Georgia Master Gardeners program which will hold classes and training in all aspects of small plot gardening, and reinforce that with classes and instruction regarding the above mentioned health programs, coordinated in conjunction with the VA, through its Health Services Coordinator.</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5</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3731</v>
      </c>
      <c r="D1807" s="1962"/>
      <c r="E1807" s="1962"/>
      <c r="G1807" s="1962"/>
      <c r="H1807" s="1962"/>
      <c r="I1807" s="1962"/>
      <c r="J1807" s="1962"/>
      <c r="K1807" s="1962"/>
      <c r="L1807" s="1962"/>
      <c r="M1807" s="1896">
        <v>3</v>
      </c>
      <c r="N1807" s="1960"/>
      <c r="O1807" s="1896">
        <f>'Part IX Scoring Criteria'!O152</f>
        <v>3</v>
      </c>
      <c r="P1807" s="1896"/>
      <c r="Q1807" s="1843" t="str">
        <f>IF(OR($O1807=$M1807,$O1807=0,$O1807=""),"","*CHECK!*")</f>
        <v/>
      </c>
      <c r="R1807" s="1823" t="s">
        <v>4767</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3619</v>
      </c>
      <c r="F1810" s="1947"/>
      <c r="G1810" s="449"/>
      <c r="H1810" s="1947"/>
      <c r="I1810" s="449" t="str">
        <f>'Part IX Scoring Criteria'!I155</f>
        <v>Dublin City Schools</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4308</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4309</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4505</v>
      </c>
      <c r="C1814" s="1939"/>
      <c r="D1814" s="1939"/>
      <c r="E1814" s="449"/>
      <c r="F1814" s="1908"/>
      <c r="G1814" s="1908"/>
      <c r="I1814" s="1939"/>
      <c r="J1814" s="1939"/>
      <c r="K1814" s="1939"/>
      <c r="L1814" s="1939"/>
      <c r="M1814" s="1955" t="s">
        <v>4307</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3647</v>
      </c>
      <c r="I1816" s="449"/>
      <c r="J1816" s="449"/>
      <c r="K1816" s="1955" t="s">
        <v>3618</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6830</v>
      </c>
      <c r="C1817" s="1908"/>
      <c r="E1817" s="2164" t="s">
        <v>4787</v>
      </c>
      <c r="F1817" s="1817" t="s">
        <v>4761</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Susie Dasher Elementary School</v>
      </c>
      <c r="C1818" s="1822"/>
      <c r="D1818" s="1822"/>
      <c r="E1818" s="1983" t="str">
        <f>'Part IX Scoring Criteria'!E163</f>
        <v>Other</v>
      </c>
      <c r="F1818" s="1229" t="str">
        <f>'Part IX Scoring Criteria'!F163</f>
        <v>No</v>
      </c>
      <c r="G1818" s="1983" t="str">
        <f>'Part IX Scoring Criteria'!G163</f>
        <v>k-4</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t="str">
        <f>'Part IX Scoring Criteria'!O163</f>
        <v>Yes</v>
      </c>
      <c r="P1818" s="1229"/>
      <c r="Q1818" s="2399">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Dublin Middle School</v>
      </c>
      <c r="C1819" s="1822"/>
      <c r="D1819" s="1822"/>
      <c r="E1819" s="1983" t="str">
        <f>'Part IX Scoring Criteria'!E164</f>
        <v>Other</v>
      </c>
      <c r="F1819" s="1229" t="str">
        <f>'Part IX Scoring Criteria'!F164</f>
        <v>No</v>
      </c>
      <c r="G1819" s="1983" t="str">
        <f>'Part IX Scoring Criteria'!G164</f>
        <v>5-8</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t="str">
        <f>'Part IX Scoring Criteria'!O164</f>
        <v>Yes</v>
      </c>
      <c r="P1819" s="1229"/>
      <c r="Q1819" s="2399">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Dublin High School</v>
      </c>
      <c r="C1820" s="1822"/>
      <c r="D1820" s="1822"/>
      <c r="E1820" s="1983" t="str">
        <f>'Part IX Scoring Criteria'!E165</f>
        <v>Other</v>
      </c>
      <c r="F1820" s="1229" t="str">
        <f>'Part IX Scoring Criteria'!F165</f>
        <v>No</v>
      </c>
      <c r="G1820" s="1983" t="str">
        <f>'Part IX Scoring Criteria'!G165</f>
        <v>9-12</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t="str">
        <f>'Part IX Scoring Criteria'!O165</f>
        <v>Yes</v>
      </c>
      <c r="P1820" s="1229"/>
      <c r="Q1820" s="2399">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399">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399">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399">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399">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399">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399">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399">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3732</v>
      </c>
      <c r="D1830" s="1962"/>
      <c r="E1830" s="1962"/>
      <c r="F1830" s="1908"/>
      <c r="H1830" s="1908" t="s">
        <v>4566</v>
      </c>
      <c r="M1830" s="1896">
        <v>2</v>
      </c>
      <c r="N1830" s="1960"/>
      <c r="O1830" s="1923">
        <f>'Part IX Scoring Criteria'!O175</f>
        <v>2</v>
      </c>
      <c r="P1830" s="1923">
        <f>'Part IX Scoring Criteria'!P175</f>
        <v>0</v>
      </c>
      <c r="Q1830" s="1896"/>
      <c r="R1830" s="1843"/>
    </row>
    <row r="1831" spans="1:24" s="1945" customFormat="1" ht="12.75" customHeight="1">
      <c r="E1831" s="1945" t="s">
        <v>3822</v>
      </c>
      <c r="F1831" s="1945" t="s">
        <v>3486</v>
      </c>
      <c r="G1831" s="1918" t="s">
        <v>3284</v>
      </c>
      <c r="H1831" s="1918"/>
      <c r="I1831" s="1918"/>
      <c r="J1831" s="1918"/>
      <c r="K1831" s="1918"/>
      <c r="L1831" s="1918"/>
      <c r="M1831" s="1918"/>
      <c r="N1831" s="1918"/>
      <c r="P1831" s="1936"/>
      <c r="R1831" s="449" t="s">
        <v>2734</v>
      </c>
      <c r="S1831" s="449"/>
      <c r="T1831" s="449" t="str">
        <f>'Part I-Project Information'!$F$38</f>
        <v>Dublin</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3487</v>
      </c>
      <c r="R1832" s="449" t="s">
        <v>2735</v>
      </c>
      <c r="S1832" s="449"/>
      <c r="T1832" s="449" t="str">
        <f>'Part I-Project Information'!$J$39</f>
        <v>Laurens</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Laurens Co.</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3643</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3000</v>
      </c>
      <c r="J1836" s="1925"/>
      <c r="K1836" s="1918" t="b">
        <f>IF(I1836="","",IF(I1836&lt;E1833,"Minimum Jobs Threshold entered is below lowest in chart!"))</f>
        <v>0</v>
      </c>
      <c r="R1836" s="449" t="s">
        <v>3460</v>
      </c>
      <c r="S1836" s="449"/>
      <c r="T1836" s="449" t="str">
        <f>'Part I-Project Information'!$K$40</f>
        <v>Rural</v>
      </c>
      <c r="U1836" s="449"/>
      <c r="V1836" s="449"/>
      <c r="W1836" s="449"/>
      <c r="X1836" s="449"/>
    </row>
    <row r="1837" spans="1:24" s="1945" customFormat="1" ht="12" customHeight="1">
      <c r="A1837" s="1955"/>
      <c r="B1837" s="1944" t="s">
        <v>3459</v>
      </c>
      <c r="H1837" s="1943" t="str">
        <f>IF(I1837&lt;I1836,"Threshold not met!","")</f>
        <v/>
      </c>
      <c r="I1837" s="1925">
        <f>'Part IX Scoring Criteria'!I182</f>
        <v>8216</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3821</v>
      </c>
      <c r="H1839" s="1975" t="s">
        <v>1938</v>
      </c>
      <c r="I1839" s="1985" t="str">
        <f>'Part IX Scoring Criteria'!I184</f>
        <v>Yes</v>
      </c>
      <c r="J1839" s="1985" t="str">
        <f>IF(OR(J1836="",J1837=""),"",IF(J1837&gt;=J1836,"Yes","No"))</f>
        <v/>
      </c>
    </row>
    <row r="1840" spans="1:24" s="1945" customFormat="1" ht="11.25" customHeight="1">
      <c r="A1840" s="1945" t="s">
        <v>1326</v>
      </c>
      <c r="B1840" s="1960" t="s">
        <v>1940</v>
      </c>
      <c r="C1840" s="449" t="s">
        <v>3736</v>
      </c>
      <c r="D1840" s="1944"/>
      <c r="E1840" s="1944"/>
      <c r="F1840" s="1944"/>
      <c r="H1840" s="1975" t="s">
        <v>1940</v>
      </c>
      <c r="I1840" s="1817" t="str">
        <f>'Part IX Scoring Criteria'!I185</f>
        <v>Yes</v>
      </c>
      <c r="J1840" s="1817" t="str">
        <f>IF(OR(J1836="",J1837=""),"",IF(J1837&gt;=HLOOKUP(J1836,$E$178:$P$179,2),"Yes","No"))</f>
        <v/>
      </c>
    </row>
    <row r="1841" spans="1:21" s="1945" customFormat="1" ht="11.25" customHeight="1">
      <c r="B1841" s="1904"/>
      <c r="C1841" s="1944" t="s">
        <v>3660</v>
      </c>
      <c r="D1841" s="1944"/>
      <c r="E1841" s="1944"/>
      <c r="F1841" s="1944"/>
      <c r="G1841" s="1944"/>
      <c r="I1841" s="2138">
        <f>IF(I1837="",0,(I1837/I1836) - 1)</f>
        <v>1.7386666666666666</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The three schools serving Dublin all beat the odds in either 2018 and/or 2019.  No CCRPI data is included.  Documentation has been provided in Tab 30 Section A along with letters from the respective school systems regarding the eligibility of Freedom's Path students to attend the schools.  The Jobs printout of the Latitude/Longitude coordinates used to identify the local jobs was also used and included as well as the printout of the jobs number.  When the jobs location is pulled up on the website, while close, it does not correspond exactly to the Lat/Long input.  However, the difference is minimal, by just what looks like a 100 feet or so, providing assurance that the jobs numbers are accurate</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4600</v>
      </c>
      <c r="C1851" s="1897"/>
      <c r="D1851" s="1897"/>
      <c r="E1851" s="1897"/>
      <c r="F1851" s="1897"/>
      <c r="G1851" s="1897" t="s">
        <v>6882</v>
      </c>
      <c r="H1851" s="1897"/>
      <c r="I1851" s="1897"/>
      <c r="J1851" s="1897"/>
      <c r="K1851" s="1817" t="s">
        <v>4755</v>
      </c>
      <c r="L1851" s="1817" t="s">
        <v>4755</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4382</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4601</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4598</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4381</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6914</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4310</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4594</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4311</v>
      </c>
      <c r="Q1864" s="1843"/>
      <c r="X1864" s="1874"/>
      <c r="Y1864" s="1940"/>
    </row>
    <row r="1865" spans="1:25" ht="22.5" customHeight="1">
      <c r="A1865" s="1940"/>
      <c r="B1865" s="2172" t="s">
        <v>1938</v>
      </c>
      <c r="C1865" s="1936" t="s">
        <v>6883</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6951</v>
      </c>
      <c r="D1866" s="1936"/>
      <c r="E1866" s="1936"/>
      <c r="F1866" s="1936"/>
      <c r="G1866" s="1936"/>
      <c r="H1866" s="1936"/>
      <c r="I1866" s="1936"/>
      <c r="J1866" s="1908" t="s">
        <v>3588</v>
      </c>
      <c r="K1866" s="1815"/>
      <c r="L1866" s="1908" t="str">
        <f>'Part I-Project Information'!$N$39</f>
        <v>No</v>
      </c>
      <c r="M1866" s="1229">
        <v>2</v>
      </c>
      <c r="N1866" s="1969" t="s">
        <v>1940</v>
      </c>
      <c r="O1866" s="1958">
        <f>'Part IX Scoring Criteria'!O211</f>
        <v>0</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3438</v>
      </c>
      <c r="K1867" s="449"/>
      <c r="L1867" s="1977" t="str">
        <f>'Part I-Project Information'!$O$38</f>
        <v>9505.00</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1937</v>
      </c>
      <c r="B1869" s="1897" t="s">
        <v>4312</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4767</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3640</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3590</v>
      </c>
      <c r="C1872" s="1908" t="s">
        <v>3641</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3591</v>
      </c>
      <c r="C1873" s="1908" t="s">
        <v>4570</v>
      </c>
      <c r="D1873" s="1815"/>
      <c r="E1873" s="1815"/>
      <c r="F1873" s="1815"/>
      <c r="G1873" s="1815"/>
      <c r="H1873" s="1815"/>
      <c r="I1873" s="1815"/>
      <c r="J1873" s="1229">
        <f>'Part IX Scoring Criteria'!J218</f>
        <v>0</v>
      </c>
      <c r="K1873" s="449" t="s">
        <v>4314</v>
      </c>
      <c r="L1873" s="449"/>
      <c r="M1873" s="449"/>
      <c r="N1873" s="449"/>
      <c r="O1873" s="1947"/>
      <c r="P1873" s="1947"/>
      <c r="V1873" s="2125"/>
      <c r="W1873" s="2125"/>
    </row>
    <row r="1874" spans="1:23" ht="11.25" customHeight="1">
      <c r="A1874" s="1930"/>
      <c r="B1874" s="1940" t="s">
        <v>3593</v>
      </c>
      <c r="C1874" s="1908" t="s">
        <v>4313</v>
      </c>
      <c r="D1874" s="1815"/>
      <c r="E1874" s="1815"/>
      <c r="F1874" s="1815"/>
      <c r="G1874" s="1815"/>
      <c r="H1874" s="1815"/>
      <c r="I1874" s="1815"/>
      <c r="J1874" s="1229">
        <f>'Part IX Scoring Criteria'!J219</f>
        <v>0</v>
      </c>
      <c r="K1874" s="449"/>
      <c r="L1874" s="449"/>
      <c r="M1874" s="449"/>
      <c r="N1874" s="449"/>
      <c r="O1874" s="2233">
        <f>'Part IX Scoring Criteria'!O219</f>
        <v>0</v>
      </c>
      <c r="P1874" s="1978" t="s">
        <v>3596</v>
      </c>
      <c r="V1874" s="2125"/>
      <c r="W1874" s="2125"/>
    </row>
    <row r="1875" spans="1:23" ht="11.25" customHeight="1">
      <c r="A1875" s="1930"/>
      <c r="B1875" s="1940" t="s">
        <v>3594</v>
      </c>
      <c r="C1875" s="1908" t="s">
        <v>4316</v>
      </c>
      <c r="D1875" s="1815"/>
      <c r="E1875" s="1815"/>
      <c r="F1875" s="1815"/>
      <c r="G1875" s="1815"/>
      <c r="H1875" s="1815"/>
      <c r="I1875" s="1815"/>
      <c r="J1875" s="1229">
        <f>'Part IX Scoring Criteria'!J220</f>
        <v>0</v>
      </c>
      <c r="L1875" s="1940" t="s">
        <v>4315</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4366</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6812</v>
      </c>
      <c r="D1881" s="1939"/>
      <c r="G1881" s="1979">
        <f>'Part IV-A-Uses of Funds'!$G$132</f>
        <v>9105000</v>
      </c>
      <c r="H1881" s="1979"/>
      <c r="J1881" s="1980">
        <f>IF($J1880=0,0,$J1880/$G$226)</f>
        <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Not Applicable</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4117</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6952</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4572</v>
      </c>
      <c r="N1892" s="1940" t="s">
        <v>2373</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4758</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6884</v>
      </c>
      <c r="D1897" s="1815"/>
      <c r="G1897" s="1944" t="s">
        <v>3592</v>
      </c>
      <c r="Q1897" s="1843"/>
      <c r="R1897" s="1952"/>
      <c r="S1897" s="1952"/>
      <c r="T1897" s="1952"/>
      <c r="U1897" s="1952"/>
    </row>
    <row r="1898" spans="1:23" s="1815" customFormat="1" ht="11.25" customHeight="1">
      <c r="A1898" s="1940"/>
      <c r="C1898" s="449" t="s">
        <v>3644</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3740</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3742</v>
      </c>
      <c r="D1903" s="1936"/>
      <c r="E1903" s="1936"/>
      <c r="F1903" s="1936"/>
      <c r="G1903" s="1944" t="s">
        <v>3592</v>
      </c>
      <c r="H1903" s="1936"/>
      <c r="I1903" s="1936"/>
      <c r="J1903" s="1936"/>
      <c r="K1903" s="1936"/>
      <c r="L1903" s="1936"/>
      <c r="M1903" s="1936"/>
      <c r="N1903" s="1936"/>
      <c r="O1903" s="1229" t="s">
        <v>2443</v>
      </c>
      <c r="P1903" s="1229" t="s">
        <v>2443</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3595</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4383</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3745</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4317</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4318</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6885</v>
      </c>
      <c r="D1912" s="1815"/>
      <c r="G1912" s="1944" t="s">
        <v>3592</v>
      </c>
      <c r="O1912" s="1229" t="s">
        <v>2443</v>
      </c>
      <c r="P1912" s="1229" t="s">
        <v>2443</v>
      </c>
      <c r="Q1912" s="1843"/>
    </row>
    <row r="1913" spans="1:24" ht="22.5" customHeight="1">
      <c r="B1913" s="2172" t="s">
        <v>1938</v>
      </c>
      <c r="C1913" s="449" t="s">
        <v>4574</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4575</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4749</v>
      </c>
      <c r="M1920" s="1896">
        <v>5</v>
      </c>
      <c r="N1920" s="1896"/>
      <c r="O1920" s="1916">
        <f>'Part IX Scoring Criteria'!O265</f>
        <v>0</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4319</v>
      </c>
      <c r="D1922" s="449"/>
      <c r="E1922" s="449"/>
      <c r="G1922" s="1944" t="s">
        <v>4730</v>
      </c>
      <c r="I1922" s="1983" t="str">
        <f>'Part I-Project Information'!$O$38</f>
        <v>9505.00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N/a</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4470</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3746</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399"/>
      <c r="O1930" s="1896"/>
      <c r="P1930" s="1896"/>
      <c r="S1930" s="1963"/>
      <c r="T1930" s="1963"/>
      <c r="U1930" s="1963"/>
    </row>
    <row r="1931" spans="1:24" ht="11.4" customHeight="1">
      <c r="A1931" s="2399" t="s">
        <v>1937</v>
      </c>
      <c r="B1931" s="1992" t="s">
        <v>4320</v>
      </c>
      <c r="C1931" s="1945"/>
      <c r="G1931" s="1944" t="s">
        <v>6800</v>
      </c>
      <c r="I1931" s="2160">
        <f>'Part IX Scoring Criteria'!I276</f>
        <v>0</v>
      </c>
      <c r="K1931" s="1943" t="s">
        <v>4611</v>
      </c>
      <c r="L1931" s="2142">
        <f>'Part IX Scoring Criteria'!L276</f>
        <v>0</v>
      </c>
      <c r="M1931" s="1896">
        <v>2</v>
      </c>
      <c r="N1931" s="1904" t="s">
        <v>1937</v>
      </c>
      <c r="O1931" s="1923">
        <f>'Part IX Scoring Criteria'!O276</f>
        <v>0</v>
      </c>
      <c r="P1931" s="1923"/>
      <c r="Q1931" s="1993" t="str">
        <f>IF(O1931&lt;=M1931,"","*CHECK!*")</f>
        <v/>
      </c>
      <c r="R1931" s="1823" t="s">
        <v>4767</v>
      </c>
      <c r="S1931" s="1963"/>
      <c r="T1931" s="1963"/>
      <c r="U1931" s="1963"/>
    </row>
    <row r="1932" spans="1:24" ht="11.4" customHeight="1">
      <c r="A1932" s="1918"/>
      <c r="B1932" s="1992" t="s">
        <v>1938</v>
      </c>
      <c r="C1932" s="449" t="s">
        <v>4466</v>
      </c>
      <c r="D1932" s="449"/>
      <c r="E1932" s="1987"/>
      <c r="F1932" s="1988"/>
      <c r="G1932" s="449" t="s">
        <v>4321</v>
      </c>
      <c r="H1932" s="449"/>
      <c r="I1932" s="449"/>
      <c r="J1932" s="1815"/>
      <c r="K1932" s="1815"/>
      <c r="L1932" s="1822" t="s">
        <v>6801</v>
      </c>
      <c r="M1932" s="1896"/>
      <c r="N1932" s="1960" t="s">
        <v>1938</v>
      </c>
      <c r="O1932" s="1938" t="str">
        <f>'Part IX Scoring Criteria'!O277</f>
        <v>N/a</v>
      </c>
      <c r="P1932" s="1938"/>
      <c r="Q1932" s="1993"/>
      <c r="R1932" s="1823"/>
      <c r="S1932" s="1963"/>
      <c r="T1932" s="1963"/>
      <c r="U1932" s="1963"/>
    </row>
    <row r="1933" spans="1:24" ht="11.4" customHeight="1">
      <c r="A1933" s="1918"/>
      <c r="B1933" s="1992" t="s">
        <v>1940</v>
      </c>
      <c r="C1933" s="449" t="s">
        <v>4467</v>
      </c>
      <c r="D1933" s="449"/>
      <c r="E1933" s="1987"/>
      <c r="F1933" s="1229"/>
      <c r="G1933" s="449" t="s">
        <v>4322</v>
      </c>
      <c r="H1933" s="449"/>
      <c r="I1933" s="449"/>
      <c r="J1933" s="1815"/>
      <c r="K1933" s="1815"/>
      <c r="L1933" s="1822" t="s">
        <v>6801</v>
      </c>
      <c r="M1933" s="1874"/>
      <c r="N1933" s="1960" t="s">
        <v>1940</v>
      </c>
      <c r="O1933" s="1229" t="str">
        <f>'Part IX Scoring Criteria'!O278</f>
        <v>N/a</v>
      </c>
      <c r="P1933" s="1229"/>
      <c r="Q1933" s="1993"/>
      <c r="R1933" s="1823"/>
      <c r="S1933" s="1963"/>
      <c r="T1933" s="1963"/>
      <c r="U1933" s="1963"/>
    </row>
    <row r="1934" spans="1:24" ht="2.25" customHeight="1">
      <c r="A1934" s="1918"/>
      <c r="B1934" s="1992"/>
      <c r="C1934" s="1945"/>
      <c r="M1934" s="1896"/>
      <c r="N1934" s="2399"/>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Not Applicable.  Census tract does not score any points in either Category A or B.</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399"/>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3605</v>
      </c>
      <c r="H1941" s="1229" t="s">
        <v>3452</v>
      </c>
      <c r="I1941" s="1985">
        <f>IF('Part VI-Revenues &amp; Expenses'!$P$67=0,0,'Part VI-Revenues &amp; Expenses'!$P$64/'Part VI-Revenues &amp; Expenses'!$P$67)</f>
        <v>0</v>
      </c>
      <c r="J1941" s="1943" t="s">
        <v>4605</v>
      </c>
      <c r="K1941" s="2136" t="str">
        <f>'Part I-Project Information'!$K$94</f>
        <v>Income Averaging</v>
      </c>
      <c r="L1941" s="2136"/>
      <c r="M1941" s="1896">
        <v>1</v>
      </c>
      <c r="N1941" s="2399"/>
      <c r="O1941" s="1923">
        <f>'Part IX Scoring Criteria'!O286</f>
        <v>1</v>
      </c>
      <c r="P1941" s="1923">
        <f>'Part IX Scoring Criteria'!P286</f>
        <v>0</v>
      </c>
      <c r="Q1941" s="1896" t="s">
        <v>433</v>
      </c>
    </row>
    <row r="1942" spans="1:22" ht="13.8">
      <c r="A1942" s="1732" t="s">
        <v>1935</v>
      </c>
      <c r="B1942" s="1945" t="s">
        <v>4603</v>
      </c>
      <c r="C1942" s="1945"/>
      <c r="D1942" s="1945" t="s">
        <v>4604</v>
      </c>
      <c r="M1942" s="1896">
        <v>1</v>
      </c>
      <c r="N1942" s="1940" t="s">
        <v>1935</v>
      </c>
      <c r="O1942" s="1923">
        <f>'Part IX Scoring Criteria'!O287</f>
        <v>0</v>
      </c>
      <c r="P1942" s="1923"/>
      <c r="Q1942" s="1993" t="str">
        <f>IF(OR($O1942=$M1942,$O1942=0,$O1942=""),"","*CHECK!*")</f>
        <v/>
      </c>
      <c r="R1942" s="1823" t="s">
        <v>4767</v>
      </c>
    </row>
    <row r="1943" spans="1:22" ht="13.8">
      <c r="A1943" s="1732" t="s">
        <v>1937</v>
      </c>
      <c r="B1943" s="1945" t="s">
        <v>4293</v>
      </c>
      <c r="C1943" s="1945"/>
      <c r="D1943" s="1945" t="s">
        <v>4723</v>
      </c>
      <c r="M1943" s="1874">
        <v>1</v>
      </c>
      <c r="N1943" s="1940" t="s">
        <v>1937</v>
      </c>
      <c r="O1943" s="1923">
        <f>'Part IX Scoring Criteria'!O288</f>
        <v>1</v>
      </c>
      <c r="P1943" s="1923"/>
      <c r="Q1943" s="1993" t="str">
        <f>IF(OR($O1943=$M1943,$O1943=0,$O1943=""),"","*CHECK!*")</f>
        <v/>
      </c>
      <c r="R1943" s="1823" t="s">
        <v>4767</v>
      </c>
    </row>
    <row r="1944" spans="1:22" ht="2.25" customHeight="1">
      <c r="A1944" s="1918"/>
      <c r="B1944" s="1992"/>
      <c r="C1944" s="1945"/>
      <c r="M1944" s="1896"/>
      <c r="N1944" s="2399"/>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3605</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1935</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t="str">
        <f>'Part IX Scoring Criteria'!O294</f>
        <v>N/a</v>
      </c>
      <c r="P1949" s="1229"/>
      <c r="Q1949" s="1817">
        <f>IF(L1949="Yes",1,0)</f>
        <v>0</v>
      </c>
      <c r="R1949" s="1963"/>
      <c r="S1949" s="1963"/>
      <c r="T1949" s="1963"/>
      <c r="U1949" s="1963"/>
      <c r="V1949" s="1963"/>
    </row>
    <row r="1950" spans="1:22" ht="11.25" customHeight="1">
      <c r="A1950" s="1732" t="s">
        <v>1937</v>
      </c>
      <c r="B1950" s="1939" t="s">
        <v>3599</v>
      </c>
      <c r="D1950" s="1939"/>
      <c r="L1950" s="1939"/>
      <c r="M1950" s="2105"/>
      <c r="N1950" s="1940" t="s">
        <v>1937</v>
      </c>
      <c r="O1950" s="1229" t="str">
        <f>'Part IX Scoring Criteria'!O295</f>
        <v>N/a</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6886</v>
      </c>
      <c r="C1958" s="1936"/>
      <c r="D1958" s="1936"/>
      <c r="E1958" s="1936"/>
      <c r="F1958" s="1936"/>
      <c r="G1958" s="1936"/>
      <c r="H1958" s="1936"/>
      <c r="I1958" s="1936"/>
      <c r="J1958" s="1936"/>
      <c r="K1958" s="1936"/>
      <c r="L1958" s="1936"/>
      <c r="M1958" s="1936"/>
      <c r="N1958" s="1942" t="s">
        <v>1935</v>
      </c>
      <c r="O1958" s="1938" t="str">
        <f>'Part IX Scoring Criteria'!O303</f>
        <v>N/a</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4326</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3642</v>
      </c>
      <c r="I1960" s="1940" t="s">
        <v>4326</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t="str">
        <f>'Part IX Scoring Criteria'!O306</f>
        <v>N/a</v>
      </c>
      <c r="P1961" s="1229"/>
      <c r="Q1961" s="1936"/>
      <c r="R1961" s="1936"/>
      <c r="S1961" s="1936"/>
      <c r="T1961" s="1936"/>
    </row>
    <row r="1962" spans="1:27" s="449" customFormat="1" ht="11.25" customHeight="1">
      <c r="A1962" s="1969" t="s">
        <v>731</v>
      </c>
      <c r="B1962" s="449" t="s">
        <v>942</v>
      </c>
      <c r="M1962" s="1896"/>
      <c r="N1962" s="1940" t="s">
        <v>731</v>
      </c>
      <c r="O1962" s="1229" t="str">
        <f>'Part IX Scoring Criteria'!O307</f>
        <v>N/a</v>
      </c>
      <c r="P1962" s="1229"/>
      <c r="Q1962" s="1936"/>
      <c r="R1962" s="1936"/>
      <c r="S1962" s="1936"/>
      <c r="T1962" s="1936"/>
    </row>
    <row r="1963" spans="1:27" s="449" customFormat="1" ht="22.5" customHeight="1">
      <c r="A1963" s="1968" t="s">
        <v>2064</v>
      </c>
      <c r="B1963" s="1936" t="s">
        <v>4623</v>
      </c>
      <c r="C1963" s="1936"/>
      <c r="D1963" s="1936"/>
      <c r="E1963" s="1936"/>
      <c r="F1963" s="1936"/>
      <c r="G1963" s="1936"/>
      <c r="H1963" s="1936"/>
      <c r="I1963" s="1936"/>
      <c r="J1963" s="1936"/>
      <c r="K1963" s="1936"/>
      <c r="L1963" s="1936"/>
      <c r="M1963" s="1936"/>
      <c r="N1963" s="1942" t="s">
        <v>2064</v>
      </c>
      <c r="O1963" s="1938" t="str">
        <f>'Part IX Scoring Criteria'!O308</f>
        <v>N/a</v>
      </c>
      <c r="P1963" s="1938"/>
      <c r="Q1963" s="1936"/>
      <c r="R1963" s="1936"/>
      <c r="S1963" s="1936"/>
      <c r="T1963" s="1936"/>
    </row>
    <row r="1964" spans="1:27" s="449" customFormat="1" ht="11.25" customHeight="1">
      <c r="A1964" s="1969" t="s">
        <v>1692</v>
      </c>
      <c r="B1964" s="449" t="s">
        <v>4327</v>
      </c>
      <c r="M1964" s="1896"/>
      <c r="N1964" s="1940" t="s">
        <v>1692</v>
      </c>
      <c r="O1964" s="1229" t="str">
        <f>'Part IX Scoring Criteria'!O309</f>
        <v>N/a</v>
      </c>
      <c r="P1964" s="1229"/>
      <c r="Q1964" s="1936"/>
      <c r="R1964" s="1936"/>
      <c r="S1964" s="1936"/>
      <c r="T1964" s="1936"/>
    </row>
    <row r="1965" spans="1:27" s="449" customFormat="1" ht="11.25" customHeight="1">
      <c r="A1965" s="1969" t="s">
        <v>1693</v>
      </c>
      <c r="B1965" s="449" t="s">
        <v>943</v>
      </c>
      <c r="M1965" s="1896"/>
      <c r="N1965" s="1940" t="s">
        <v>1693</v>
      </c>
      <c r="O1965" s="1229" t="str">
        <f>'Part IX Scoring Criteria'!O310</f>
        <v>N/a</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Not Applicable</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3280</v>
      </c>
      <c r="H1971" s="1908" t="s">
        <v>4624</v>
      </c>
      <c r="I1971" s="1815"/>
      <c r="J1971" s="449">
        <f>'Part I-Project Information'!F1692</f>
        <v>0</v>
      </c>
      <c r="M1971" s="1896">
        <v>5</v>
      </c>
      <c r="N1971" s="1896"/>
      <c r="O1971" s="1923">
        <f>'Part IX Scoring Criteria'!O316</f>
        <v>3</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1935</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6888</v>
      </c>
      <c r="L1974" s="1732" t="str">
        <f>IF(OR($O1974=$M1974,$O1974=0,$O1974=""),"","* * Check Score! * *")</f>
        <v/>
      </c>
      <c r="M1974" s="1896">
        <v>5</v>
      </c>
      <c r="N1974" s="1969" t="s">
        <v>1938</v>
      </c>
      <c r="O1974" s="1923">
        <f>'Part IX Scoring Criteria'!O319</f>
        <v>0</v>
      </c>
      <c r="P1974" s="1923"/>
      <c r="Q1974" s="1993" t="str">
        <f>IF(OR($O1974=$M1974,$O1974=0,$O1974=""),"","*CHECK!*")</f>
        <v/>
      </c>
      <c r="R1974" s="1823" t="s">
        <v>4767</v>
      </c>
    </row>
    <row r="1975" spans="1:24" ht="11.25" customHeight="1">
      <c r="A1975" s="1229"/>
      <c r="B1975" s="2172" t="s">
        <v>1940</v>
      </c>
      <c r="C1975" s="1945" t="s">
        <v>6889</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4767</v>
      </c>
    </row>
    <row r="1976" spans="1:24" s="1815" customFormat="1" ht="11.25" customHeight="1">
      <c r="A1976" s="1732" t="s">
        <v>1937</v>
      </c>
      <c r="B1976" s="1897" t="s">
        <v>6890</v>
      </c>
      <c r="F1976" s="1843" t="s">
        <v>4625</v>
      </c>
      <c r="H1976" s="449" t="s">
        <v>2702</v>
      </c>
      <c r="I1976" s="1951"/>
      <c r="J1976" s="449" t="str">
        <f>'Part I-Project Information'!$H$105</f>
        <v>Rural</v>
      </c>
    </row>
    <row r="1977" spans="1:24" s="1815" customFormat="1" ht="11.25" customHeight="1">
      <c r="A1977" s="1732"/>
      <c r="B1977" s="1897" t="s">
        <v>6955</v>
      </c>
      <c r="H1977" s="1908"/>
      <c r="M1977" s="1896">
        <v>3</v>
      </c>
      <c r="N1977" s="1940" t="s">
        <v>1937</v>
      </c>
      <c r="O1977" s="1923">
        <f>'Part IX Scoring Criteria'!O322</f>
        <v>3</v>
      </c>
      <c r="P1977" s="1923">
        <f>'Part IX Scoring Criteria'!P322</f>
        <v>0</v>
      </c>
    </row>
    <row r="1978" spans="1:24" s="1815" customFormat="1" ht="11.25" customHeight="1">
      <c r="B1978" s="1992" t="s">
        <v>1938</v>
      </c>
      <c r="C1978" s="449" t="s">
        <v>6891</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3</v>
      </c>
      <c r="P1978" s="1923"/>
      <c r="Q1978" s="1993" t="str">
        <f>IF(OR($O1978=$M1978,$O1978=0,$O1978=""),"","*CHECK!*")</f>
        <v/>
      </c>
      <c r="R1978" s="1823" t="s">
        <v>4767</v>
      </c>
    </row>
    <row r="1979" spans="1:24" ht="11.25" customHeight="1">
      <c r="A1979" s="1229"/>
      <c r="B1979" s="2172" t="s">
        <v>1940</v>
      </c>
      <c r="C1979" s="1945" t="s">
        <v>6892</v>
      </c>
      <c r="D1979" s="1815"/>
      <c r="E1979" s="1815"/>
      <c r="F1979" s="1815"/>
      <c r="G1979" s="1908"/>
      <c r="H1979" s="1908"/>
      <c r="I1979" s="1908"/>
      <c r="J1979" s="1955" t="s">
        <v>4630</v>
      </c>
      <c r="K1979" s="1815"/>
      <c r="L1979" s="1815"/>
      <c r="M1979" s="1874">
        <v>2</v>
      </c>
      <c r="N1979" s="1969" t="s">
        <v>1940</v>
      </c>
      <c r="O1979" s="1923">
        <f>'Part IX Scoring Criteria'!O324</f>
        <v>0</v>
      </c>
      <c r="P1979" s="1923"/>
      <c r="Q1979" s="1993" t="str">
        <f>IF(OR($O1979=$M1979,$O1979=0,$O1979=""),"","*CHECK!*")</f>
        <v/>
      </c>
      <c r="R1979" s="1823" t="s">
        <v>4767</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6893</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4767</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No competitive projects have been developed in Dublin since 2008, meeting the requirement for the 3 points in this section.  The LIHTC projects developed in Dublin are listed in the Market Study section of the Threshold Tab of this application.</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4328</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4329</v>
      </c>
      <c r="D1991" s="1908"/>
      <c r="E1991" s="1908"/>
      <c r="F1991" s="1952"/>
      <c r="G1991" s="1995"/>
      <c r="L1991" s="1732"/>
      <c r="M1991" s="1896">
        <v>2</v>
      </c>
      <c r="N1991" s="1969" t="s">
        <v>1940</v>
      </c>
      <c r="O1991" s="1229" t="str">
        <f>'Part IX Scoring Criteria'!O336</f>
        <v>N/a</v>
      </c>
      <c r="P1991" s="1229"/>
      <c r="Q1991" s="1993"/>
      <c r="R1991" s="1843"/>
      <c r="T1991" s="2125"/>
      <c r="U1991" s="2125"/>
    </row>
    <row r="1992" spans="1:21" s="1947" customFormat="1" ht="10.5" customHeight="1">
      <c r="A1992" s="1904"/>
      <c r="B1992" s="2172" t="s">
        <v>2467</v>
      </c>
      <c r="C1992" s="1908" t="s">
        <v>4330</v>
      </c>
      <c r="D1992" s="1908"/>
      <c r="E1992" s="1908"/>
      <c r="F1992" s="1952"/>
      <c r="G1992" s="1995"/>
      <c r="K1992" s="1940"/>
      <c r="M1992" s="1896">
        <v>1</v>
      </c>
      <c r="N1992" s="1969" t="s">
        <v>2467</v>
      </c>
      <c r="O1992" s="1229" t="str">
        <f>'Part IX Scoring Criteria'!O337</f>
        <v>N/a</v>
      </c>
      <c r="P1992" s="1229"/>
      <c r="R1992" s="1955"/>
      <c r="T1992" s="2125"/>
      <c r="U1992" s="2125"/>
    </row>
    <row r="1993" spans="1:21" s="1951" customFormat="1" ht="11.25" customHeight="1">
      <c r="A1993" s="1904" t="s">
        <v>1937</v>
      </c>
      <c r="B1993" s="1897" t="s">
        <v>4578</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4331</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3749</v>
      </c>
      <c r="C2002" s="1945"/>
      <c r="D2002" s="1945"/>
      <c r="E2002" s="449"/>
      <c r="G2002" s="1912">
        <f>'Part VIII-Threshold Criteria'!I2005</f>
        <v>0</v>
      </c>
      <c r="L2002" s="1940" t="s">
        <v>4816</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4384</v>
      </c>
      <c r="D2003" s="1815"/>
      <c r="N2003" s="1969" t="s">
        <v>4385</v>
      </c>
      <c r="O2003" s="1229" t="str">
        <f>'Part IX Scoring Criteria'!O348</f>
        <v>N/a</v>
      </c>
      <c r="P2003" s="1229"/>
      <c r="R2003" s="1732"/>
    </row>
    <row r="2004" spans="1:18" s="1947" customFormat="1" ht="10.5" customHeight="1">
      <c r="A2004" s="1904"/>
      <c r="B2004" s="1969"/>
      <c r="C2004" s="449" t="s">
        <v>4741</v>
      </c>
      <c r="D2004" s="1815"/>
      <c r="N2004" s="1969" t="s">
        <v>4386</v>
      </c>
      <c r="O2004" s="1229">
        <f>'Part IX Scoring Criteria'!O349</f>
        <v>0</v>
      </c>
      <c r="P2004" s="1229"/>
      <c r="R2004" s="1732"/>
    </row>
    <row r="2005" spans="1:18" s="1947" customFormat="1" ht="10.5" customHeight="1">
      <c r="A2005" s="1904"/>
      <c r="B2005" s="1969" t="s">
        <v>1940</v>
      </c>
      <c r="C2005" s="449" t="s">
        <v>3757</v>
      </c>
      <c r="D2005" s="1815"/>
      <c r="N2005" s="1969" t="s">
        <v>1940</v>
      </c>
      <c r="O2005" s="1229">
        <f>'Part IX Scoring Criteria'!O350</f>
        <v>0</v>
      </c>
      <c r="P2005" s="1229"/>
      <c r="R2005" s="1732"/>
    </row>
    <row r="2006" spans="1:18" s="1947" customFormat="1" ht="10.5" customHeight="1">
      <c r="A2006" s="1904"/>
      <c r="B2006" s="1969" t="s">
        <v>2467</v>
      </c>
      <c r="C2006" s="449" t="s">
        <v>4387</v>
      </c>
      <c r="D2006" s="1815"/>
      <c r="N2006" s="1969" t="s">
        <v>2467</v>
      </c>
      <c r="O2006" s="1229">
        <f>'Part IX Scoring Criteria'!O351</f>
        <v>0</v>
      </c>
      <c r="P2006" s="1229"/>
      <c r="R2006" s="1732"/>
    </row>
    <row r="2007" spans="1:18" s="1947" customFormat="1" ht="10.5" customHeight="1">
      <c r="B2007" s="1969" t="s">
        <v>1198</v>
      </c>
      <c r="C2007" s="449" t="s">
        <v>4332</v>
      </c>
      <c r="D2007" s="1815"/>
      <c r="N2007" s="1969" t="s">
        <v>1198</v>
      </c>
      <c r="O2007" s="1229">
        <f>'Part IX Scoring Criteria'!O352</f>
        <v>0</v>
      </c>
      <c r="P2007" s="1229"/>
      <c r="R2007" s="1732"/>
    </row>
    <row r="2008" spans="1:18" s="1947" customFormat="1" ht="10.5" customHeight="1">
      <c r="A2008" s="1904"/>
      <c r="B2008" s="1969" t="s">
        <v>1199</v>
      </c>
      <c r="C2008" s="449" t="s">
        <v>4333</v>
      </c>
      <c r="D2008" s="1815"/>
      <c r="N2008" s="1969" t="s">
        <v>1199</v>
      </c>
      <c r="O2008" s="1229">
        <f>'Part IX Scoring Criteria'!O353</f>
        <v>0</v>
      </c>
      <c r="P2008" s="1229"/>
      <c r="R2008" s="1732"/>
    </row>
    <row r="2009" spans="1:18" s="1947" customFormat="1" ht="10.5" customHeight="1">
      <c r="A2009" s="1904"/>
      <c r="B2009" s="1969" t="s">
        <v>1833</v>
      </c>
      <c r="C2009" s="449" t="s">
        <v>3758</v>
      </c>
      <c r="D2009" s="1815"/>
      <c r="N2009" s="1969" t="s">
        <v>1833</v>
      </c>
      <c r="O2009" s="1229">
        <f>'Part IX Scoring Criteria'!O354</f>
        <v>0</v>
      </c>
      <c r="P2009" s="1229"/>
      <c r="R2009" s="1732"/>
    </row>
    <row r="2010" spans="1:18" s="1951" customFormat="1" ht="12" customHeight="1">
      <c r="A2010" s="1904" t="s">
        <v>1937</v>
      </c>
      <c r="B2010" s="1897" t="s">
        <v>3750</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4384</v>
      </c>
      <c r="D2011" s="449"/>
      <c r="E2011" s="449"/>
      <c r="M2011" s="1896"/>
      <c r="N2011" s="1969" t="s">
        <v>4385</v>
      </c>
      <c r="O2011" s="1229" t="str">
        <f>'Part IX Scoring Criteria'!O356</f>
        <v>N/a</v>
      </c>
      <c r="P2011" s="1229"/>
      <c r="Q2011" s="1896"/>
    </row>
    <row r="2012" spans="1:18" s="1947" customFormat="1" ht="10.5" customHeight="1">
      <c r="A2012" s="1904"/>
      <c r="B2012" s="1969"/>
      <c r="C2012" s="449" t="s">
        <v>4769</v>
      </c>
      <c r="D2012" s="1815"/>
      <c r="N2012" s="1969" t="s">
        <v>4386</v>
      </c>
      <c r="O2012" s="1229">
        <f>'Part IX Scoring Criteria'!O357</f>
        <v>0</v>
      </c>
      <c r="P2012" s="1229"/>
      <c r="R2012" s="1732"/>
    </row>
    <row r="2013" spans="1:18" s="1947" customFormat="1" ht="10.5" customHeight="1">
      <c r="A2013" s="1904"/>
      <c r="B2013" s="1969" t="s">
        <v>1940</v>
      </c>
      <c r="C2013" s="449" t="s">
        <v>3769</v>
      </c>
      <c r="D2013" s="1815"/>
      <c r="N2013" s="1969" t="s">
        <v>1940</v>
      </c>
      <c r="O2013" s="1229">
        <f>'Part IX Scoring Criteria'!O358</f>
        <v>0</v>
      </c>
      <c r="P2013" s="1229"/>
      <c r="R2013" s="1732"/>
    </row>
    <row r="2014" spans="1:18" s="1947" customFormat="1" ht="10.5" customHeight="1">
      <c r="B2014" s="1969" t="s">
        <v>2467</v>
      </c>
      <c r="C2014" s="449" t="s">
        <v>3758</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4767</v>
      </c>
      <c r="S2019" s="1844"/>
    </row>
    <row r="2020" spans="1:19" s="1951" customFormat="1" ht="11.25" customHeight="1">
      <c r="A2020" s="1904"/>
      <c r="B2020" s="1908" t="s">
        <v>3453</v>
      </c>
      <c r="D2020" s="1945"/>
      <c r="E2020" s="1945"/>
      <c r="G2020" s="449"/>
      <c r="I2020" s="449" t="str">
        <f>'Part IX Scoring Criteria'!I365</f>
        <v>Dublin</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6802</v>
      </c>
      <c r="D2021" s="1945"/>
      <c r="E2021" s="1945" t="s">
        <v>4347</v>
      </c>
      <c r="G2021" s="449"/>
      <c r="I2021" s="449"/>
      <c r="J2021" s="1945"/>
      <c r="K2021" s="1945"/>
      <c r="L2021" s="1945"/>
      <c r="M2021" s="1229"/>
      <c r="N2021" s="1229"/>
      <c r="O2021" s="1229" t="str">
        <f>'Part IX Scoring Criteria'!O366</f>
        <v>No</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2019</v>
      </c>
      <c r="N2022" s="1229"/>
      <c r="O2022" s="1229" t="str">
        <f>'Part IX Scoring Criteria'!O367</f>
        <v>Yes</v>
      </c>
      <c r="P2022" s="1229"/>
      <c r="Q2022" s="1908"/>
      <c r="R2022" s="1844"/>
      <c r="S2022" s="1844"/>
    </row>
    <row r="2023" spans="1:19" s="1951" customFormat="1" ht="11.25" customHeight="1">
      <c r="B2023" s="1969" t="s">
        <v>1940</v>
      </c>
      <c r="C2023" s="1908" t="s">
        <v>6959</v>
      </c>
      <c r="D2023" s="1947"/>
      <c r="E2023" s="1945"/>
      <c r="F2023" s="449"/>
      <c r="G2023" s="449"/>
      <c r="N2023" s="1940"/>
      <c r="O2023" s="1817" t="s">
        <v>2443</v>
      </c>
      <c r="P2023" s="1817" t="s">
        <v>2443</v>
      </c>
    </row>
    <row r="2024" spans="1:19" s="449" customFormat="1" ht="10.5" customHeight="1">
      <c r="B2024" s="1940" t="s">
        <v>2371</v>
      </c>
      <c r="C2024" s="1908" t="s">
        <v>3751</v>
      </c>
      <c r="N2024" s="1940" t="s">
        <v>2371</v>
      </c>
      <c r="O2024" s="1229" t="str">
        <f>'Part IX Scoring Criteria'!O369</f>
        <v>Yes</v>
      </c>
      <c r="P2024" s="1229"/>
    </row>
    <row r="2025" spans="1:19" s="449" customFormat="1" ht="10.5" customHeight="1">
      <c r="B2025" s="1942" t="s">
        <v>2372</v>
      </c>
      <c r="C2025" s="1908" t="s">
        <v>3752</v>
      </c>
      <c r="N2025" s="1942" t="s">
        <v>2372</v>
      </c>
      <c r="O2025" s="1229" t="str">
        <f>'Part IX Scoring Criteria'!O370</f>
        <v>Yes</v>
      </c>
      <c r="P2025" s="1229"/>
    </row>
    <row r="2026" spans="1:19" s="449" customFormat="1" ht="10.5" customHeight="1">
      <c r="B2026" s="1940" t="s">
        <v>2373</v>
      </c>
      <c r="C2026" s="1908" t="s">
        <v>4580</v>
      </c>
      <c r="N2026" s="1940" t="s">
        <v>2373</v>
      </c>
      <c r="O2026" s="1229" t="str">
        <f>'Part IX Scoring Criteria'!O371</f>
        <v>Yes</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Dublin is an alumni of the GIHC program.  Letters from the GIHC and from the City have been included in the Tabs section.  We have worked very closely with the GIHC Board regarding the structuring and implementation of this project.</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4</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3614</v>
      </c>
      <c r="L2037" s="1936"/>
      <c r="M2037" s="1936"/>
      <c r="N2037" s="1940" t="s">
        <v>2372</v>
      </c>
      <c r="O2037" s="1229" t="str">
        <f>'Part IX Scoring Criteria'!O382</f>
        <v>Yes</v>
      </c>
      <c r="P2037" s="1229"/>
      <c r="R2037" s="1936"/>
      <c r="S2037" s="1936"/>
    </row>
    <row r="2038" spans="1:20" s="1945" customFormat="1" ht="12.75" customHeight="1">
      <c r="B2038" s="1940" t="s">
        <v>2373</v>
      </c>
      <c r="C2038" s="449" t="s">
        <v>3613</v>
      </c>
      <c r="L2038" s="1936"/>
      <c r="M2038" s="1936"/>
      <c r="N2038" s="1940" t="s">
        <v>2373</v>
      </c>
      <c r="O2038" s="1229" t="str">
        <f>'Part IX Scoring Criteria'!O383</f>
        <v>N/a</v>
      </c>
      <c r="P2038" s="1229"/>
      <c r="R2038" s="1936"/>
      <c r="S2038" s="1936"/>
    </row>
    <row r="2039" spans="1:20" s="1945" customFormat="1" ht="33.75" customHeight="1">
      <c r="B2039" s="1942" t="s">
        <v>2374</v>
      </c>
      <c r="C2039" s="1936" t="s">
        <v>4334</v>
      </c>
      <c r="D2039" s="1936"/>
      <c r="E2039" s="1936"/>
      <c r="F2039" s="1936"/>
      <c r="G2039" s="1936"/>
      <c r="H2039" s="1936"/>
      <c r="I2039" s="1936"/>
      <c r="J2039" s="1936"/>
      <c r="K2039" s="1936"/>
      <c r="L2039" s="1936"/>
      <c r="M2039" s="1936"/>
      <c r="N2039" s="1942" t="s">
        <v>2374</v>
      </c>
      <c r="O2039" s="1938" t="str">
        <f>'Part IX Scoring Criteria'!O384</f>
        <v>N/a</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3755</v>
      </c>
      <c r="L2041" s="1732" t="str">
        <f>IF(O2041&lt;=M2041,"","* * Check Score! * *")</f>
        <v/>
      </c>
      <c r="M2041" s="1732">
        <v>3</v>
      </c>
      <c r="N2041" s="1940" t="s">
        <v>1935</v>
      </c>
      <c r="O2041" s="1923">
        <f>'Part IX Scoring Criteria'!O386</f>
        <v>3</v>
      </c>
      <c r="P2041" s="1923"/>
      <c r="Q2041" s="1993" t="str">
        <f>IF(O2041&lt;=M2041,"","*CHECK!*")</f>
        <v/>
      </c>
      <c r="R2041" s="1819" t="s">
        <v>4767</v>
      </c>
      <c r="S2041" s="1819"/>
      <c r="T2041" s="1844"/>
    </row>
    <row r="2042" spans="1:20" ht="12.75" customHeight="1">
      <c r="A2042" s="2180"/>
      <c r="B2042" s="2172" t="s">
        <v>1938</v>
      </c>
      <c r="C2042" s="1936" t="s">
        <v>4337</v>
      </c>
      <c r="D2042" s="1936"/>
      <c r="E2042" s="1936"/>
      <c r="F2042" s="1936"/>
      <c r="G2042" s="1936"/>
      <c r="H2042" s="1936"/>
      <c r="I2042" s="1936"/>
      <c r="R2042" s="1819"/>
      <c r="S2042" s="1819"/>
      <c r="T2042" s="1844"/>
    </row>
    <row r="2043" spans="1:20" ht="12.75" customHeight="1">
      <c r="A2043" s="2180"/>
      <c r="B2043" s="1968"/>
      <c r="C2043" s="1936" t="s">
        <v>4336</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4581</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1215563</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6813</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4339</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4340</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6895</v>
      </c>
      <c r="H2054" s="1908" t="s">
        <v>2558</v>
      </c>
      <c r="J2054" s="1917">
        <f>SUM(J2044:K2053)</f>
        <v>1215563</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6916</v>
      </c>
      <c r="D2057" s="1822"/>
      <c r="E2057" s="1822"/>
      <c r="F2057" s="1908" t="s">
        <v>4373</v>
      </c>
      <c r="H2057" s="1995"/>
      <c r="I2057" s="1926">
        <f>'Part IX Scoring Criteria'!I402</f>
        <v>9095000</v>
      </c>
      <c r="J2057" s="1917">
        <f>'Part IV-A-Uses of Funds'!$G$132</f>
        <v>9105000</v>
      </c>
      <c r="K2057" s="1917"/>
      <c r="L2057" s="1822"/>
      <c r="M2057" s="1819"/>
      <c r="N2057" s="1819"/>
      <c r="O2057" s="2181"/>
      <c r="P2057" s="1819"/>
    </row>
    <row r="2058" spans="1:23" ht="12.75" customHeight="1">
      <c r="C2058" s="1822"/>
      <c r="D2058" s="1822"/>
      <c r="E2058" s="1822"/>
      <c r="F2058" s="1944" t="s">
        <v>4372</v>
      </c>
      <c r="I2058" s="2239">
        <f>'Part IX Scoring Criteria'!I403</f>
        <v>0.13339999999999999</v>
      </c>
      <c r="J2058" s="1991">
        <f>IF($J2057=0,0,$J2054/$J2057)</f>
        <v>0.13350499725425591</v>
      </c>
      <c r="K2058" s="1991"/>
      <c r="M2058" s="1991">
        <f>IF($J2057=0,0,$M2054/$J2057)</f>
        <v>0</v>
      </c>
      <c r="N2058" s="1991"/>
      <c r="O2058" s="1991"/>
      <c r="P2058" s="1991"/>
    </row>
    <row r="2059" spans="1:23" s="1951" customFormat="1" ht="12.75" customHeight="1">
      <c r="C2059" s="1822"/>
      <c r="D2059" s="1822"/>
      <c r="E2059" s="1822"/>
      <c r="F2059" s="1945" t="s">
        <v>4371</v>
      </c>
      <c r="I2059" s="1926">
        <f>'Part IX Scoring Criteria'!I404</f>
        <v>3</v>
      </c>
      <c r="J2059" s="1914">
        <f>IF(L2036="", IF($J2058&gt;=0.1, 3,IF($J2058&gt;=0.05, 2,IF($J2058&gt;=0.02,1,0))),0)</f>
        <v>3</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1</v>
      </c>
      <c r="P2061" s="1923">
        <f>'Part IX Scoring Criteria'!P406</f>
        <v>0</v>
      </c>
      <c r="Q2061" s="1896" t="s">
        <v>433</v>
      </c>
      <c r="R2061" s="1823" t="s">
        <v>4767</v>
      </c>
      <c r="V2061" s="2125"/>
      <c r="W2061" s="2125"/>
    </row>
    <row r="2062" spans="1:23" s="1951" customFormat="1" ht="22.5" customHeight="1">
      <c r="A2062" s="1904"/>
      <c r="B2062" s="1942" t="s">
        <v>2371</v>
      </c>
      <c r="C2062" s="1936" t="s">
        <v>3756</v>
      </c>
      <c r="D2062" s="1936"/>
      <c r="E2062" s="1936"/>
      <c r="F2062" s="1936"/>
      <c r="G2062" s="1936"/>
      <c r="H2062" s="1936"/>
      <c r="I2062" s="1936"/>
      <c r="J2062" s="1936"/>
      <c r="K2062" s="1936"/>
      <c r="L2062" s="1936"/>
      <c r="M2062" s="1936"/>
      <c r="N2062" s="1942" t="s">
        <v>2371</v>
      </c>
      <c r="O2062" s="1938" t="str">
        <f>'Part IX Scoring Criteria'!O407</f>
        <v>Yes</v>
      </c>
      <c r="P2062" s="1938"/>
      <c r="V2062" s="2125"/>
      <c r="W2062" s="2125"/>
    </row>
    <row r="2063" spans="1:23" s="1951" customFormat="1" ht="12.75" customHeight="1">
      <c r="A2063" s="1904"/>
      <c r="B2063" s="1940" t="s">
        <v>2372</v>
      </c>
      <c r="C2063" s="449" t="s">
        <v>3606</v>
      </c>
      <c r="D2063" s="449"/>
      <c r="E2063" s="449"/>
      <c r="F2063" s="449"/>
      <c r="G2063" s="449"/>
      <c r="H2063" s="449"/>
      <c r="I2063" s="449"/>
      <c r="J2063" s="449"/>
      <c r="K2063" s="449"/>
      <c r="M2063" s="449"/>
      <c r="N2063" s="1942" t="s">
        <v>2372</v>
      </c>
      <c r="O2063" s="1229" t="str">
        <f>'Part IX Scoring Criteria'!O408</f>
        <v>Yes</v>
      </c>
      <c r="P2063" s="1229"/>
      <c r="V2063" s="2125"/>
      <c r="W2063" s="2125"/>
    </row>
    <row r="2064" spans="1:23" ht="12.75" customHeight="1">
      <c r="B2064" s="1940" t="s">
        <v>2373</v>
      </c>
      <c r="C2064" s="1945" t="s">
        <v>4342</v>
      </c>
      <c r="N2064" s="1940" t="s">
        <v>2373</v>
      </c>
      <c r="O2064" s="1229" t="str">
        <f>'Part IX Scoring Criteria'!O409</f>
        <v>Yes</v>
      </c>
      <c r="P2064" s="1229"/>
    </row>
    <row r="2065" spans="1:19" ht="12" customHeight="1">
      <c r="B2065" s="449" t="s">
        <v>3566</v>
      </c>
      <c r="N2065" s="1874"/>
      <c r="O2065" s="1874"/>
      <c r="P2065" s="1874"/>
    </row>
    <row r="2066" spans="1:19" s="1951" customFormat="1" ht="21.75" customHeight="1">
      <c r="A2066" s="1936" t="str">
        <f>'Part IX Scoring Criteria'!A411</f>
        <v>The project will receive both federal and state historic tax credits which provide the Favorable Financing in excess of the 10% requirement.  An equity letter from RBC Tax Credit Equity Group has been included inTab 1, Tab 41 and Tab 42 to evidence the financing for the financing.  Site control documentation has been provided from the VA regarding the willingness of the VA to enter into a 75 year ground lease on the project.  Regarding c) above, the VA, after conversations with DCA staff, has provided an Opinion from its office of General Counsel, regarding the compliance with Section 42 by pledging the Leasehold interest and not the underlying fee simple title to the land in terms of executing the LURA.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2639</v>
      </c>
      <c r="D2070" s="1908"/>
      <c r="G2070" s="1908" t="s">
        <v>3280</v>
      </c>
      <c r="J2070" s="449"/>
      <c r="K2070" s="449"/>
      <c r="L2070" s="449"/>
      <c r="M2070" s="1896">
        <v>2</v>
      </c>
      <c r="N2070" s="1940"/>
      <c r="O2070" s="1896">
        <f>'Part IX Scoring Criteria'!O415</f>
        <v>2</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Deemed historic via Ga DNRHPD approved NPS Part 1 Evaluation of Significance</v>
      </c>
      <c r="E2072" s="449"/>
      <c r="F2072" s="449"/>
      <c r="G2072" s="449"/>
      <c r="H2072" s="449"/>
      <c r="I2072" s="449"/>
      <c r="J2072" s="1936" t="s">
        <v>2733</v>
      </c>
      <c r="L2072" s="1926">
        <f>'Part III-Sources of Funds'!$I$51</f>
        <v>1080563</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4582</v>
      </c>
      <c r="C2074" s="1936"/>
      <c r="D2074" s="1936"/>
      <c r="E2074" s="1936"/>
      <c r="F2074" s="1936"/>
      <c r="G2074" s="1936"/>
      <c r="H2074" s="1936"/>
      <c r="I2074" s="1936"/>
      <c r="M2074" s="1967">
        <v>2</v>
      </c>
      <c r="N2074" s="1942" t="s">
        <v>1935</v>
      </c>
      <c r="O2074" s="1923">
        <f>'Part IX Scoring Criteria'!O419</f>
        <v>2</v>
      </c>
      <c r="P2074" s="1923">
        <f>'Part IX Scoring Criteria'!P419</f>
        <v>0</v>
      </c>
      <c r="Q2074" s="1993" t="str">
        <f>IF(OR($O2074=$M2074,$O2074=0,$O2074=""),"","*CHECK!*")</f>
        <v/>
      </c>
      <c r="R2074" s="1823" t="s">
        <v>4767</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44</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50</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0.88</v>
      </c>
      <c r="P2078" s="2183"/>
      <c r="Q2078" s="1822"/>
    </row>
    <row r="2079" spans="1:19" s="1951" customFormat="1" ht="66.75" customHeight="1">
      <c r="A2079" s="1945"/>
      <c r="B2079" s="1956" t="str">
        <f>'Part IX Scoring Criteria'!B424</f>
        <v>The building was previously used as a dormitory facility by both the VA and the Middle Georgia Community Service Board.  It has been vacant for almost 10 years.  It has been heavily vandalized, as the PNA documentation shows.  The building will be mostly gutted and 22 studio and 22 one bedroom units will be built in the two buildings, along with installation of elevators for each building.  The retrofit will include all new plumbing, electrical, HVAC, fire suppression, wall, ceilings, doors, and floor coverings.  The buildings have Part 1 and Part 2 Certifications, which are being provided as part of this application.  The schematic plans have been reviewed by the SHPO and the National Park Service and all comments have been addressed.  An historic consultant has been retained for the project and will be utilized throughout the renovation.  NOTE:  The equity calculation in this section is only for Federal Historic Equity.  An additional $135,000 is projected to be raised through state state credits and should be added to this figure.</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4583</v>
      </c>
      <c r="C2081" s="1936"/>
      <c r="H2081" s="1936"/>
      <c r="M2081" s="1967">
        <v>2</v>
      </c>
      <c r="N2081" s="1942" t="s">
        <v>1937</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4344</v>
      </c>
      <c r="O2082" s="2127">
        <f>'Part VI-Revenues &amp; Expenses'!$P$125</f>
        <v>44</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50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While the project is certified, we chose to answer this area with the above description.</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57</v>
      </c>
      <c r="P2098" s="1994">
        <f>-P1663+P1680+P1705+P1719+P1729+P1767+P1805+P1848+P1887+P1920+P1941+P1948+P1956+P1971+P1988+P2001+P2019+P2034+P2070+P2090</f>
        <v>20</v>
      </c>
    </row>
    <row r="2099" spans="1:18" s="1815" customFormat="1" ht="11.25" customHeight="1">
      <c r="A2099" s="1951"/>
      <c r="B2099" s="2185"/>
      <c r="C2099" s="1951"/>
      <c r="D2099" s="1995"/>
      <c r="E2099" s="1995"/>
      <c r="F2099" s="2394"/>
      <c r="G2099" s="2394"/>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394"/>
      <c r="G2100" s="2394"/>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394"/>
      <c r="I2102" s="2394"/>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L5tpQ9iUiFLJEfnaqaPyDo5bMzhiqHvOB2oTPe5QzwhmOAstwPsDXWYFl5esdm9rre60HcyO4+a/uSghU6rGHg==" saltValue="2Uw0dpYqe+W3umc+NgJCI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9"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2020-042 Freedom's Path at Dublin, Dublin, Laurens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4094</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3893</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3" t="s">
        <v>7012</v>
      </c>
      <c r="I5" s="3654"/>
      <c r="J5" s="3654"/>
      <c r="K5" s="3654"/>
      <c r="L5" s="3654"/>
      <c r="M5" s="3654"/>
      <c r="N5" s="3655"/>
      <c r="O5" s="2346" t="s">
        <v>1941</v>
      </c>
      <c r="P5" s="2346"/>
      <c r="Q5" s="3653" t="s">
        <v>6992</v>
      </c>
      <c r="R5" s="3654"/>
      <c r="S5" s="3655"/>
      <c r="Y5" s="1016"/>
      <c r="Z5" s="1017"/>
      <c r="AA5" s="2351"/>
    </row>
    <row r="6" spans="1:27" s="293" customFormat="1" ht="11.25" customHeight="1">
      <c r="D6" s="331"/>
      <c r="E6" s="2343" t="s">
        <v>999</v>
      </c>
      <c r="F6" s="305"/>
      <c r="H6" s="3482" t="s">
        <v>7013</v>
      </c>
      <c r="I6" s="3656"/>
      <c r="J6" s="3656"/>
      <c r="K6" s="3657"/>
      <c r="L6" s="3656"/>
      <c r="M6" s="3656"/>
      <c r="N6" s="3658"/>
      <c r="O6" s="2346" t="s">
        <v>1704</v>
      </c>
      <c r="Q6" s="3501" t="s">
        <v>7014</v>
      </c>
      <c r="R6" s="3565"/>
      <c r="S6" s="3566"/>
      <c r="V6" s="1016"/>
      <c r="W6" s="1016"/>
      <c r="X6" s="1016"/>
      <c r="Y6" s="1016"/>
      <c r="Z6" s="1017"/>
      <c r="AA6" s="2351"/>
    </row>
    <row r="7" spans="1:27" s="293" customFormat="1" ht="11.25" customHeight="1">
      <c r="D7" s="331"/>
      <c r="E7" s="2343" t="s">
        <v>600</v>
      </c>
      <c r="H7" s="3482" t="s">
        <v>6995</v>
      </c>
      <c r="I7" s="3657"/>
      <c r="J7" s="3569"/>
      <c r="K7" s="3659" t="s">
        <v>744</v>
      </c>
      <c r="L7" s="3504"/>
      <c r="M7" s="3656"/>
      <c r="N7" s="3658"/>
      <c r="O7" s="2346" t="s">
        <v>1679</v>
      </c>
      <c r="Q7" s="3620">
        <v>9412282185</v>
      </c>
      <c r="R7" s="3621"/>
      <c r="S7" s="3622"/>
    </row>
    <row r="8" spans="1:27" s="293" customFormat="1" ht="11.25" customHeight="1">
      <c r="D8" s="331"/>
      <c r="E8" s="2343" t="s">
        <v>1754</v>
      </c>
      <c r="H8" s="3567" t="s">
        <v>827</v>
      </c>
      <c r="I8" s="1007" t="s">
        <v>2172</v>
      </c>
      <c r="J8" s="3660">
        <v>342360000</v>
      </c>
      <c r="K8" s="3661"/>
      <c r="L8" s="293" t="s">
        <v>3509</v>
      </c>
      <c r="M8" s="3662" t="s">
        <v>7015</v>
      </c>
      <c r="N8" s="3663"/>
      <c r="O8" s="2346" t="s">
        <v>1931</v>
      </c>
      <c r="Q8" s="3620">
        <v>9412282185</v>
      </c>
      <c r="R8" s="3621"/>
      <c r="S8" s="3622"/>
    </row>
    <row r="9" spans="1:27" s="293" customFormat="1" ht="11.25" customHeight="1">
      <c r="D9" s="331"/>
      <c r="E9" s="2343" t="s">
        <v>3894</v>
      </c>
      <c r="H9" s="3664">
        <v>9419291270</v>
      </c>
      <c r="I9" s="3665"/>
      <c r="J9" s="3666">
        <v>110</v>
      </c>
      <c r="K9" s="2354" t="s">
        <v>1936</v>
      </c>
      <c r="L9" s="3469" t="s">
        <v>7016</v>
      </c>
      <c r="M9" s="3582"/>
      <c r="N9" s="3582"/>
      <c r="O9" s="3470"/>
      <c r="P9" s="3470"/>
      <c r="Q9" s="3582"/>
      <c r="R9" s="3582"/>
      <c r="S9" s="3583"/>
    </row>
    <row r="10" spans="1:27" s="293" customFormat="1" ht="11.25" customHeight="1">
      <c r="D10" s="331"/>
      <c r="E10" s="1194" t="s">
        <v>3893</v>
      </c>
      <c r="H10" s="326"/>
      <c r="K10" s="268"/>
      <c r="N10" s="363" t="s">
        <v>3433</v>
      </c>
      <c r="Q10" s="2354"/>
    </row>
    <row r="11" spans="1:27" s="293" customFormat="1" ht="4.3499999999999996" customHeight="1">
      <c r="D11" s="332"/>
      <c r="E11" s="2343"/>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7" t="s">
        <v>1258</v>
      </c>
      <c r="W12" s="3667"/>
      <c r="X12" s="3667"/>
      <c r="Y12" s="3667"/>
      <c r="Z12" s="3667"/>
    </row>
    <row r="13" spans="1:27" s="293" customFormat="1" ht="11.25" customHeight="1">
      <c r="C13" s="333" t="s">
        <v>1938</v>
      </c>
      <c r="D13" s="330" t="s">
        <v>1939</v>
      </c>
      <c r="H13" s="2351"/>
      <c r="I13" s="2351"/>
      <c r="J13" s="2351"/>
      <c r="N13" s="1020"/>
      <c r="W13" s="3668"/>
      <c r="X13" s="3668"/>
      <c r="Y13" s="3668"/>
      <c r="Z13" s="3668"/>
    </row>
    <row r="14" spans="1:27" s="293" customFormat="1" ht="11.25" customHeight="1">
      <c r="D14" s="295" t="s">
        <v>2065</v>
      </c>
      <c r="E14" s="293" t="s">
        <v>1809</v>
      </c>
      <c r="H14" s="3653" t="s">
        <v>6991</v>
      </c>
      <c r="I14" s="3654"/>
      <c r="J14" s="3654"/>
      <c r="K14" s="3654"/>
      <c r="L14" s="3654"/>
      <c r="M14" s="3654"/>
      <c r="N14" s="3655"/>
      <c r="O14" s="2346" t="s">
        <v>1941</v>
      </c>
      <c r="P14" s="2346"/>
      <c r="Q14" s="3653" t="s">
        <v>6992</v>
      </c>
      <c r="R14" s="3654"/>
      <c r="S14" s="3655"/>
    </row>
    <row r="15" spans="1:27" s="293" customFormat="1" ht="11.25" customHeight="1">
      <c r="D15" s="331"/>
      <c r="E15" s="2343" t="s">
        <v>999</v>
      </c>
      <c r="F15" s="305"/>
      <c r="H15" s="3482" t="s">
        <v>7013</v>
      </c>
      <c r="I15" s="3656"/>
      <c r="J15" s="3656"/>
      <c r="K15" s="3657"/>
      <c r="L15" s="3656"/>
      <c r="M15" s="3656"/>
      <c r="N15" s="3658"/>
      <c r="O15" s="2346" t="s">
        <v>1704</v>
      </c>
      <c r="Q15" s="3501" t="s">
        <v>7014</v>
      </c>
      <c r="R15" s="3565"/>
      <c r="S15" s="3566"/>
    </row>
    <row r="16" spans="1:27" s="293" customFormat="1" ht="11.25" customHeight="1">
      <c r="D16" s="331"/>
      <c r="E16" s="2343" t="s">
        <v>600</v>
      </c>
      <c r="H16" s="3482" t="s">
        <v>6995</v>
      </c>
      <c r="I16" s="3657"/>
      <c r="J16" s="3569"/>
      <c r="K16" s="2360" t="s">
        <v>2624</v>
      </c>
      <c r="L16" s="3482" t="s">
        <v>7069</v>
      </c>
      <c r="M16" s="3656"/>
      <c r="N16" s="3569"/>
      <c r="O16" s="2346" t="s">
        <v>1679</v>
      </c>
      <c r="Q16" s="3620">
        <v>9412282185</v>
      </c>
      <c r="R16" s="3621"/>
      <c r="S16" s="3622"/>
    </row>
    <row r="17" spans="3:19" s="293" customFormat="1" ht="11.25" customHeight="1">
      <c r="D17" s="295"/>
      <c r="E17" s="2343" t="s">
        <v>1754</v>
      </c>
      <c r="H17" s="3567" t="s">
        <v>827</v>
      </c>
      <c r="K17" s="1007" t="s">
        <v>2172</v>
      </c>
      <c r="L17" s="3489">
        <v>342360000</v>
      </c>
      <c r="M17" s="3669"/>
      <c r="O17" s="2346" t="s">
        <v>1931</v>
      </c>
      <c r="Q17" s="3620">
        <v>9412282185</v>
      </c>
      <c r="R17" s="3621"/>
      <c r="S17" s="3622"/>
    </row>
    <row r="18" spans="3:19" s="293" customFormat="1" ht="11.25" customHeight="1">
      <c r="D18" s="331"/>
      <c r="E18" s="2343" t="s">
        <v>3894</v>
      </c>
      <c r="H18" s="3664">
        <v>9419291270</v>
      </c>
      <c r="I18" s="3665"/>
      <c r="J18" s="3666">
        <v>110</v>
      </c>
      <c r="K18" s="2354" t="s">
        <v>1936</v>
      </c>
      <c r="L18" s="3469" t="s">
        <v>7016</v>
      </c>
      <c r="M18" s="3582"/>
      <c r="N18" s="3582"/>
      <c r="O18" s="3470"/>
      <c r="P18" s="3470"/>
      <c r="Q18" s="3582"/>
      <c r="R18" s="3582"/>
      <c r="S18" s="3583"/>
    </row>
    <row r="19" spans="3:19" ht="4.3499999999999996" customHeight="1">
      <c r="D19" s="319"/>
      <c r="H19" s="3670"/>
      <c r="I19" s="3670"/>
      <c r="J19" s="3670"/>
      <c r="K19" s="2354"/>
      <c r="L19" s="3670"/>
      <c r="M19" s="3670"/>
      <c r="N19" s="2348"/>
      <c r="O19" s="3671"/>
      <c r="P19" s="3671"/>
      <c r="Q19" s="2354"/>
      <c r="R19" s="3671"/>
      <c r="S19" s="3671"/>
    </row>
    <row r="20" spans="3:19" s="293" customFormat="1" ht="11.25" customHeight="1">
      <c r="D20" s="295" t="s">
        <v>2066</v>
      </c>
      <c r="E20" s="293" t="s">
        <v>1810</v>
      </c>
      <c r="F20" s="2351"/>
      <c r="H20" s="3653" t="s">
        <v>6996</v>
      </c>
      <c r="I20" s="3654"/>
      <c r="J20" s="3654"/>
      <c r="K20" s="3654"/>
      <c r="L20" s="3654"/>
      <c r="M20" s="3654"/>
      <c r="N20" s="3655"/>
      <c r="O20" s="2346" t="s">
        <v>1941</v>
      </c>
      <c r="P20" s="2346"/>
      <c r="Q20" s="3653" t="s">
        <v>6997</v>
      </c>
      <c r="R20" s="3654"/>
      <c r="S20" s="3655"/>
    </row>
    <row r="21" spans="3:19" s="293" customFormat="1" ht="11.25" customHeight="1">
      <c r="D21" s="331"/>
      <c r="E21" s="2343" t="s">
        <v>999</v>
      </c>
      <c r="F21" s="305"/>
      <c r="H21" s="3482" t="s">
        <v>7063</v>
      </c>
      <c r="I21" s="3656"/>
      <c r="J21" s="3656"/>
      <c r="K21" s="3657"/>
      <c r="L21" s="3656"/>
      <c r="M21" s="3656"/>
      <c r="N21" s="3658"/>
      <c r="O21" s="2346" t="s">
        <v>1704</v>
      </c>
      <c r="Q21" s="3501" t="s">
        <v>2409</v>
      </c>
      <c r="R21" s="3565"/>
      <c r="S21" s="3566"/>
    </row>
    <row r="22" spans="3:19" s="293" customFormat="1" ht="11.25" customHeight="1">
      <c r="D22" s="331"/>
      <c r="E22" s="2343" t="s">
        <v>600</v>
      </c>
      <c r="H22" s="3482" t="s">
        <v>462</v>
      </c>
      <c r="I22" s="3657"/>
      <c r="J22" s="3569"/>
      <c r="K22" s="2360" t="s">
        <v>2624</v>
      </c>
      <c r="L22" s="3482" t="s">
        <v>7064</v>
      </c>
      <c r="M22" s="3656"/>
      <c r="N22" s="3569"/>
      <c r="O22" s="2346" t="s">
        <v>1679</v>
      </c>
      <c r="Q22" s="3620">
        <v>4046108389</v>
      </c>
      <c r="R22" s="3621"/>
      <c r="S22" s="3622"/>
    </row>
    <row r="23" spans="3:19" s="293" customFormat="1" ht="11.25" customHeight="1">
      <c r="E23" s="2343" t="s">
        <v>1754</v>
      </c>
      <c r="H23" s="3567" t="s">
        <v>828</v>
      </c>
      <c r="K23" s="1007" t="s">
        <v>2172</v>
      </c>
      <c r="L23" s="3489">
        <v>301440000</v>
      </c>
      <c r="M23" s="3669"/>
      <c r="O23" s="2346" t="s">
        <v>1931</v>
      </c>
      <c r="Q23" s="3620">
        <v>4046108389</v>
      </c>
      <c r="R23" s="3621"/>
      <c r="S23" s="3622"/>
    </row>
    <row r="24" spans="3:19" s="293" customFormat="1" ht="11.25" customHeight="1">
      <c r="D24" s="331"/>
      <c r="E24" s="2343" t="s">
        <v>3894</v>
      </c>
      <c r="H24" s="3664">
        <v>4046108389</v>
      </c>
      <c r="I24" s="3672"/>
      <c r="J24" s="3673"/>
      <c r="K24" s="2354" t="s">
        <v>1936</v>
      </c>
      <c r="L24" s="3623" t="s">
        <v>6999</v>
      </c>
      <c r="M24" s="3582"/>
      <c r="N24" s="3470"/>
      <c r="O24" s="3470"/>
      <c r="P24" s="3470"/>
      <c r="Q24" s="3582"/>
      <c r="R24" s="3582"/>
      <c r="S24" s="3583"/>
    </row>
    <row r="25" spans="3:19" s="293" customFormat="1" ht="4.3499999999999996" customHeight="1">
      <c r="D25" s="331"/>
      <c r="E25" s="2351"/>
      <c r="F25" s="2351"/>
      <c r="G25" s="2346"/>
      <c r="H25" s="3670"/>
      <c r="I25" s="3670"/>
      <c r="J25" s="3670"/>
      <c r="K25" s="2354"/>
      <c r="L25" s="3670"/>
      <c r="M25" s="3670"/>
      <c r="N25" s="2348"/>
      <c r="O25" s="3671"/>
      <c r="P25" s="3671"/>
      <c r="Q25" s="2354"/>
      <c r="R25" s="3671"/>
      <c r="S25" s="3671"/>
    </row>
    <row r="26" spans="3:19" s="293" customFormat="1" ht="11.25" customHeight="1">
      <c r="D26" s="295" t="s">
        <v>1691</v>
      </c>
      <c r="E26" s="293" t="s">
        <v>1810</v>
      </c>
      <c r="F26" s="2351"/>
      <c r="H26" s="3653" t="s">
        <v>7008</v>
      </c>
      <c r="I26" s="3654"/>
      <c r="J26" s="3654"/>
      <c r="K26" s="3654"/>
      <c r="L26" s="3654"/>
      <c r="M26" s="3654"/>
      <c r="N26" s="3655"/>
      <c r="O26" s="2346" t="s">
        <v>1941</v>
      </c>
      <c r="P26" s="2346"/>
      <c r="Q26" s="3653" t="s">
        <v>7070</v>
      </c>
      <c r="R26" s="3654"/>
      <c r="S26" s="3655"/>
    </row>
    <row r="27" spans="3:19" s="293" customFormat="1" ht="11.25" customHeight="1">
      <c r="D27" s="331"/>
      <c r="E27" s="2343" t="s">
        <v>999</v>
      </c>
      <c r="F27" s="305"/>
      <c r="H27" s="3482" t="s">
        <v>7066</v>
      </c>
      <c r="I27" s="3656"/>
      <c r="J27" s="3656"/>
      <c r="K27" s="3657"/>
      <c r="L27" s="3656"/>
      <c r="M27" s="3656"/>
      <c r="N27" s="3658"/>
      <c r="O27" s="2346" t="s">
        <v>1704</v>
      </c>
      <c r="Q27" s="3501" t="s">
        <v>7017</v>
      </c>
      <c r="R27" s="3565"/>
      <c r="S27" s="3566"/>
    </row>
    <row r="28" spans="3:19" s="293" customFormat="1" ht="11.25" customHeight="1">
      <c r="D28" s="331"/>
      <c r="E28" s="2343" t="s">
        <v>600</v>
      </c>
      <c r="H28" s="3482" t="s">
        <v>7067</v>
      </c>
      <c r="I28" s="3657"/>
      <c r="J28" s="3569"/>
      <c r="K28" s="2360" t="s">
        <v>2624</v>
      </c>
      <c r="L28" s="3482"/>
      <c r="M28" s="3656"/>
      <c r="N28" s="3569"/>
      <c r="O28" s="2346" t="s">
        <v>1679</v>
      </c>
      <c r="Q28" s="3620">
        <v>4782722450</v>
      </c>
      <c r="R28" s="3621"/>
      <c r="S28" s="3622"/>
    </row>
    <row r="29" spans="3:19" s="293" customFormat="1" ht="11.25" customHeight="1">
      <c r="E29" s="2343" t="s">
        <v>1754</v>
      </c>
      <c r="H29" s="3567" t="s">
        <v>828</v>
      </c>
      <c r="K29" s="1007" t="s">
        <v>2172</v>
      </c>
      <c r="L29" s="3489">
        <v>310210000</v>
      </c>
      <c r="M29" s="3669"/>
      <c r="O29" s="2346" t="s">
        <v>1931</v>
      </c>
      <c r="Q29" s="3620"/>
      <c r="R29" s="3621"/>
      <c r="S29" s="3622"/>
    </row>
    <row r="30" spans="3:19" s="293" customFormat="1" ht="11.25" customHeight="1">
      <c r="D30" s="331"/>
      <c r="E30" s="2343" t="s">
        <v>3894</v>
      </c>
      <c r="H30" s="3664">
        <v>4782722450</v>
      </c>
      <c r="I30" s="3672"/>
      <c r="J30" s="3673"/>
      <c r="K30" s="2354" t="s">
        <v>1936</v>
      </c>
      <c r="L30" s="3623" t="s">
        <v>7065</v>
      </c>
      <c r="M30" s="3582"/>
      <c r="N30" s="3470"/>
      <c r="O30" s="3470"/>
      <c r="P30" s="3470"/>
      <c r="Q30" s="3582"/>
      <c r="R30" s="3582"/>
      <c r="S30" s="3583"/>
    </row>
    <row r="31" spans="3:19" ht="4.3499999999999996" customHeight="1"/>
    <row r="32" spans="3:19" s="293" customFormat="1" ht="11.25" customHeight="1">
      <c r="C32" s="333" t="s">
        <v>1940</v>
      </c>
      <c r="D32" s="330" t="s">
        <v>1812</v>
      </c>
      <c r="H32" s="2351"/>
      <c r="I32" s="2351"/>
      <c r="J32" s="2351"/>
      <c r="K32" s="1194" t="s">
        <v>3893</v>
      </c>
      <c r="L32" s="2351"/>
      <c r="M32" s="2351"/>
    </row>
    <row r="33" spans="3:19" s="293" customFormat="1" ht="11.25" customHeight="1">
      <c r="D33" s="295" t="s">
        <v>2065</v>
      </c>
      <c r="E33" s="293" t="s">
        <v>732</v>
      </c>
      <c r="H33" s="3653" t="s">
        <v>7074</v>
      </c>
      <c r="I33" s="3654"/>
      <c r="J33" s="3654"/>
      <c r="K33" s="3654"/>
      <c r="L33" s="3654"/>
      <c r="M33" s="3654"/>
      <c r="N33" s="3655"/>
      <c r="O33" s="2346" t="s">
        <v>1941</v>
      </c>
      <c r="P33" s="2346"/>
      <c r="Q33" s="3653" t="s">
        <v>7019</v>
      </c>
      <c r="R33" s="3654"/>
      <c r="S33" s="3655"/>
    </row>
    <row r="34" spans="3:19" s="293" customFormat="1" ht="11.25" customHeight="1">
      <c r="D34" s="331"/>
      <c r="E34" s="2343" t="s">
        <v>999</v>
      </c>
      <c r="F34" s="305"/>
      <c r="H34" s="3482" t="s">
        <v>7075</v>
      </c>
      <c r="I34" s="3656"/>
      <c r="J34" s="3656"/>
      <c r="K34" s="3657"/>
      <c r="L34" s="3656"/>
      <c r="M34" s="3656"/>
      <c r="N34" s="3658"/>
      <c r="O34" s="2346" t="s">
        <v>1704</v>
      </c>
      <c r="Q34" s="3501" t="s">
        <v>7076</v>
      </c>
      <c r="R34" s="3565"/>
      <c r="S34" s="3566"/>
    </row>
    <row r="35" spans="3:19" s="293" customFormat="1" ht="11.25" customHeight="1">
      <c r="D35" s="331"/>
      <c r="E35" s="2343" t="s">
        <v>600</v>
      </c>
      <c r="H35" s="3482" t="s">
        <v>7077</v>
      </c>
      <c r="I35" s="3657"/>
      <c r="J35" s="3569"/>
      <c r="K35" s="2360" t="s">
        <v>2624</v>
      </c>
      <c r="L35" s="3482" t="s">
        <v>7078</v>
      </c>
      <c r="M35" s="3656"/>
      <c r="N35" s="3569"/>
      <c r="O35" s="2346" t="s">
        <v>1679</v>
      </c>
      <c r="Q35" s="3620"/>
      <c r="R35" s="3621"/>
      <c r="S35" s="3622"/>
    </row>
    <row r="36" spans="3:19" s="293" customFormat="1" ht="11.25" customHeight="1">
      <c r="E36" s="2343" t="s">
        <v>1754</v>
      </c>
      <c r="H36" s="3567" t="s">
        <v>1322</v>
      </c>
      <c r="K36" s="1007" t="s">
        <v>2172</v>
      </c>
      <c r="L36" s="3489">
        <v>282100000</v>
      </c>
      <c r="M36" s="3669"/>
      <c r="O36" s="2346" t="s">
        <v>1931</v>
      </c>
      <c r="Q36" s="3620">
        <v>2165444223</v>
      </c>
      <c r="R36" s="3621"/>
      <c r="S36" s="3622"/>
    </row>
    <row r="37" spans="3:19" s="293" customFormat="1" ht="11.25" customHeight="1">
      <c r="D37" s="331"/>
      <c r="E37" s="2343" t="s">
        <v>3894</v>
      </c>
      <c r="H37" s="3664">
        <v>9802336462</v>
      </c>
      <c r="I37" s="3672"/>
      <c r="J37" s="3673"/>
      <c r="K37" s="2354" t="s">
        <v>1936</v>
      </c>
      <c r="L37" s="3623" t="s">
        <v>7079</v>
      </c>
      <c r="M37" s="3582"/>
      <c r="N37" s="3470"/>
      <c r="O37" s="3470"/>
      <c r="P37" s="3470"/>
      <c r="Q37" s="3582"/>
      <c r="R37" s="3582"/>
      <c r="S37" s="3583"/>
    </row>
    <row r="38" spans="3:19" ht="4.3499999999999996" customHeight="1">
      <c r="H38" s="3670"/>
      <c r="I38" s="3670"/>
      <c r="J38" s="3670"/>
      <c r="K38" s="2354"/>
      <c r="L38" s="3670"/>
      <c r="M38" s="3670"/>
      <c r="N38" s="2348"/>
      <c r="O38" s="3671"/>
      <c r="P38" s="3671"/>
      <c r="Q38" s="2354"/>
      <c r="R38" s="3671"/>
      <c r="S38" s="3671"/>
    </row>
    <row r="39" spans="3:19" s="293" customFormat="1" ht="11.25" customHeight="1">
      <c r="D39" s="295" t="s">
        <v>2066</v>
      </c>
      <c r="E39" s="293" t="s">
        <v>733</v>
      </c>
      <c r="F39" s="295"/>
      <c r="H39" s="3653" t="s">
        <v>7074</v>
      </c>
      <c r="I39" s="3654"/>
      <c r="J39" s="3654"/>
      <c r="K39" s="3654"/>
      <c r="L39" s="3654"/>
      <c r="M39" s="3654"/>
      <c r="N39" s="3655"/>
      <c r="O39" s="2346" t="s">
        <v>1941</v>
      </c>
      <c r="P39" s="2346"/>
      <c r="Q39" s="3653" t="s">
        <v>7019</v>
      </c>
      <c r="R39" s="3654"/>
      <c r="S39" s="3655"/>
    </row>
    <row r="40" spans="3:19" s="293" customFormat="1" ht="11.25" customHeight="1">
      <c r="D40" s="331"/>
      <c r="E40" s="2343" t="s">
        <v>999</v>
      </c>
      <c r="F40" s="305"/>
      <c r="H40" s="3482" t="s">
        <v>7075</v>
      </c>
      <c r="I40" s="3656"/>
      <c r="J40" s="3656"/>
      <c r="K40" s="3657"/>
      <c r="L40" s="3656"/>
      <c r="M40" s="3656"/>
      <c r="N40" s="3658"/>
      <c r="O40" s="2346" t="s">
        <v>1704</v>
      </c>
      <c r="Q40" s="3501" t="s">
        <v>7076</v>
      </c>
      <c r="R40" s="3565"/>
      <c r="S40" s="3566"/>
    </row>
    <row r="41" spans="3:19" s="293" customFormat="1" ht="11.25" customHeight="1">
      <c r="D41" s="331"/>
      <c r="E41" s="2343" t="s">
        <v>600</v>
      </c>
      <c r="H41" s="3482" t="s">
        <v>7077</v>
      </c>
      <c r="I41" s="3657"/>
      <c r="J41" s="3569"/>
      <c r="K41" s="2360" t="s">
        <v>2624</v>
      </c>
      <c r="L41" s="3482" t="s">
        <v>7078</v>
      </c>
      <c r="M41" s="3656"/>
      <c r="N41" s="3569"/>
      <c r="O41" s="2346" t="s">
        <v>1679</v>
      </c>
      <c r="Q41" s="3620"/>
      <c r="R41" s="3621"/>
      <c r="S41" s="3622"/>
    </row>
    <row r="42" spans="3:19" s="293" customFormat="1" ht="11.25" customHeight="1">
      <c r="D42" s="295"/>
      <c r="E42" s="2343" t="s">
        <v>1754</v>
      </c>
      <c r="H42" s="3567" t="s">
        <v>1322</v>
      </c>
      <c r="K42" s="1007" t="s">
        <v>2172</v>
      </c>
      <c r="L42" s="3489">
        <v>282100000</v>
      </c>
      <c r="M42" s="3669"/>
      <c r="O42" s="2346" t="s">
        <v>1931</v>
      </c>
      <c r="Q42" s="3620">
        <v>2165444223</v>
      </c>
      <c r="R42" s="3621"/>
      <c r="S42" s="3622"/>
    </row>
    <row r="43" spans="3:19" s="293" customFormat="1" ht="11.25" customHeight="1">
      <c r="D43" s="331"/>
      <c r="E43" s="2343" t="s">
        <v>3894</v>
      </c>
      <c r="H43" s="3664">
        <v>9802336462</v>
      </c>
      <c r="I43" s="3672"/>
      <c r="J43" s="3673"/>
      <c r="K43" s="2354" t="s">
        <v>1936</v>
      </c>
      <c r="L43" s="3623" t="s">
        <v>7079</v>
      </c>
      <c r="M43" s="3582"/>
      <c r="N43" s="3470"/>
      <c r="O43" s="3470"/>
      <c r="P43" s="3470"/>
      <c r="Q43" s="3582"/>
      <c r="R43" s="3582"/>
      <c r="S43" s="3583"/>
    </row>
    <row r="44" spans="3:19" s="293" customFormat="1" ht="4.3499999999999996" customHeight="1">
      <c r="D44" s="331"/>
      <c r="E44" s="2343"/>
      <c r="F44" s="295"/>
      <c r="H44" s="326"/>
      <c r="I44" s="326"/>
      <c r="J44" s="3674"/>
      <c r="K44" s="2354"/>
      <c r="L44" s="326"/>
      <c r="M44" s="326"/>
      <c r="N44" s="2354"/>
      <c r="O44" s="326"/>
      <c r="P44" s="326"/>
      <c r="Q44" s="2354"/>
      <c r="R44" s="326"/>
      <c r="S44" s="326"/>
    </row>
    <row r="45" spans="3:19" s="293" customFormat="1" ht="11.25" customHeight="1">
      <c r="C45" s="334" t="s">
        <v>2467</v>
      </c>
      <c r="D45" s="330" t="s">
        <v>633</v>
      </c>
      <c r="H45" s="2351"/>
      <c r="I45" s="2351"/>
      <c r="J45" s="2351"/>
      <c r="K45" s="1194" t="s">
        <v>3893</v>
      </c>
      <c r="L45" s="2351"/>
      <c r="M45" s="2351"/>
    </row>
    <row r="46" spans="3:19" s="293" customFormat="1" ht="11.25" customHeight="1">
      <c r="E46" s="293" t="s">
        <v>90</v>
      </c>
      <c r="H46" s="3653"/>
      <c r="I46" s="3654"/>
      <c r="J46" s="3654"/>
      <c r="K46" s="3654"/>
      <c r="L46" s="3654"/>
      <c r="M46" s="3654"/>
      <c r="N46" s="3655"/>
      <c r="O46" s="2346" t="s">
        <v>1941</v>
      </c>
      <c r="P46" s="2346"/>
      <c r="Q46" s="3653"/>
      <c r="R46" s="3654"/>
      <c r="S46" s="3655"/>
    </row>
    <row r="47" spans="3:19" s="293" customFormat="1" ht="11.25" customHeight="1">
      <c r="D47" s="331"/>
      <c r="E47" s="2343" t="s">
        <v>999</v>
      </c>
      <c r="F47" s="305"/>
      <c r="H47" s="3482"/>
      <c r="I47" s="3656"/>
      <c r="J47" s="3656"/>
      <c r="K47" s="3657"/>
      <c r="L47" s="3656"/>
      <c r="M47" s="3656"/>
      <c r="N47" s="3658"/>
      <c r="O47" s="2346" t="s">
        <v>1704</v>
      </c>
      <c r="Q47" s="3501"/>
      <c r="R47" s="3565"/>
      <c r="S47" s="3566"/>
    </row>
    <row r="48" spans="3:19" s="293" customFormat="1" ht="11.25" customHeight="1">
      <c r="D48" s="331"/>
      <c r="E48" s="2343" t="s">
        <v>600</v>
      </c>
      <c r="H48" s="3482"/>
      <c r="I48" s="3657"/>
      <c r="J48" s="3569"/>
      <c r="K48" s="2360" t="s">
        <v>2624</v>
      </c>
      <c r="L48" s="3482"/>
      <c r="M48" s="3656"/>
      <c r="N48" s="3569"/>
      <c r="O48" s="2346" t="s">
        <v>1679</v>
      </c>
      <c r="Q48" s="3620"/>
      <c r="R48" s="3621"/>
      <c r="S48" s="3622"/>
    </row>
    <row r="49" spans="1:19" s="293" customFormat="1" ht="11.25" customHeight="1">
      <c r="E49" s="2343" t="s">
        <v>1754</v>
      </c>
      <c r="H49" s="3567"/>
      <c r="K49" s="1007" t="s">
        <v>2172</v>
      </c>
      <c r="L49" s="3489"/>
      <c r="M49" s="3669"/>
      <c r="O49" s="2346" t="s">
        <v>1931</v>
      </c>
      <c r="Q49" s="3620"/>
      <c r="R49" s="3621"/>
      <c r="S49" s="3622"/>
    </row>
    <row r="50" spans="1:19" s="293" customFormat="1" ht="11.25" customHeight="1">
      <c r="D50" s="331"/>
      <c r="E50" s="2343" t="s">
        <v>3894</v>
      </c>
      <c r="H50" s="3664"/>
      <c r="I50" s="3672"/>
      <c r="J50" s="3673"/>
      <c r="K50" s="2354" t="s">
        <v>1936</v>
      </c>
      <c r="L50" s="3623"/>
      <c r="M50" s="3582"/>
      <c r="N50" s="3470"/>
      <c r="O50" s="3470"/>
      <c r="P50" s="3470"/>
      <c r="Q50" s="3582"/>
      <c r="R50" s="3582"/>
      <c r="S50" s="3583"/>
    </row>
    <row r="51" spans="1:19" ht="6.75" customHeight="1"/>
    <row r="52" spans="1:19" s="293" customFormat="1" ht="13.35" customHeight="1">
      <c r="A52" s="295" t="s">
        <v>722</v>
      </c>
      <c r="B52" s="295" t="s">
        <v>634</v>
      </c>
      <c r="F52" s="295"/>
      <c r="G52" s="2354"/>
      <c r="H52" s="2354"/>
      <c r="I52" s="2354"/>
      <c r="J52" s="2351"/>
      <c r="K52" s="1194" t="s">
        <v>3893</v>
      </c>
      <c r="L52" s="2351"/>
      <c r="M52" s="2351"/>
      <c r="N52" s="2351"/>
      <c r="O52" s="2351"/>
      <c r="P52" s="2351"/>
      <c r="Q52" s="2351"/>
      <c r="R52" s="2351"/>
      <c r="S52" s="2351"/>
    </row>
    <row r="53" spans="1:19" s="293" customFormat="1" ht="3" customHeight="1">
      <c r="A53" s="295"/>
      <c r="B53" s="295"/>
      <c r="F53" s="295"/>
      <c r="G53" s="2354"/>
      <c r="H53" s="3675"/>
      <c r="I53" s="3675"/>
      <c r="J53" s="3675"/>
      <c r="K53" s="2348"/>
      <c r="L53" s="3675"/>
      <c r="M53" s="3675"/>
      <c r="N53" s="2348"/>
      <c r="O53" s="3671"/>
      <c r="P53" s="3671"/>
      <c r="Q53" s="2354"/>
      <c r="R53" s="3671"/>
      <c r="S53" s="3671"/>
    </row>
    <row r="54" spans="1:19" s="293" customFormat="1" ht="11.25" customHeight="1">
      <c r="B54" s="295" t="s">
        <v>1935</v>
      </c>
      <c r="C54" s="295" t="s">
        <v>277</v>
      </c>
      <c r="H54" s="3653" t="s">
        <v>7020</v>
      </c>
      <c r="I54" s="3654"/>
      <c r="J54" s="3654"/>
      <c r="K54" s="3654"/>
      <c r="L54" s="3654"/>
      <c r="M54" s="3654"/>
      <c r="N54" s="3655"/>
      <c r="O54" s="2346" t="s">
        <v>1941</v>
      </c>
      <c r="P54" s="2346"/>
      <c r="Q54" s="3653" t="s">
        <v>6992</v>
      </c>
      <c r="R54" s="3654"/>
      <c r="S54" s="3655"/>
    </row>
    <row r="55" spans="1:19" s="293" customFormat="1" ht="11.25" customHeight="1">
      <c r="D55" s="331"/>
      <c r="E55" s="2343" t="s">
        <v>999</v>
      </c>
      <c r="F55" s="305"/>
      <c r="H55" s="3482" t="s">
        <v>7068</v>
      </c>
      <c r="I55" s="3656"/>
      <c r="J55" s="3656"/>
      <c r="K55" s="3657"/>
      <c r="L55" s="3656"/>
      <c r="M55" s="3656"/>
      <c r="N55" s="3658"/>
      <c r="O55" s="2346" t="s">
        <v>1704</v>
      </c>
      <c r="Q55" s="3501" t="s">
        <v>7014</v>
      </c>
      <c r="R55" s="3565"/>
      <c r="S55" s="3566"/>
    </row>
    <row r="56" spans="1:19" s="293" customFormat="1" ht="11.25" customHeight="1">
      <c r="D56" s="331"/>
      <c r="E56" s="2343" t="s">
        <v>600</v>
      </c>
      <c r="H56" s="3482" t="s">
        <v>6995</v>
      </c>
      <c r="I56" s="3657"/>
      <c r="J56" s="3569"/>
      <c r="K56" s="2360" t="s">
        <v>2624</v>
      </c>
      <c r="L56" s="3482" t="s">
        <v>7069</v>
      </c>
      <c r="M56" s="3656"/>
      <c r="N56" s="3569"/>
      <c r="O56" s="2346" t="s">
        <v>1679</v>
      </c>
      <c r="Q56" s="3620">
        <v>9412282185</v>
      </c>
      <c r="R56" s="3621"/>
      <c r="S56" s="3622"/>
    </row>
    <row r="57" spans="1:19" s="293" customFormat="1" ht="11.25" customHeight="1">
      <c r="E57" s="2343" t="s">
        <v>1754</v>
      </c>
      <c r="H57" s="3567" t="s">
        <v>827</v>
      </c>
      <c r="K57" s="1007" t="s">
        <v>2172</v>
      </c>
      <c r="L57" s="3489">
        <v>342360000</v>
      </c>
      <c r="M57" s="3669"/>
      <c r="O57" s="2346" t="s">
        <v>1931</v>
      </c>
      <c r="Q57" s="3620">
        <v>9412282185</v>
      </c>
      <c r="R57" s="3621"/>
      <c r="S57" s="3622"/>
    </row>
    <row r="58" spans="1:19" s="293" customFormat="1" ht="11.25" customHeight="1">
      <c r="D58" s="331"/>
      <c r="E58" s="2343" t="s">
        <v>3894</v>
      </c>
      <c r="H58" s="3664">
        <v>9419291270</v>
      </c>
      <c r="I58" s="3665"/>
      <c r="J58" s="3666">
        <v>110</v>
      </c>
      <c r="K58" s="2354" t="s">
        <v>1936</v>
      </c>
      <c r="L58" s="3469" t="s">
        <v>7016</v>
      </c>
      <c r="M58" s="3582"/>
      <c r="N58" s="3582"/>
      <c r="O58" s="3470"/>
      <c r="P58" s="3470"/>
      <c r="Q58" s="3582"/>
      <c r="R58" s="3582"/>
      <c r="S58" s="3583"/>
    </row>
    <row r="59" spans="1:19" s="293" customFormat="1" ht="6.6" customHeight="1">
      <c r="D59" s="331"/>
      <c r="E59" s="2351"/>
      <c r="F59" s="2351"/>
      <c r="G59" s="2346"/>
      <c r="H59" s="3670"/>
      <c r="I59" s="3670"/>
      <c r="J59" s="3670"/>
      <c r="K59" s="2354"/>
      <c r="L59" s="3670"/>
      <c r="M59" s="3670"/>
      <c r="N59" s="2348"/>
      <c r="O59" s="3671"/>
      <c r="P59" s="3671"/>
      <c r="Q59" s="2354"/>
      <c r="R59" s="3671"/>
      <c r="S59" s="3671"/>
    </row>
    <row r="60" spans="1:19" s="293" customFormat="1" ht="11.25" customHeight="1">
      <c r="B60" s="295" t="s">
        <v>1937</v>
      </c>
      <c r="C60" s="295" t="s">
        <v>278</v>
      </c>
      <c r="H60" s="3653" t="s">
        <v>7021</v>
      </c>
      <c r="I60" s="3654"/>
      <c r="J60" s="3654"/>
      <c r="K60" s="3654"/>
      <c r="L60" s="3654"/>
      <c r="M60" s="3654"/>
      <c r="N60" s="3655"/>
      <c r="O60" s="2346" t="s">
        <v>1941</v>
      </c>
      <c r="P60" s="2346"/>
      <c r="Q60" s="3653" t="s">
        <v>6997</v>
      </c>
      <c r="R60" s="3654"/>
      <c r="S60" s="3655"/>
    </row>
    <row r="61" spans="1:19" s="293" customFormat="1" ht="11.25" customHeight="1">
      <c r="D61" s="331"/>
      <c r="E61" s="2343" t="s">
        <v>999</v>
      </c>
      <c r="F61" s="305"/>
      <c r="H61" s="3482" t="s">
        <v>7063</v>
      </c>
      <c r="I61" s="3656"/>
      <c r="J61" s="3656"/>
      <c r="K61" s="3657"/>
      <c r="L61" s="3656"/>
      <c r="M61" s="3656"/>
      <c r="N61" s="3658"/>
      <c r="O61" s="2346" t="s">
        <v>1704</v>
      </c>
      <c r="Q61" s="3501" t="s">
        <v>2409</v>
      </c>
      <c r="R61" s="3565"/>
      <c r="S61" s="3566"/>
    </row>
    <row r="62" spans="1:19" s="293" customFormat="1" ht="11.25" customHeight="1">
      <c r="D62" s="331"/>
      <c r="E62" s="2343" t="s">
        <v>600</v>
      </c>
      <c r="H62" s="3482" t="s">
        <v>462</v>
      </c>
      <c r="I62" s="3657"/>
      <c r="J62" s="3569"/>
      <c r="K62" s="2360" t="s">
        <v>2624</v>
      </c>
      <c r="L62" s="3482" t="s">
        <v>7064</v>
      </c>
      <c r="M62" s="3656"/>
      <c r="N62" s="3569"/>
      <c r="O62" s="2346" t="s">
        <v>1679</v>
      </c>
      <c r="Q62" s="3620">
        <v>4046108389</v>
      </c>
      <c r="R62" s="3621"/>
      <c r="S62" s="3622"/>
    </row>
    <row r="63" spans="1:19" s="293" customFormat="1" ht="11.25" customHeight="1">
      <c r="E63" s="2343" t="s">
        <v>1754</v>
      </c>
      <c r="H63" s="3567" t="s">
        <v>828</v>
      </c>
      <c r="K63" s="1007" t="s">
        <v>2172</v>
      </c>
      <c r="L63" s="3489">
        <v>301440000</v>
      </c>
      <c r="M63" s="3669"/>
      <c r="O63" s="2346" t="s">
        <v>1931</v>
      </c>
      <c r="Q63" s="3620">
        <v>4046108389</v>
      </c>
      <c r="R63" s="3621"/>
      <c r="S63" s="3622"/>
    </row>
    <row r="64" spans="1:19" s="293" customFormat="1" ht="11.25" customHeight="1">
      <c r="D64" s="331"/>
      <c r="E64" s="2343" t="s">
        <v>3894</v>
      </c>
      <c r="H64" s="3664">
        <v>4046108389</v>
      </c>
      <c r="I64" s="3672"/>
      <c r="J64" s="3673"/>
      <c r="K64" s="2354" t="s">
        <v>1936</v>
      </c>
      <c r="L64" s="3623" t="s">
        <v>6999</v>
      </c>
      <c r="M64" s="3582"/>
      <c r="N64" s="3470"/>
      <c r="O64" s="3470"/>
      <c r="P64" s="3470"/>
      <c r="Q64" s="3582"/>
      <c r="R64" s="3582"/>
      <c r="S64" s="3583"/>
    </row>
    <row r="65" spans="1:19" s="293" customFormat="1" ht="6.6" customHeight="1">
      <c r="D65" s="331"/>
      <c r="E65" s="2351"/>
      <c r="F65" s="2351"/>
      <c r="G65" s="2346"/>
      <c r="H65" s="3670"/>
      <c r="I65" s="3670"/>
      <c r="J65" s="3670"/>
      <c r="K65" s="2354"/>
      <c r="L65" s="3670"/>
      <c r="M65" s="3670"/>
      <c r="N65" s="2348"/>
      <c r="O65" s="3671"/>
      <c r="P65" s="3671"/>
      <c r="Q65" s="2354"/>
      <c r="R65" s="3671"/>
      <c r="S65" s="3671"/>
    </row>
    <row r="66" spans="1:19" s="293" customFormat="1" ht="11.25" customHeight="1">
      <c r="B66" s="295" t="s">
        <v>731</v>
      </c>
      <c r="C66" s="295" t="s">
        <v>1496</v>
      </c>
      <c r="H66" s="3653" t="s">
        <v>7008</v>
      </c>
      <c r="I66" s="3654"/>
      <c r="J66" s="3654"/>
      <c r="K66" s="3654"/>
      <c r="L66" s="3654"/>
      <c r="M66" s="3654"/>
      <c r="N66" s="3655"/>
      <c r="O66" s="2346" t="s">
        <v>1941</v>
      </c>
      <c r="P66" s="2346"/>
      <c r="Q66" s="3653" t="s">
        <v>7070</v>
      </c>
      <c r="R66" s="3654"/>
      <c r="S66" s="3655"/>
    </row>
    <row r="67" spans="1:19" s="293" customFormat="1" ht="11.25" customHeight="1">
      <c r="D67" s="331"/>
      <c r="E67" s="2343" t="s">
        <v>999</v>
      </c>
      <c r="F67" s="305"/>
      <c r="H67" s="3482" t="s">
        <v>7066</v>
      </c>
      <c r="I67" s="3656"/>
      <c r="J67" s="3656"/>
      <c r="K67" s="3657"/>
      <c r="L67" s="3656"/>
      <c r="M67" s="3656"/>
      <c r="N67" s="3658"/>
      <c r="O67" s="2346" t="s">
        <v>1704</v>
      </c>
      <c r="Q67" s="3501" t="s">
        <v>7017</v>
      </c>
      <c r="R67" s="3565"/>
      <c r="S67" s="3566"/>
    </row>
    <row r="68" spans="1:19" s="293" customFormat="1" ht="11.25" customHeight="1">
      <c r="D68" s="331"/>
      <c r="E68" s="2343" t="s">
        <v>600</v>
      </c>
      <c r="H68" s="3482" t="s">
        <v>7008</v>
      </c>
      <c r="I68" s="3657"/>
      <c r="J68" s="3569"/>
      <c r="K68" s="2360" t="s">
        <v>2624</v>
      </c>
      <c r="L68" s="3482"/>
      <c r="M68" s="3656"/>
      <c r="N68" s="3569"/>
      <c r="O68" s="2346" t="s">
        <v>1679</v>
      </c>
      <c r="Q68" s="3620">
        <v>4782722450</v>
      </c>
      <c r="R68" s="3621"/>
      <c r="S68" s="3622"/>
    </row>
    <row r="69" spans="1:19" s="293" customFormat="1" ht="11.25" customHeight="1">
      <c r="E69" s="2343" t="s">
        <v>1754</v>
      </c>
      <c r="H69" s="3567" t="s">
        <v>828</v>
      </c>
      <c r="K69" s="1007" t="s">
        <v>2172</v>
      </c>
      <c r="L69" s="3489">
        <v>310210000</v>
      </c>
      <c r="M69" s="3669"/>
      <c r="O69" s="2346" t="s">
        <v>1931</v>
      </c>
      <c r="Q69" s="3620"/>
      <c r="R69" s="3621"/>
      <c r="S69" s="3622"/>
    </row>
    <row r="70" spans="1:19" s="293" customFormat="1" ht="11.25" customHeight="1">
      <c r="D70" s="331"/>
      <c r="E70" s="2343" t="s">
        <v>3894</v>
      </c>
      <c r="H70" s="3664">
        <v>4782722450</v>
      </c>
      <c r="I70" s="3672"/>
      <c r="J70" s="3673"/>
      <c r="K70" s="2354" t="s">
        <v>1936</v>
      </c>
      <c r="L70" s="3623" t="s">
        <v>7065</v>
      </c>
      <c r="M70" s="3582"/>
      <c r="N70" s="3470"/>
      <c r="O70" s="3470"/>
      <c r="P70" s="3470"/>
      <c r="Q70" s="3582"/>
      <c r="R70" s="3582"/>
      <c r="S70" s="3583"/>
    </row>
    <row r="71" spans="1:19" ht="6.6" customHeight="1">
      <c r="H71" s="3670"/>
      <c r="I71" s="3670"/>
      <c r="J71" s="3670"/>
      <c r="K71" s="2354"/>
      <c r="L71" s="3670"/>
      <c r="M71" s="3670"/>
      <c r="N71" s="2348"/>
      <c r="O71" s="3671"/>
      <c r="P71" s="3671"/>
      <c r="Q71" s="2354"/>
      <c r="R71" s="3671"/>
      <c r="S71" s="3671"/>
    </row>
    <row r="72" spans="1:19" s="293" customFormat="1" ht="11.25" customHeight="1">
      <c r="B72" s="295" t="s">
        <v>2064</v>
      </c>
      <c r="C72" s="295" t="s">
        <v>279</v>
      </c>
      <c r="H72" s="3653"/>
      <c r="I72" s="3654"/>
      <c r="J72" s="3654"/>
      <c r="K72" s="3654"/>
      <c r="L72" s="3654"/>
      <c r="M72" s="3654"/>
      <c r="N72" s="3655"/>
      <c r="O72" s="2346" t="s">
        <v>1941</v>
      </c>
      <c r="P72" s="2346"/>
      <c r="Q72" s="3653"/>
      <c r="R72" s="3654"/>
      <c r="S72" s="3655"/>
    </row>
    <row r="73" spans="1:19" s="293" customFormat="1" ht="11.25" customHeight="1">
      <c r="D73" s="331"/>
      <c r="E73" s="2343" t="s">
        <v>999</v>
      </c>
      <c r="F73" s="305"/>
      <c r="H73" s="3482"/>
      <c r="I73" s="3656"/>
      <c r="J73" s="3656"/>
      <c r="K73" s="3657"/>
      <c r="L73" s="3656"/>
      <c r="M73" s="3656"/>
      <c r="N73" s="3658"/>
      <c r="O73" s="2346" t="s">
        <v>1704</v>
      </c>
      <c r="Q73" s="3501"/>
      <c r="R73" s="3565"/>
      <c r="S73" s="3566"/>
    </row>
    <row r="74" spans="1:19" s="293" customFormat="1" ht="11.25" customHeight="1">
      <c r="D74" s="331"/>
      <c r="E74" s="2343" t="s">
        <v>600</v>
      </c>
      <c r="H74" s="3482"/>
      <c r="I74" s="3657"/>
      <c r="J74" s="3569"/>
      <c r="K74" s="2360" t="s">
        <v>2624</v>
      </c>
      <c r="L74" s="3482"/>
      <c r="M74" s="3656"/>
      <c r="N74" s="3569"/>
      <c r="O74" s="2346" t="s">
        <v>1679</v>
      </c>
      <c r="Q74" s="3620"/>
      <c r="R74" s="3621"/>
      <c r="S74" s="3622"/>
    </row>
    <row r="75" spans="1:19" s="293" customFormat="1" ht="11.25" customHeight="1">
      <c r="E75" s="2343" t="s">
        <v>1754</v>
      </c>
      <c r="H75" s="3567"/>
      <c r="K75" s="1007" t="s">
        <v>2172</v>
      </c>
      <c r="L75" s="3489"/>
      <c r="M75" s="3669"/>
      <c r="O75" s="2346" t="s">
        <v>1931</v>
      </c>
      <c r="Q75" s="3620"/>
      <c r="R75" s="3621"/>
      <c r="S75" s="3622"/>
    </row>
    <row r="76" spans="1:19" s="293" customFormat="1" ht="11.25" customHeight="1">
      <c r="D76" s="331"/>
      <c r="E76" s="2343" t="s">
        <v>3894</v>
      </c>
      <c r="H76" s="3664"/>
      <c r="I76" s="3672"/>
      <c r="J76" s="3673"/>
      <c r="K76" s="2354" t="s">
        <v>1936</v>
      </c>
      <c r="L76" s="3623"/>
      <c r="M76" s="3582"/>
      <c r="N76" s="3470"/>
      <c r="O76" s="3470"/>
      <c r="P76" s="3470"/>
      <c r="Q76" s="3582"/>
      <c r="R76" s="3582"/>
      <c r="S76" s="3583"/>
    </row>
    <row r="77" spans="1:19" ht="6.75" customHeight="1"/>
    <row r="78" spans="1:19" s="2343" customFormat="1" ht="13.35" customHeight="1">
      <c r="A78" s="298" t="s">
        <v>724</v>
      </c>
      <c r="B78" s="298" t="s">
        <v>280</v>
      </c>
      <c r="D78" s="298"/>
      <c r="E78" s="2346"/>
      <c r="F78" s="2345"/>
      <c r="G78" s="2345"/>
      <c r="H78" s="2345"/>
      <c r="I78" s="2345"/>
      <c r="J78" s="2345"/>
      <c r="K78" s="1194" t="s">
        <v>3893</v>
      </c>
      <c r="L78" s="2345"/>
      <c r="M78" s="2345"/>
    </row>
    <row r="79" spans="1:19" s="2343" customFormat="1" ht="3" customHeight="1">
      <c r="A79" s="298"/>
      <c r="B79" s="298"/>
      <c r="D79" s="298"/>
      <c r="E79" s="2346"/>
      <c r="F79" s="2345"/>
      <c r="G79" s="2345"/>
      <c r="H79" s="3675"/>
      <c r="I79" s="3675"/>
      <c r="J79" s="3675"/>
      <c r="K79" s="2348"/>
      <c r="L79" s="3675"/>
      <c r="M79" s="3675"/>
      <c r="N79" s="2348"/>
      <c r="O79" s="3671"/>
      <c r="P79" s="3671"/>
      <c r="Q79" s="2354"/>
      <c r="R79" s="3671"/>
      <c r="S79" s="3671"/>
    </row>
    <row r="80" spans="1:19" s="293" customFormat="1" ht="11.25" customHeight="1">
      <c r="B80" s="295" t="s">
        <v>1935</v>
      </c>
      <c r="C80" s="295" t="s">
        <v>281</v>
      </c>
      <c r="H80" s="3653"/>
      <c r="I80" s="3654"/>
      <c r="J80" s="3654"/>
      <c r="K80" s="3654"/>
      <c r="L80" s="3654"/>
      <c r="M80" s="3654"/>
      <c r="N80" s="3655"/>
      <c r="O80" s="2346" t="s">
        <v>1941</v>
      </c>
      <c r="P80" s="2346"/>
      <c r="Q80" s="3653"/>
      <c r="R80" s="3654"/>
      <c r="S80" s="3655"/>
    </row>
    <row r="81" spans="2:19" s="293" customFormat="1" ht="11.25" customHeight="1">
      <c r="D81" s="331"/>
      <c r="E81" s="2343" t="s">
        <v>999</v>
      </c>
      <c r="F81" s="305"/>
      <c r="H81" s="3482"/>
      <c r="I81" s="3656"/>
      <c r="J81" s="3656"/>
      <c r="K81" s="3657"/>
      <c r="L81" s="3656"/>
      <c r="M81" s="3656"/>
      <c r="N81" s="3658"/>
      <c r="O81" s="2346" t="s">
        <v>1704</v>
      </c>
      <c r="Q81" s="3501"/>
      <c r="R81" s="3565"/>
      <c r="S81" s="3566"/>
    </row>
    <row r="82" spans="2:19" s="293" customFormat="1" ht="11.25" customHeight="1">
      <c r="D82" s="331"/>
      <c r="E82" s="2343" t="s">
        <v>600</v>
      </c>
      <c r="H82" s="3482"/>
      <c r="I82" s="3657"/>
      <c r="J82" s="3569"/>
      <c r="K82" s="2360" t="s">
        <v>2624</v>
      </c>
      <c r="L82" s="3482"/>
      <c r="M82" s="3656"/>
      <c r="N82" s="3569"/>
      <c r="O82" s="2346" t="s">
        <v>1679</v>
      </c>
      <c r="Q82" s="3620"/>
      <c r="R82" s="3621"/>
      <c r="S82" s="3622"/>
    </row>
    <row r="83" spans="2:19" s="293" customFormat="1" ht="11.25" customHeight="1">
      <c r="E83" s="2343" t="s">
        <v>1754</v>
      </c>
      <c r="H83" s="3567"/>
      <c r="K83" s="1007" t="s">
        <v>2172</v>
      </c>
      <c r="L83" s="3489"/>
      <c r="M83" s="3669"/>
      <c r="O83" s="2346" t="s">
        <v>1931</v>
      </c>
      <c r="Q83" s="3620"/>
      <c r="R83" s="3621"/>
      <c r="S83" s="3622"/>
    </row>
    <row r="84" spans="2:19" s="293" customFormat="1" ht="11.25" customHeight="1">
      <c r="D84" s="331"/>
      <c r="E84" s="2343" t="s">
        <v>3894</v>
      </c>
      <c r="H84" s="3664"/>
      <c r="I84" s="3672"/>
      <c r="J84" s="3673"/>
      <c r="K84" s="2354" t="s">
        <v>1936</v>
      </c>
      <c r="L84" s="3623"/>
      <c r="M84" s="3582"/>
      <c r="N84" s="3470"/>
      <c r="O84" s="3470"/>
      <c r="P84" s="3470"/>
      <c r="Q84" s="3582"/>
      <c r="R84" s="3582"/>
      <c r="S84" s="3583"/>
    </row>
    <row r="85" spans="2:19" ht="6.6" customHeight="1">
      <c r="H85" s="3670"/>
      <c r="I85" s="3670"/>
      <c r="J85" s="3670"/>
      <c r="K85" s="2354"/>
      <c r="L85" s="3670"/>
      <c r="M85" s="3670"/>
      <c r="N85" s="2348"/>
      <c r="O85" s="3671"/>
      <c r="P85" s="3671"/>
      <c r="Q85" s="2354"/>
      <c r="R85" s="3671"/>
      <c r="S85" s="3671"/>
    </row>
    <row r="86" spans="2:19" s="293" customFormat="1" ht="11.25" customHeight="1">
      <c r="B86" s="295" t="s">
        <v>1937</v>
      </c>
      <c r="C86" s="295" t="s">
        <v>282</v>
      </c>
      <c r="H86" s="3653" t="s">
        <v>7097</v>
      </c>
      <c r="I86" s="3654"/>
      <c r="J86" s="3654"/>
      <c r="K86" s="3654"/>
      <c r="L86" s="3654"/>
      <c r="M86" s="3654"/>
      <c r="N86" s="3655"/>
      <c r="O86" s="2346" t="s">
        <v>1941</v>
      </c>
      <c r="P86" s="2346"/>
      <c r="Q86" s="3653" t="s">
        <v>7022</v>
      </c>
      <c r="R86" s="3654"/>
      <c r="S86" s="3655"/>
    </row>
    <row r="87" spans="2:19" s="293" customFormat="1" ht="11.25" customHeight="1">
      <c r="D87" s="331"/>
      <c r="E87" s="2343" t="s">
        <v>999</v>
      </c>
      <c r="F87" s="305"/>
      <c r="H87" s="3482" t="s">
        <v>7087</v>
      </c>
      <c r="I87" s="3656"/>
      <c r="J87" s="3656"/>
      <c r="K87" s="3657"/>
      <c r="L87" s="3656"/>
      <c r="M87" s="3656"/>
      <c r="N87" s="3658"/>
      <c r="O87" s="2346" t="s">
        <v>1704</v>
      </c>
      <c r="Q87" s="3472" t="s">
        <v>7028</v>
      </c>
      <c r="R87" s="3676"/>
      <c r="S87" s="3661"/>
    </row>
    <row r="88" spans="2:19" s="293" customFormat="1" ht="11.25" customHeight="1">
      <c r="D88" s="331"/>
      <c r="E88" s="2343" t="s">
        <v>600</v>
      </c>
      <c r="H88" s="3482" t="s">
        <v>437</v>
      </c>
      <c r="I88" s="3657"/>
      <c r="J88" s="3569"/>
      <c r="K88" s="2360" t="s">
        <v>2624</v>
      </c>
      <c r="L88" s="3482" t="s">
        <v>7088</v>
      </c>
      <c r="M88" s="3656"/>
      <c r="N88" s="3569"/>
      <c r="O88" s="2346" t="s">
        <v>1679</v>
      </c>
      <c r="Q88" s="3677">
        <v>6786240202</v>
      </c>
      <c r="R88" s="3678"/>
      <c r="S88" s="3665"/>
    </row>
    <row r="89" spans="2:19" s="293" customFormat="1" ht="11.25" customHeight="1">
      <c r="E89" s="2343" t="s">
        <v>1754</v>
      </c>
      <c r="H89" s="3567" t="s">
        <v>828</v>
      </c>
      <c r="K89" s="1007" t="s">
        <v>2172</v>
      </c>
      <c r="L89" s="3489">
        <v>300040000</v>
      </c>
      <c r="M89" s="3669"/>
      <c r="O89" s="2346" t="s">
        <v>1931</v>
      </c>
      <c r="Q89" s="3677">
        <v>6784584209</v>
      </c>
      <c r="R89" s="3678"/>
      <c r="S89" s="3665"/>
    </row>
    <row r="90" spans="2:19" s="293" customFormat="1" ht="11.25" customHeight="1">
      <c r="D90" s="331"/>
      <c r="E90" s="2343" t="s">
        <v>3894</v>
      </c>
      <c r="H90" s="3664">
        <v>6786240202</v>
      </c>
      <c r="I90" s="3672"/>
      <c r="J90" s="3673"/>
      <c r="K90" s="2354" t="s">
        <v>1936</v>
      </c>
      <c r="L90" s="3469" t="s">
        <v>7029</v>
      </c>
      <c r="M90" s="3470"/>
      <c r="N90" s="3470"/>
      <c r="O90" s="3470"/>
      <c r="P90" s="3470"/>
      <c r="Q90" s="3470"/>
      <c r="R90" s="3470"/>
      <c r="S90" s="3471"/>
    </row>
    <row r="91" spans="2:19" ht="6.6" customHeight="1">
      <c r="H91" s="3670"/>
      <c r="I91" s="3670"/>
      <c r="J91" s="3670"/>
      <c r="K91" s="2354"/>
      <c r="L91" s="3670"/>
      <c r="M91" s="3670"/>
      <c r="N91" s="2348"/>
      <c r="O91" s="3671"/>
      <c r="P91" s="3671"/>
      <c r="Q91" s="2354"/>
      <c r="R91" s="3671"/>
      <c r="S91" s="3671"/>
    </row>
    <row r="92" spans="2:19" s="293" customFormat="1" ht="11.25" customHeight="1">
      <c r="B92" s="295" t="s">
        <v>731</v>
      </c>
      <c r="C92" s="295" t="s">
        <v>283</v>
      </c>
      <c r="F92" s="311"/>
      <c r="H92" s="3653" t="s">
        <v>7090</v>
      </c>
      <c r="I92" s="3654"/>
      <c r="J92" s="3654"/>
      <c r="K92" s="3654"/>
      <c r="L92" s="3654"/>
      <c r="M92" s="3654"/>
      <c r="N92" s="3655"/>
      <c r="O92" s="2346" t="s">
        <v>1941</v>
      </c>
      <c r="P92" s="2346"/>
      <c r="Q92" s="3653" t="s">
        <v>7082</v>
      </c>
      <c r="R92" s="3654"/>
      <c r="S92" s="3655"/>
    </row>
    <row r="93" spans="2:19" s="293" customFormat="1" ht="11.25" customHeight="1">
      <c r="D93" s="331"/>
      <c r="E93" s="2343" t="s">
        <v>999</v>
      </c>
      <c r="F93" s="305"/>
      <c r="H93" s="3482" t="s">
        <v>7089</v>
      </c>
      <c r="I93" s="3656"/>
      <c r="J93" s="3656"/>
      <c r="K93" s="3657"/>
      <c r="L93" s="3656"/>
      <c r="M93" s="3656"/>
      <c r="N93" s="3658"/>
      <c r="O93" s="2346" t="s">
        <v>1704</v>
      </c>
      <c r="Q93" s="3501" t="s">
        <v>7083</v>
      </c>
      <c r="R93" s="3565"/>
      <c r="S93" s="3566"/>
    </row>
    <row r="94" spans="2:19" s="293" customFormat="1" ht="11.25" customHeight="1">
      <c r="D94" s="331"/>
      <c r="E94" s="2343" t="s">
        <v>600</v>
      </c>
      <c r="H94" s="3482" t="s">
        <v>1179</v>
      </c>
      <c r="I94" s="3657"/>
      <c r="J94" s="3569"/>
      <c r="K94" s="2360" t="s">
        <v>2624</v>
      </c>
      <c r="L94" s="3482" t="s">
        <v>7092</v>
      </c>
      <c r="M94" s="3656"/>
      <c r="N94" s="3569"/>
      <c r="O94" s="2346" t="s">
        <v>1679</v>
      </c>
      <c r="Q94" s="3620"/>
      <c r="R94" s="3621"/>
      <c r="S94" s="3622"/>
    </row>
    <row r="95" spans="2:19" s="293" customFormat="1" ht="11.25" customHeight="1">
      <c r="D95" s="331"/>
      <c r="E95" s="2343" t="s">
        <v>1754</v>
      </c>
      <c r="H95" s="3567" t="s">
        <v>828</v>
      </c>
      <c r="K95" s="1007" t="s">
        <v>2172</v>
      </c>
      <c r="L95" s="3489">
        <v>303280000</v>
      </c>
      <c r="M95" s="3669"/>
      <c r="O95" s="2346" t="s">
        <v>1931</v>
      </c>
      <c r="Q95" s="3620"/>
      <c r="R95" s="3621"/>
      <c r="S95" s="3622"/>
    </row>
    <row r="96" spans="2:19" s="293" customFormat="1" ht="11.25" customHeight="1">
      <c r="D96" s="331"/>
      <c r="E96" s="2343" t="s">
        <v>3894</v>
      </c>
      <c r="H96" s="3664">
        <v>4048910179</v>
      </c>
      <c r="I96" s="3672"/>
      <c r="J96" s="3673"/>
      <c r="K96" s="2354" t="s">
        <v>1936</v>
      </c>
      <c r="L96" s="3623" t="s">
        <v>7091</v>
      </c>
      <c r="M96" s="3582"/>
      <c r="N96" s="3470"/>
      <c r="O96" s="3470"/>
      <c r="P96" s="3470"/>
      <c r="Q96" s="3582"/>
      <c r="R96" s="3582"/>
      <c r="S96" s="3583"/>
    </row>
    <row r="97" spans="2:19" ht="6.6" customHeight="1">
      <c r="H97" s="3670"/>
      <c r="I97" s="3670"/>
      <c r="J97" s="3670"/>
      <c r="K97" s="2354"/>
      <c r="L97" s="3670"/>
      <c r="M97" s="3670"/>
      <c r="N97" s="2348"/>
      <c r="O97" s="3671"/>
      <c r="P97" s="3671"/>
      <c r="Q97" s="2354"/>
      <c r="R97" s="3671"/>
      <c r="S97" s="3671"/>
    </row>
    <row r="98" spans="2:19" s="293" customFormat="1" ht="11.25" customHeight="1">
      <c r="B98" s="295" t="s">
        <v>2064</v>
      </c>
      <c r="C98" s="295" t="s">
        <v>284</v>
      </c>
      <c r="H98" s="3653" t="s">
        <v>7071</v>
      </c>
      <c r="I98" s="3654"/>
      <c r="J98" s="3654"/>
      <c r="K98" s="3654"/>
      <c r="L98" s="3654"/>
      <c r="M98" s="3654"/>
      <c r="N98" s="3655"/>
      <c r="O98" s="2346" t="s">
        <v>1941</v>
      </c>
      <c r="P98" s="2346"/>
      <c r="Q98" s="3653" t="s">
        <v>7023</v>
      </c>
      <c r="R98" s="3654"/>
      <c r="S98" s="3655"/>
    </row>
    <row r="99" spans="2:19" s="293" customFormat="1" ht="11.25" customHeight="1">
      <c r="D99" s="331"/>
      <c r="E99" s="2343" t="s">
        <v>999</v>
      </c>
      <c r="F99" s="305"/>
      <c r="H99" s="3482" t="s">
        <v>7086</v>
      </c>
      <c r="I99" s="3656"/>
      <c r="J99" s="3656"/>
      <c r="K99" s="3657"/>
      <c r="L99" s="3656"/>
      <c r="M99" s="3656"/>
      <c r="N99" s="3658"/>
      <c r="O99" s="2346" t="s">
        <v>1704</v>
      </c>
      <c r="Q99" s="3501" t="s">
        <v>7080</v>
      </c>
      <c r="R99" s="3565"/>
      <c r="S99" s="3566"/>
    </row>
    <row r="100" spans="2:19" s="293" customFormat="1" ht="11.25" customHeight="1">
      <c r="D100" s="331"/>
      <c r="E100" s="2343" t="s">
        <v>600</v>
      </c>
      <c r="H100" s="3482" t="s">
        <v>7084</v>
      </c>
      <c r="I100" s="3657"/>
      <c r="J100" s="3569"/>
      <c r="K100" s="2360" t="s">
        <v>2624</v>
      </c>
      <c r="L100" s="3482" t="s">
        <v>7085</v>
      </c>
      <c r="M100" s="3656"/>
      <c r="N100" s="3569"/>
      <c r="O100" s="2346" t="s">
        <v>1679</v>
      </c>
      <c r="Q100" s="3620"/>
      <c r="R100" s="3621"/>
      <c r="S100" s="3622"/>
    </row>
    <row r="101" spans="2:19" s="293" customFormat="1" ht="11.25" customHeight="1">
      <c r="D101" s="331"/>
      <c r="E101" s="2343" t="s">
        <v>1754</v>
      </c>
      <c r="H101" s="3567" t="s">
        <v>827</v>
      </c>
      <c r="K101" s="1007" t="s">
        <v>2172</v>
      </c>
      <c r="L101" s="3489">
        <v>328010000</v>
      </c>
      <c r="M101" s="3669"/>
      <c r="O101" s="2346" t="s">
        <v>1931</v>
      </c>
      <c r="Q101" s="3620">
        <v>4077191192</v>
      </c>
      <c r="R101" s="3621"/>
      <c r="S101" s="3622"/>
    </row>
    <row r="102" spans="2:19" ht="11.25" customHeight="1">
      <c r="E102" s="2343" t="s">
        <v>3894</v>
      </c>
      <c r="F102" s="293"/>
      <c r="G102" s="293"/>
      <c r="H102" s="3664">
        <v>4078394276</v>
      </c>
      <c r="I102" s="3672"/>
      <c r="J102" s="3673"/>
      <c r="K102" s="2354" t="s">
        <v>1936</v>
      </c>
      <c r="L102" s="3623" t="s">
        <v>7081</v>
      </c>
      <c r="M102" s="3582"/>
      <c r="N102" s="3470"/>
      <c r="O102" s="3470"/>
      <c r="P102" s="3470"/>
      <c r="Q102" s="3582"/>
      <c r="R102" s="3582"/>
      <c r="S102" s="3583"/>
    </row>
    <row r="103" spans="2:19" ht="6" customHeight="1">
      <c r="E103" s="2343"/>
      <c r="F103" s="293"/>
      <c r="G103" s="2351"/>
      <c r="H103" s="3670"/>
      <c r="I103" s="3670"/>
      <c r="J103" s="3670"/>
      <c r="K103" s="2354"/>
      <c r="L103" s="3670"/>
      <c r="M103" s="3670"/>
      <c r="N103" s="2348"/>
      <c r="O103" s="3671"/>
      <c r="P103" s="3671"/>
      <c r="Q103" s="2354"/>
      <c r="R103" s="3671"/>
      <c r="S103" s="3671"/>
    </row>
    <row r="104" spans="2:19" s="293" customFormat="1" ht="11.25" customHeight="1">
      <c r="B104" s="295" t="s">
        <v>1692</v>
      </c>
      <c r="C104" s="295" t="s">
        <v>285</v>
      </c>
      <c r="H104" s="3653" t="s">
        <v>7100</v>
      </c>
      <c r="I104" s="3654"/>
      <c r="J104" s="3654"/>
      <c r="K104" s="3654"/>
      <c r="L104" s="3654"/>
      <c r="M104" s="3654"/>
      <c r="N104" s="3655"/>
      <c r="O104" s="2346" t="s">
        <v>1941</v>
      </c>
      <c r="P104" s="2346"/>
      <c r="Q104" s="3653" t="s">
        <v>7098</v>
      </c>
      <c r="R104" s="3654"/>
      <c r="S104" s="3655"/>
    </row>
    <row r="105" spans="2:19" s="293" customFormat="1" ht="11.25" customHeight="1">
      <c r="D105" s="331"/>
      <c r="E105" s="2343" t="s">
        <v>999</v>
      </c>
      <c r="F105" s="305"/>
      <c r="H105" s="3482" t="s">
        <v>7102</v>
      </c>
      <c r="I105" s="3656"/>
      <c r="J105" s="3656"/>
      <c r="K105" s="3657"/>
      <c r="L105" s="3656"/>
      <c r="M105" s="3656"/>
      <c r="N105" s="3658"/>
      <c r="O105" s="2346" t="s">
        <v>1704</v>
      </c>
      <c r="Q105" s="3501" t="s">
        <v>1803</v>
      </c>
      <c r="R105" s="3565"/>
      <c r="S105" s="3566"/>
    </row>
    <row r="106" spans="2:19" s="293" customFormat="1" ht="11.25" customHeight="1">
      <c r="D106" s="331"/>
      <c r="E106" s="2343" t="s">
        <v>600</v>
      </c>
      <c r="H106" s="3482" t="s">
        <v>7101</v>
      </c>
      <c r="I106" s="3657"/>
      <c r="J106" s="3569"/>
      <c r="K106" s="2360" t="s">
        <v>2624</v>
      </c>
      <c r="L106" s="3482" t="s">
        <v>7103</v>
      </c>
      <c r="M106" s="3656"/>
      <c r="N106" s="3569"/>
      <c r="O106" s="2346" t="s">
        <v>1679</v>
      </c>
      <c r="Q106" s="3620"/>
      <c r="R106" s="3621"/>
      <c r="S106" s="3622"/>
    </row>
    <row r="107" spans="2:19" s="293" customFormat="1" ht="11.25" customHeight="1">
      <c r="D107" s="331"/>
      <c r="E107" s="2343" t="s">
        <v>1754</v>
      </c>
      <c r="H107" s="3567" t="s">
        <v>831</v>
      </c>
      <c r="K107" s="1007" t="s">
        <v>2172</v>
      </c>
      <c r="L107" s="3489">
        <v>600080000</v>
      </c>
      <c r="M107" s="3669"/>
      <c r="O107" s="2346" t="s">
        <v>1931</v>
      </c>
      <c r="Q107" s="3620">
        <v>3125028711</v>
      </c>
      <c r="R107" s="3621"/>
      <c r="S107" s="3622"/>
    </row>
    <row r="108" spans="2:19" ht="11.25" customHeight="1">
      <c r="E108" s="2343" t="s">
        <v>3894</v>
      </c>
      <c r="F108" s="293"/>
      <c r="G108" s="293"/>
      <c r="H108" s="3664">
        <v>3125028711</v>
      </c>
      <c r="I108" s="3672"/>
      <c r="J108" s="3673"/>
      <c r="K108" s="2354" t="s">
        <v>1936</v>
      </c>
      <c r="L108" s="3623" t="s">
        <v>7099</v>
      </c>
      <c r="M108" s="3582"/>
      <c r="N108" s="3470"/>
      <c r="O108" s="3470"/>
      <c r="P108" s="3470"/>
      <c r="Q108" s="3582"/>
      <c r="R108" s="3582"/>
      <c r="S108" s="3583"/>
    </row>
    <row r="109" spans="2:19" ht="6.6" customHeight="1">
      <c r="E109" s="2343"/>
      <c r="F109" s="293"/>
      <c r="G109" s="2351"/>
      <c r="H109" s="3670"/>
      <c r="I109" s="3670"/>
      <c r="J109" s="3670"/>
      <c r="K109" s="2354"/>
      <c r="L109" s="3670"/>
      <c r="M109" s="3670"/>
      <c r="N109" s="2348"/>
      <c r="O109" s="3671"/>
      <c r="P109" s="3671"/>
      <c r="Q109" s="2354"/>
      <c r="R109" s="3671"/>
      <c r="S109" s="3671"/>
    </row>
    <row r="110" spans="2:19" s="293" customFormat="1" ht="11.25" customHeight="1">
      <c r="B110" s="295" t="s">
        <v>1693</v>
      </c>
      <c r="C110" s="295" t="s">
        <v>286</v>
      </c>
      <c r="H110" s="3653" t="s">
        <v>7093</v>
      </c>
      <c r="I110" s="3654"/>
      <c r="J110" s="3654"/>
      <c r="K110" s="3654"/>
      <c r="L110" s="3654"/>
      <c r="M110" s="3654"/>
      <c r="N110" s="3655"/>
      <c r="O110" s="2346" t="s">
        <v>1941</v>
      </c>
      <c r="P110" s="2346"/>
      <c r="Q110" s="3653" t="s">
        <v>7024</v>
      </c>
      <c r="R110" s="3654"/>
      <c r="S110" s="3655"/>
    </row>
    <row r="111" spans="2:19" s="293" customFormat="1" ht="11.25" customHeight="1">
      <c r="D111" s="331"/>
      <c r="E111" s="2343" t="s">
        <v>999</v>
      </c>
      <c r="F111" s="305"/>
      <c r="H111" s="3482" t="s">
        <v>7094</v>
      </c>
      <c r="I111" s="3656"/>
      <c r="J111" s="3656"/>
      <c r="K111" s="3657"/>
      <c r="L111" s="3656"/>
      <c r="M111" s="3656"/>
      <c r="N111" s="3658"/>
      <c r="O111" s="2346" t="s">
        <v>1704</v>
      </c>
      <c r="Q111" s="3501" t="s">
        <v>1803</v>
      </c>
      <c r="R111" s="3565"/>
      <c r="S111" s="3566"/>
    </row>
    <row r="112" spans="2:19" s="293" customFormat="1" ht="11.25" customHeight="1">
      <c r="D112" s="331"/>
      <c r="E112" s="2343" t="s">
        <v>600</v>
      </c>
      <c r="H112" s="3482" t="s">
        <v>1293</v>
      </c>
      <c r="I112" s="3657"/>
      <c r="J112" s="3569"/>
      <c r="K112" s="2360" t="s">
        <v>2624</v>
      </c>
      <c r="L112" s="3482" t="s">
        <v>7095</v>
      </c>
      <c r="M112" s="3656"/>
      <c r="N112" s="3569"/>
      <c r="O112" s="2346" t="s">
        <v>1679</v>
      </c>
      <c r="Q112" s="3620"/>
      <c r="R112" s="3621"/>
      <c r="S112" s="3622"/>
    </row>
    <row r="113" spans="1:22" s="293" customFormat="1" ht="11.25" customHeight="1">
      <c r="D113" s="335"/>
      <c r="E113" s="2343" t="s">
        <v>1754</v>
      </c>
      <c r="H113" s="3567" t="s">
        <v>828</v>
      </c>
      <c r="K113" s="1007" t="s">
        <v>2172</v>
      </c>
      <c r="L113" s="3489">
        <v>312017398</v>
      </c>
      <c r="M113" s="3669"/>
      <c r="O113" s="2346" t="s">
        <v>1931</v>
      </c>
      <c r="Q113" s="3620"/>
      <c r="R113" s="3621"/>
      <c r="S113" s="3622"/>
    </row>
    <row r="114" spans="1:22" s="293" customFormat="1" ht="11.25" customHeight="1">
      <c r="D114" s="335"/>
      <c r="E114" s="2343" t="s">
        <v>3894</v>
      </c>
      <c r="H114" s="3664">
        <v>4784721208</v>
      </c>
      <c r="I114" s="3672"/>
      <c r="J114" s="3673"/>
      <c r="K114" s="2354" t="s">
        <v>1936</v>
      </c>
      <c r="L114" s="3623" t="s">
        <v>7096</v>
      </c>
      <c r="M114" s="3582"/>
      <c r="N114" s="3470"/>
      <c r="O114" s="3470"/>
      <c r="P114" s="3470"/>
      <c r="Q114" s="3582"/>
      <c r="R114" s="3582"/>
      <c r="S114" s="3583"/>
    </row>
    <row r="115" spans="1:22" ht="3" customHeight="1"/>
    <row r="116" spans="1:22" s="293" customFormat="1" ht="12" customHeight="1">
      <c r="A116" s="295" t="s">
        <v>1748</v>
      </c>
      <c r="B116" s="295" t="s">
        <v>2535</v>
      </c>
      <c r="F116" s="295"/>
      <c r="G116" s="2354"/>
      <c r="H116" s="2354"/>
      <c r="I116" s="2354"/>
      <c r="J116" s="2354"/>
      <c r="K116" s="2354"/>
      <c r="L116" s="2354"/>
      <c r="M116" s="2354"/>
      <c r="N116" s="2354"/>
      <c r="O116" s="2354"/>
      <c r="P116" s="2354"/>
      <c r="Q116" s="2360"/>
    </row>
    <row r="117" spans="1:22" s="293" customFormat="1" ht="11.25" customHeight="1">
      <c r="B117" s="295" t="s">
        <v>1935</v>
      </c>
      <c r="C117" s="295" t="s">
        <v>3439</v>
      </c>
      <c r="H117" s="3653" t="s">
        <v>7025</v>
      </c>
      <c r="I117" s="3679"/>
      <c r="J117" s="3680"/>
      <c r="K117" s="2354" t="s">
        <v>2409</v>
      </c>
      <c r="L117" s="3653" t="s">
        <v>7026</v>
      </c>
      <c r="M117" s="3654"/>
      <c r="N117" s="3655"/>
      <c r="O117" s="2343" t="s">
        <v>3440</v>
      </c>
      <c r="Q117" s="3681">
        <v>4784473801</v>
      </c>
      <c r="R117" s="3682"/>
      <c r="S117" s="3683"/>
    </row>
    <row r="118" spans="1:22" s="293" customFormat="1" ht="11.25" customHeight="1">
      <c r="D118" s="331"/>
      <c r="E118" s="2343" t="s">
        <v>999</v>
      </c>
      <c r="F118" s="305"/>
      <c r="H118" s="3572" t="s">
        <v>6988</v>
      </c>
      <c r="I118" s="3684"/>
      <c r="J118" s="3685"/>
      <c r="K118" s="3573"/>
      <c r="L118" s="3684"/>
      <c r="M118" s="3684"/>
      <c r="N118" s="3686"/>
      <c r="O118" s="2343" t="s">
        <v>600</v>
      </c>
      <c r="Q118" s="3687" t="s">
        <v>1880</v>
      </c>
      <c r="R118" s="3576"/>
      <c r="S118" s="3577"/>
    </row>
    <row r="119" spans="1:22" s="293" customFormat="1" ht="11.25" customHeight="1">
      <c r="D119" s="331"/>
      <c r="E119" s="2343" t="s">
        <v>1754</v>
      </c>
      <c r="H119" s="3688" t="s">
        <v>828</v>
      </c>
      <c r="I119" s="1007" t="s">
        <v>2172</v>
      </c>
      <c r="J119" s="3568">
        <v>310210000</v>
      </c>
      <c r="K119" s="3569"/>
      <c r="L119" s="2354" t="s">
        <v>1936</v>
      </c>
      <c r="M119" s="3469" t="s">
        <v>7027</v>
      </c>
      <c r="N119" s="3470"/>
      <c r="O119" s="3470"/>
      <c r="P119" s="3470"/>
      <c r="Q119" s="3582"/>
      <c r="R119" s="3582"/>
      <c r="S119" s="3583"/>
    </row>
    <row r="120" spans="1:22" ht="12" customHeight="1">
      <c r="B120" s="295" t="s">
        <v>1937</v>
      </c>
      <c r="C120" s="295" t="s">
        <v>4433</v>
      </c>
      <c r="H120" s="1479"/>
      <c r="I120" s="1479"/>
      <c r="J120" s="1479"/>
      <c r="K120" s="1479"/>
      <c r="L120" s="1479"/>
      <c r="M120" s="1479"/>
      <c r="N120" s="1479"/>
      <c r="O120" s="1479"/>
      <c r="P120" s="1479"/>
      <c r="Q120" s="1479"/>
      <c r="R120" s="1479"/>
      <c r="S120" s="1479"/>
    </row>
    <row r="121" spans="1:22" ht="11.25" customHeight="1" thickBot="1">
      <c r="A121" s="2440" t="s">
        <v>3657</v>
      </c>
      <c r="B121" s="2440"/>
      <c r="C121" s="2440"/>
      <c r="D121" s="2440"/>
      <c r="E121" s="2441"/>
      <c r="F121" s="3689" t="s">
        <v>2443</v>
      </c>
      <c r="G121" s="3690" t="s">
        <v>3357</v>
      </c>
      <c r="H121" s="3691"/>
      <c r="I121" s="3691"/>
      <c r="J121" s="3691"/>
      <c r="K121" s="3691"/>
      <c r="L121" s="3691"/>
      <c r="M121" s="3691"/>
      <c r="N121" s="3691"/>
      <c r="O121" s="3691"/>
      <c r="P121" s="3691"/>
      <c r="Q121" s="3691"/>
      <c r="R121" s="3691"/>
      <c r="S121" s="3692"/>
    </row>
    <row r="122" spans="1:22" s="293" customFormat="1" ht="25.5" customHeight="1" thickBot="1">
      <c r="B122" s="487"/>
      <c r="C122" s="1042" t="s">
        <v>1938</v>
      </c>
      <c r="D122" s="2442" t="s">
        <v>2737</v>
      </c>
      <c r="E122" s="2442"/>
      <c r="F122" s="3693" t="s">
        <v>2888</v>
      </c>
      <c r="G122" s="2872"/>
      <c r="H122" s="3694"/>
      <c r="I122" s="3694"/>
      <c r="J122" s="3694"/>
      <c r="K122" s="3694"/>
      <c r="L122" s="3694"/>
      <c r="M122" s="3694"/>
      <c r="N122" s="3694"/>
      <c r="O122" s="3694"/>
      <c r="P122" s="3694"/>
      <c r="Q122" s="3694"/>
      <c r="R122" s="3694"/>
      <c r="S122" s="3695"/>
      <c r="U122" s="2433" t="s">
        <v>1983</v>
      </c>
      <c r="V122" s="2433"/>
    </row>
    <row r="123" spans="1:22" s="293" customFormat="1" ht="25.5" customHeight="1" thickBot="1">
      <c r="B123" s="487"/>
      <c r="C123" s="580" t="s">
        <v>1940</v>
      </c>
      <c r="D123" s="2420" t="s">
        <v>2798</v>
      </c>
      <c r="E123" s="2423"/>
      <c r="F123" s="3693" t="s">
        <v>2888</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2467</v>
      </c>
      <c r="D124" s="2420" t="s">
        <v>2777</v>
      </c>
      <c r="E124" s="2423"/>
      <c r="F124" s="3693" t="s">
        <v>2888</v>
      </c>
      <c r="G124" s="2738"/>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2738</v>
      </c>
      <c r="E125" s="2423"/>
      <c r="F125" s="3693" t="s">
        <v>2888</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3348</v>
      </c>
      <c r="E126" s="2423"/>
      <c r="F126" s="3693" t="s">
        <v>2888</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1833</v>
      </c>
      <c r="D127" s="2420" t="s">
        <v>3349</v>
      </c>
      <c r="E127" s="2423"/>
      <c r="F127" s="3693" t="s">
        <v>2888</v>
      </c>
      <c r="G127" s="2738"/>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2739</v>
      </c>
      <c r="E128" s="2423"/>
      <c r="F128" s="3693" t="s">
        <v>2888</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4446</v>
      </c>
      <c r="E129" s="2423"/>
      <c r="F129" s="3693" t="s">
        <v>2888</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4445</v>
      </c>
      <c r="D130" s="3696" t="s">
        <v>3656</v>
      </c>
      <c r="E130" s="3697"/>
      <c r="F130" s="3693" t="s">
        <v>2888</v>
      </c>
      <c r="G130" s="2735"/>
      <c r="H130" s="2735"/>
      <c r="I130" s="2735"/>
      <c r="J130" s="2735"/>
      <c r="K130" s="2735"/>
      <c r="L130" s="2735"/>
      <c r="M130" s="2735"/>
      <c r="N130" s="2735"/>
      <c r="O130" s="2735"/>
      <c r="P130" s="2735"/>
      <c r="Q130" s="2735"/>
      <c r="R130" s="2735"/>
      <c r="S130" s="2736"/>
    </row>
    <row r="131" spans="1:22" s="293" customFormat="1" ht="13.35" customHeight="1">
      <c r="A131" s="295" t="s">
        <v>1748</v>
      </c>
      <c r="B131" s="295" t="s">
        <v>2746</v>
      </c>
      <c r="F131" s="295"/>
      <c r="G131" s="2354"/>
      <c r="H131" s="2354"/>
      <c r="I131" s="2354"/>
      <c r="J131" s="2354"/>
      <c r="K131" s="2354"/>
      <c r="L131" s="2354"/>
      <c r="M131" s="2354"/>
      <c r="N131" s="2354"/>
      <c r="O131" s="2354"/>
      <c r="P131" s="2354"/>
      <c r="Q131" s="2360"/>
    </row>
    <row r="132" spans="1:22" s="293" customFormat="1" ht="2.25" customHeight="1">
      <c r="A132" s="295"/>
      <c r="B132" s="295"/>
      <c r="F132" s="295"/>
      <c r="G132" s="2354"/>
      <c r="H132" s="2354"/>
      <c r="I132" s="2354"/>
      <c r="J132" s="2354"/>
      <c r="K132" s="2354"/>
      <c r="L132" s="2354"/>
      <c r="M132" s="2354"/>
      <c r="N132" s="2354"/>
      <c r="O132" s="2354"/>
      <c r="P132" s="2354"/>
      <c r="Q132" s="2360"/>
    </row>
    <row r="133" spans="1:22" ht="13.35" customHeight="1">
      <c r="B133" s="295" t="s">
        <v>731</v>
      </c>
      <c r="C133" s="295" t="s">
        <v>4434</v>
      </c>
    </row>
    <row r="134" spans="1:22" s="293" customFormat="1" ht="13.5" customHeight="1">
      <c r="A134" s="2449" t="s">
        <v>622</v>
      </c>
      <c r="B134" s="2442"/>
      <c r="C134" s="2442"/>
      <c r="D134" s="2442"/>
      <c r="E134" s="2453" t="s">
        <v>3333</v>
      </c>
      <c r="F134" s="2454"/>
      <c r="G134" s="2454"/>
      <c r="H134" s="2454"/>
      <c r="I134" s="2455"/>
      <c r="J134" s="2459" t="s">
        <v>3334</v>
      </c>
      <c r="K134" s="2462" t="s">
        <v>2804</v>
      </c>
      <c r="L134" s="2462" t="s">
        <v>2805</v>
      </c>
      <c r="M134" s="2465" t="s">
        <v>3342</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3537</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2803</v>
      </c>
      <c r="O138" s="2408"/>
      <c r="P138" s="2408"/>
      <c r="Q138" s="2408"/>
      <c r="R138" s="2408"/>
      <c r="S138" s="2477"/>
    </row>
    <row r="139" spans="1:22" s="293" customFormat="1" ht="24" customHeight="1">
      <c r="A139" s="2443" t="s">
        <v>3328</v>
      </c>
      <c r="B139" s="2444"/>
      <c r="C139" s="2444"/>
      <c r="D139" s="2445"/>
      <c r="E139" s="3698"/>
      <c r="F139" s="3694"/>
      <c r="G139" s="3694"/>
      <c r="H139" s="3694"/>
      <c r="I139" s="3699" t="s">
        <v>2888</v>
      </c>
      <c r="J139" s="3700" t="s">
        <v>2888</v>
      </c>
      <c r="K139" s="3701" t="s">
        <v>7015</v>
      </c>
      <c r="L139" s="3702">
        <v>5.9999999999999995E-4</v>
      </c>
      <c r="M139" s="3703" t="s">
        <v>2888</v>
      </c>
      <c r="N139" s="3704"/>
      <c r="O139" s="3694"/>
      <c r="P139" s="3694"/>
      <c r="Q139" s="3694"/>
      <c r="R139" s="3694"/>
      <c r="S139" s="3695"/>
    </row>
    <row r="140" spans="1:22" s="293" customFormat="1" ht="24" customHeight="1">
      <c r="A140" s="2446" t="s">
        <v>3329</v>
      </c>
      <c r="B140" s="2447"/>
      <c r="C140" s="2447"/>
      <c r="D140" s="2448"/>
      <c r="E140" s="2737"/>
      <c r="F140" s="2738"/>
      <c r="G140" s="2738"/>
      <c r="H140" s="2738"/>
      <c r="I140" s="3705" t="s">
        <v>2888</v>
      </c>
      <c r="J140" s="3706" t="s">
        <v>2885</v>
      </c>
      <c r="K140" s="3707" t="s">
        <v>7015</v>
      </c>
      <c r="L140" s="3708">
        <v>2.0000000000000001E-4</v>
      </c>
      <c r="M140" s="3709" t="s">
        <v>2888</v>
      </c>
      <c r="N140" s="3710"/>
      <c r="O140" s="2738"/>
      <c r="P140" s="2738"/>
      <c r="Q140" s="2738"/>
      <c r="R140" s="2738"/>
      <c r="S140" s="2739"/>
      <c r="U140" s="2433" t="s">
        <v>1983</v>
      </c>
      <c r="V140" s="2433"/>
    </row>
    <row r="141" spans="1:22" s="293" customFormat="1" ht="24" customHeight="1">
      <c r="A141" s="2446" t="s">
        <v>3330</v>
      </c>
      <c r="B141" s="2447"/>
      <c r="C141" s="2447"/>
      <c r="D141" s="2448"/>
      <c r="E141" s="2737"/>
      <c r="F141" s="2738"/>
      <c r="G141" s="2738"/>
      <c r="H141" s="2738"/>
      <c r="I141" s="3705" t="s">
        <v>2888</v>
      </c>
      <c r="J141" s="3706" t="s">
        <v>2888</v>
      </c>
      <c r="K141" s="3707" t="s">
        <v>2532</v>
      </c>
      <c r="L141" s="3708">
        <v>2.0000000000000001E-4</v>
      </c>
      <c r="M141" s="3709" t="s">
        <v>2888</v>
      </c>
      <c r="N141" s="3710"/>
      <c r="O141" s="2738"/>
      <c r="P141" s="2738"/>
      <c r="Q141" s="2738"/>
      <c r="R141" s="2738"/>
      <c r="S141" s="2739"/>
      <c r="U141" s="2433"/>
      <c r="V141" s="2433"/>
    </row>
    <row r="142" spans="1:22" s="293" customFormat="1" ht="24" customHeight="1">
      <c r="A142" s="2446" t="s">
        <v>3331</v>
      </c>
      <c r="B142" s="2447"/>
      <c r="C142" s="2447"/>
      <c r="D142" s="2448"/>
      <c r="E142" s="2737"/>
      <c r="F142" s="2738"/>
      <c r="G142" s="2738"/>
      <c r="H142" s="2738"/>
      <c r="I142" s="3705" t="s">
        <v>2888</v>
      </c>
      <c r="J142" s="3706" t="s">
        <v>2888</v>
      </c>
      <c r="K142" s="3707" t="s">
        <v>7015</v>
      </c>
      <c r="L142" s="3708">
        <v>0.98899999999999999</v>
      </c>
      <c r="M142" s="3709" t="s">
        <v>2888</v>
      </c>
      <c r="N142" s="3710"/>
      <c r="O142" s="2738"/>
      <c r="P142" s="2738"/>
      <c r="Q142" s="2738"/>
      <c r="R142" s="2738"/>
      <c r="S142" s="2739"/>
      <c r="U142" s="2433"/>
      <c r="V142" s="2433"/>
    </row>
    <row r="143" spans="1:22" s="293" customFormat="1" ht="24" customHeight="1">
      <c r="A143" s="2446" t="s">
        <v>3332</v>
      </c>
      <c r="B143" s="2447"/>
      <c r="C143" s="2447"/>
      <c r="D143" s="2448"/>
      <c r="E143" s="2737"/>
      <c r="F143" s="2738"/>
      <c r="G143" s="2738"/>
      <c r="H143" s="2738"/>
      <c r="I143" s="3705" t="s">
        <v>2888</v>
      </c>
      <c r="J143" s="3706" t="s">
        <v>2888</v>
      </c>
      <c r="K143" s="3707" t="s">
        <v>7015</v>
      </c>
      <c r="L143" s="3708">
        <v>0.01</v>
      </c>
      <c r="M143" s="3709" t="s">
        <v>2888</v>
      </c>
      <c r="N143" s="3710"/>
      <c r="O143" s="2738"/>
      <c r="P143" s="2738"/>
      <c r="Q143" s="2738"/>
      <c r="R143" s="2738"/>
      <c r="S143" s="2739"/>
      <c r="U143" s="2433"/>
      <c r="V143" s="2433"/>
    </row>
    <row r="144" spans="1:22" s="293" customFormat="1" ht="24" customHeight="1">
      <c r="A144" s="2446" t="s">
        <v>2792</v>
      </c>
      <c r="B144" s="2447"/>
      <c r="C144" s="2447"/>
      <c r="D144" s="2448"/>
      <c r="E144" s="2737"/>
      <c r="F144" s="2738"/>
      <c r="G144" s="2738"/>
      <c r="H144" s="2738"/>
      <c r="I144" s="3705" t="s">
        <v>2888</v>
      </c>
      <c r="J144" s="3706" t="s">
        <v>2888</v>
      </c>
      <c r="K144" s="3707"/>
      <c r="L144" s="3708"/>
      <c r="M144" s="3709" t="s">
        <v>2888</v>
      </c>
      <c r="N144" s="3710"/>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5" t="s">
        <v>2888</v>
      </c>
      <c r="J145" s="3706" t="s">
        <v>2888</v>
      </c>
      <c r="K145" s="3707" t="s">
        <v>7015</v>
      </c>
      <c r="L145" s="3708"/>
      <c r="M145" s="3709" t="s">
        <v>2888</v>
      </c>
      <c r="N145" s="3710"/>
      <c r="O145" s="2738"/>
      <c r="P145" s="2738"/>
      <c r="Q145" s="2738"/>
      <c r="R145" s="2738"/>
      <c r="S145" s="2739"/>
      <c r="U145" s="2433"/>
      <c r="V145" s="2433"/>
    </row>
    <row r="146" spans="1:24" s="293" customFormat="1" ht="24" customHeight="1">
      <c r="A146" s="2446" t="s">
        <v>2793</v>
      </c>
      <c r="B146" s="2447"/>
      <c r="C146" s="2447"/>
      <c r="D146" s="2448"/>
      <c r="E146" s="2737"/>
      <c r="F146" s="2738"/>
      <c r="G146" s="2738"/>
      <c r="H146" s="2738"/>
      <c r="I146" s="3705" t="s">
        <v>2888</v>
      </c>
      <c r="J146" s="3706" t="s">
        <v>2885</v>
      </c>
      <c r="K146" s="3707" t="s">
        <v>7015</v>
      </c>
      <c r="L146" s="3708"/>
      <c r="M146" s="3709" t="s">
        <v>2888</v>
      </c>
      <c r="N146" s="3710"/>
      <c r="O146" s="2738"/>
      <c r="P146" s="2738"/>
      <c r="Q146" s="2738"/>
      <c r="R146" s="2738"/>
      <c r="S146" s="2739"/>
    </row>
    <row r="147" spans="1:24" s="293" customFormat="1" ht="24" customHeight="1">
      <c r="A147" s="2446" t="s">
        <v>2794</v>
      </c>
      <c r="B147" s="2447"/>
      <c r="C147" s="2447"/>
      <c r="D147" s="2448"/>
      <c r="E147" s="2737"/>
      <c r="F147" s="2738"/>
      <c r="G147" s="2738"/>
      <c r="H147" s="2738"/>
      <c r="I147" s="3705" t="s">
        <v>2888</v>
      </c>
      <c r="J147" s="3706" t="s">
        <v>2888</v>
      </c>
      <c r="K147" s="3707" t="s">
        <v>2532</v>
      </c>
      <c r="L147" s="3708"/>
      <c r="M147" s="3709" t="s">
        <v>2888</v>
      </c>
      <c r="N147" s="3710"/>
      <c r="O147" s="2738"/>
      <c r="P147" s="2738"/>
      <c r="Q147" s="2738"/>
      <c r="R147" s="2738"/>
      <c r="S147" s="2739"/>
    </row>
    <row r="148" spans="1:24" s="293" customFormat="1" ht="24" customHeight="1">
      <c r="A148" s="2446" t="s">
        <v>2796</v>
      </c>
      <c r="B148" s="2447"/>
      <c r="C148" s="2447"/>
      <c r="D148" s="2448"/>
      <c r="E148" s="2737"/>
      <c r="F148" s="2738"/>
      <c r="G148" s="2738"/>
      <c r="H148" s="2738"/>
      <c r="I148" s="3705" t="s">
        <v>2888</v>
      </c>
      <c r="J148" s="3706" t="s">
        <v>2888</v>
      </c>
      <c r="K148" s="3707"/>
      <c r="L148" s="3708"/>
      <c r="M148" s="3709" t="s">
        <v>2888</v>
      </c>
      <c r="N148" s="3710"/>
      <c r="O148" s="2738"/>
      <c r="P148" s="2738"/>
      <c r="Q148" s="2738"/>
      <c r="R148" s="2738"/>
      <c r="S148" s="2739"/>
    </row>
    <row r="149" spans="1:24" s="293" customFormat="1" ht="24" customHeight="1">
      <c r="A149" s="2446" t="s">
        <v>2795</v>
      </c>
      <c r="B149" s="2447"/>
      <c r="C149" s="2447"/>
      <c r="D149" s="2448"/>
      <c r="E149" s="2737"/>
      <c r="F149" s="2738"/>
      <c r="G149" s="2738"/>
      <c r="H149" s="2738"/>
      <c r="I149" s="3705" t="s">
        <v>2888</v>
      </c>
      <c r="J149" s="3706" t="s">
        <v>2888</v>
      </c>
      <c r="K149" s="3707"/>
      <c r="L149" s="3708"/>
      <c r="M149" s="3709" t="s">
        <v>2888</v>
      </c>
      <c r="N149" s="3710"/>
      <c r="O149" s="2738"/>
      <c r="P149" s="2738"/>
      <c r="Q149" s="2738"/>
      <c r="R149" s="2738"/>
      <c r="S149" s="2739"/>
    </row>
    <row r="150" spans="1:24" s="293" customFormat="1" ht="24" customHeight="1">
      <c r="A150" s="2446" t="s">
        <v>1497</v>
      </c>
      <c r="B150" s="2447"/>
      <c r="C150" s="2447"/>
      <c r="D150" s="2448"/>
      <c r="E150" s="2737"/>
      <c r="F150" s="2738"/>
      <c r="G150" s="2738"/>
      <c r="H150" s="2738"/>
      <c r="I150" s="3705" t="s">
        <v>2888</v>
      </c>
      <c r="J150" s="3706" t="s">
        <v>2888</v>
      </c>
      <c r="K150" s="3707" t="s">
        <v>7015</v>
      </c>
      <c r="L150" s="3708"/>
      <c r="M150" s="3709" t="s">
        <v>2888</v>
      </c>
      <c r="N150" s="3710"/>
      <c r="O150" s="2738"/>
      <c r="P150" s="2738"/>
      <c r="Q150" s="2738"/>
      <c r="R150" s="2738"/>
      <c r="S150" s="2739"/>
    </row>
    <row r="151" spans="1:24" s="293" customFormat="1" ht="24" customHeight="1">
      <c r="A151" s="2478" t="s">
        <v>2797</v>
      </c>
      <c r="B151" s="2479"/>
      <c r="C151" s="2479"/>
      <c r="D151" s="2480"/>
      <c r="E151" s="2734"/>
      <c r="F151" s="2735"/>
      <c r="G151" s="2735"/>
      <c r="H151" s="2735"/>
      <c r="I151" s="3711" t="s">
        <v>2888</v>
      </c>
      <c r="J151" s="3712" t="s">
        <v>2888</v>
      </c>
      <c r="K151" s="3713" t="s">
        <v>7015</v>
      </c>
      <c r="L151" s="3714"/>
      <c r="M151" s="3715" t="s">
        <v>2888</v>
      </c>
      <c r="N151" s="3716"/>
      <c r="O151" s="2735"/>
      <c r="P151" s="2735"/>
      <c r="Q151" s="2735"/>
      <c r="R151" s="2735"/>
      <c r="S151" s="2736"/>
    </row>
    <row r="152" spans="1:24" s="2351" customFormat="1" ht="12" customHeight="1">
      <c r="G152" s="303"/>
      <c r="H152" s="303"/>
      <c r="I152" s="303"/>
      <c r="J152" s="2354"/>
      <c r="K152" s="318" t="s">
        <v>524</v>
      </c>
      <c r="L152" s="523">
        <f>SUM(L139:L151)</f>
        <v>1</v>
      </c>
      <c r="M152" s="2354"/>
      <c r="P152" s="301"/>
    </row>
    <row r="153" spans="1:24" ht="11.25" customHeight="1">
      <c r="A153" s="319" t="s">
        <v>516</v>
      </c>
      <c r="B153" s="330"/>
      <c r="C153" s="319" t="s">
        <v>555</v>
      </c>
      <c r="N153" s="319" t="s">
        <v>516</v>
      </c>
      <c r="O153" s="319" t="s">
        <v>77</v>
      </c>
    </row>
    <row r="154" spans="1:24" ht="60" customHeight="1">
      <c r="A154" s="3717"/>
      <c r="B154" s="3718"/>
      <c r="C154" s="3718"/>
      <c r="D154" s="3718"/>
      <c r="E154" s="3718"/>
      <c r="F154" s="3718"/>
      <c r="G154" s="3718"/>
      <c r="H154" s="3718"/>
      <c r="I154" s="3718"/>
      <c r="J154" s="3718"/>
      <c r="K154" s="3718"/>
      <c r="L154" s="3718"/>
      <c r="M154" s="3719"/>
      <c r="N154" s="3720"/>
      <c r="O154" s="3721"/>
      <c r="P154" s="3721"/>
      <c r="Q154" s="3721"/>
      <c r="R154" s="3721"/>
      <c r="S154" s="3722"/>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4" t="s">
        <v>818</v>
      </c>
    </row>
    <row r="161" spans="1:16" s="293" customFormat="1" ht="12" customHeight="1">
      <c r="A161" s="331"/>
      <c r="B161" s="311"/>
      <c r="C161" s="311"/>
      <c r="D161" s="311"/>
      <c r="E161" s="311"/>
      <c r="F161" s="311"/>
      <c r="G161" s="311"/>
      <c r="H161" s="311"/>
      <c r="I161" s="311"/>
      <c r="J161" s="311"/>
      <c r="K161" s="311"/>
      <c r="L161" s="311"/>
      <c r="M161" s="311"/>
      <c r="N161" s="311"/>
      <c r="O161" s="311"/>
      <c r="P161" s="3724" t="s">
        <v>819</v>
      </c>
    </row>
    <row r="162" spans="1:16" s="293" customFormat="1" ht="12" customHeight="1">
      <c r="A162" s="331"/>
      <c r="B162" s="311"/>
      <c r="C162" s="311"/>
      <c r="D162" s="311"/>
      <c r="E162" s="311"/>
      <c r="F162" s="311"/>
      <c r="G162" s="311"/>
      <c r="H162" s="311"/>
      <c r="I162" s="311"/>
      <c r="J162" s="311"/>
      <c r="K162" s="311"/>
      <c r="L162" s="311"/>
      <c r="M162" s="311"/>
      <c r="N162" s="311"/>
      <c r="O162" s="311"/>
      <c r="P162" s="3724" t="s">
        <v>820</v>
      </c>
    </row>
    <row r="163" spans="1:16" s="293" customFormat="1" ht="12" customHeight="1">
      <c r="A163" s="471"/>
      <c r="B163" s="311"/>
      <c r="C163" s="311"/>
      <c r="D163" s="311"/>
      <c r="E163" s="311"/>
      <c r="F163" s="311"/>
      <c r="G163" s="311"/>
      <c r="H163" s="311"/>
      <c r="I163" s="311"/>
      <c r="J163" s="311"/>
      <c r="K163" s="311"/>
      <c r="L163" s="311"/>
      <c r="M163" s="311"/>
      <c r="N163" s="311"/>
      <c r="O163" s="311"/>
      <c r="P163" s="3724" t="s">
        <v>821</v>
      </c>
    </row>
    <row r="164" spans="1:16" s="293" customFormat="1" ht="12" customHeight="1">
      <c r="B164" s="311"/>
      <c r="C164" s="311"/>
      <c r="D164" s="311"/>
      <c r="E164" s="311"/>
      <c r="F164" s="311"/>
      <c r="G164" s="311"/>
      <c r="H164" s="311"/>
      <c r="I164" s="311"/>
      <c r="J164" s="311"/>
      <c r="K164" s="311"/>
      <c r="L164" s="311"/>
      <c r="M164" s="311"/>
      <c r="N164" s="311"/>
      <c r="O164" s="311"/>
      <c r="P164" s="3724" t="s">
        <v>822</v>
      </c>
    </row>
    <row r="165" spans="1:16" s="293" customFormat="1" ht="12" customHeight="1">
      <c r="B165" s="311"/>
      <c r="C165" s="311"/>
      <c r="D165" s="311"/>
      <c r="E165" s="311"/>
      <c r="F165" s="311"/>
      <c r="G165" s="311"/>
      <c r="H165" s="311"/>
      <c r="I165" s="311"/>
      <c r="J165" s="311"/>
      <c r="K165" s="311"/>
      <c r="L165" s="311"/>
      <c r="M165" s="311"/>
      <c r="N165" s="311"/>
      <c r="O165" s="311"/>
      <c r="P165" s="3724" t="s">
        <v>823</v>
      </c>
    </row>
    <row r="166" spans="1:16" s="293" customFormat="1" ht="12" customHeight="1">
      <c r="B166" s="311"/>
      <c r="C166" s="311"/>
      <c r="D166" s="311"/>
      <c r="E166" s="311"/>
      <c r="F166" s="311"/>
      <c r="G166" s="311"/>
      <c r="H166" s="311"/>
      <c r="I166" s="311"/>
      <c r="J166" s="311"/>
      <c r="K166" s="311"/>
      <c r="L166" s="311"/>
      <c r="M166" s="311"/>
      <c r="N166" s="311"/>
      <c r="O166" s="311"/>
      <c r="P166" s="3724" t="s">
        <v>824</v>
      </c>
    </row>
    <row r="167" spans="1:16" s="293" customFormat="1" ht="12" customHeight="1">
      <c r="B167" s="311"/>
      <c r="C167" s="311"/>
      <c r="D167" s="311"/>
      <c r="E167" s="311"/>
      <c r="F167" s="311"/>
      <c r="G167" s="311"/>
      <c r="H167" s="311"/>
      <c r="I167" s="311"/>
      <c r="J167" s="311"/>
      <c r="K167" s="311"/>
      <c r="L167" s="311"/>
      <c r="M167" s="311"/>
      <c r="N167" s="311"/>
      <c r="O167" s="311"/>
      <c r="P167" s="3724" t="s">
        <v>825</v>
      </c>
    </row>
    <row r="168" spans="1:16" ht="12" customHeight="1">
      <c r="P168" s="3724" t="s">
        <v>826</v>
      </c>
    </row>
    <row r="169" spans="1:16" ht="12" customHeight="1">
      <c r="A169" s="319"/>
      <c r="P169" s="3724" t="s">
        <v>827</v>
      </c>
    </row>
    <row r="170" spans="1:16" ht="12" customHeight="1">
      <c r="P170" s="3724" t="s">
        <v>828</v>
      </c>
    </row>
    <row r="171" spans="1:16" ht="12" customHeight="1">
      <c r="P171" s="3724" t="s">
        <v>829</v>
      </c>
    </row>
    <row r="172" spans="1:16" ht="12" customHeight="1">
      <c r="P172" s="3724" t="s">
        <v>830</v>
      </c>
    </row>
    <row r="173" spans="1:16" ht="12" customHeight="1">
      <c r="P173" s="3724" t="s">
        <v>831</v>
      </c>
    </row>
    <row r="174" spans="1:16" ht="12" customHeight="1">
      <c r="P174" s="3724" t="s">
        <v>832</v>
      </c>
    </row>
    <row r="175" spans="1:16" ht="12" customHeight="1">
      <c r="P175" s="3724" t="s">
        <v>833</v>
      </c>
    </row>
    <row r="176" spans="1:16" ht="12" customHeight="1">
      <c r="P176" s="3724" t="s">
        <v>834</v>
      </c>
    </row>
    <row r="177" spans="16:16" ht="12" customHeight="1">
      <c r="P177" s="3724" t="s">
        <v>835</v>
      </c>
    </row>
    <row r="178" spans="16:16" ht="12" customHeight="1">
      <c r="P178" s="3724" t="s">
        <v>836</v>
      </c>
    </row>
    <row r="179" spans="16:16" ht="12" customHeight="1">
      <c r="P179" s="3724" t="s">
        <v>837</v>
      </c>
    </row>
    <row r="180" spans="16:16" ht="12" customHeight="1">
      <c r="P180" s="3724" t="s">
        <v>838</v>
      </c>
    </row>
    <row r="181" spans="16:16" ht="12" customHeight="1">
      <c r="P181" s="3724" t="s">
        <v>839</v>
      </c>
    </row>
    <row r="182" spans="16:16" ht="12" customHeight="1">
      <c r="P182" s="3724" t="s">
        <v>840</v>
      </c>
    </row>
    <row r="183" spans="16:16" ht="12" customHeight="1">
      <c r="P183" s="3724" t="s">
        <v>841</v>
      </c>
    </row>
    <row r="184" spans="16:16" ht="12" customHeight="1">
      <c r="P184" s="3724" t="s">
        <v>842</v>
      </c>
    </row>
    <row r="185" spans="16:16" ht="12" customHeight="1">
      <c r="P185" s="3724" t="s">
        <v>1314</v>
      </c>
    </row>
    <row r="186" spans="16:16" ht="12" customHeight="1">
      <c r="P186" s="3724" t="s">
        <v>1315</v>
      </c>
    </row>
    <row r="187" spans="16:16" ht="12" customHeight="1">
      <c r="P187" s="3724" t="s">
        <v>1316</v>
      </c>
    </row>
    <row r="188" spans="16:16" ht="12" customHeight="1">
      <c r="P188" s="3724" t="s">
        <v>1317</v>
      </c>
    </row>
    <row r="189" spans="16:16" ht="12" customHeight="1">
      <c r="P189" s="3724" t="s">
        <v>1318</v>
      </c>
    </row>
    <row r="190" spans="16:16">
      <c r="P190" s="3724" t="s">
        <v>1319</v>
      </c>
    </row>
    <row r="191" spans="16:16" ht="12" customHeight="1">
      <c r="P191" s="3724" t="s">
        <v>1320</v>
      </c>
    </row>
    <row r="192" spans="16:16" ht="12" customHeight="1">
      <c r="P192" s="3724" t="s">
        <v>1321</v>
      </c>
    </row>
    <row r="193" spans="16:16" ht="12" customHeight="1">
      <c r="P193" s="3724" t="s">
        <v>1322</v>
      </c>
    </row>
    <row r="194" spans="16:16" ht="12" customHeight="1">
      <c r="P194" s="3724" t="s">
        <v>1323</v>
      </c>
    </row>
    <row r="195" spans="16:16" ht="12" customHeight="1">
      <c r="P195" s="3724" t="s">
        <v>1324</v>
      </c>
    </row>
    <row r="196" spans="16:16" ht="12" customHeight="1">
      <c r="P196" s="3724" t="s">
        <v>1325</v>
      </c>
    </row>
    <row r="197" spans="16:16" ht="12" customHeight="1">
      <c r="P197" s="3724" t="s">
        <v>1326</v>
      </c>
    </row>
    <row r="198" spans="16:16" ht="12" customHeight="1">
      <c r="P198" s="3724" t="s">
        <v>1327</v>
      </c>
    </row>
    <row r="199" spans="16:16" ht="12" customHeight="1">
      <c r="P199" s="3724" t="s">
        <v>1328</v>
      </c>
    </row>
    <row r="200" spans="16:16" ht="12" customHeight="1">
      <c r="P200" s="3724" t="s">
        <v>1329</v>
      </c>
    </row>
    <row r="201" spans="16:16" ht="12" customHeight="1">
      <c r="P201" s="3724" t="s">
        <v>1330</v>
      </c>
    </row>
    <row r="202" spans="16:16" ht="12" customHeight="1">
      <c r="P202" s="3724" t="s">
        <v>1331</v>
      </c>
    </row>
    <row r="203" spans="16:16" ht="12" customHeight="1">
      <c r="P203" s="3724" t="s">
        <v>1332</v>
      </c>
    </row>
    <row r="204" spans="16:16" ht="12" customHeight="1">
      <c r="P204" s="3724" t="s">
        <v>1333</v>
      </c>
    </row>
    <row r="205" spans="16:16" ht="12" customHeight="1">
      <c r="P205" s="3724" t="s">
        <v>1334</v>
      </c>
    </row>
    <row r="206" spans="16:16" ht="12" customHeight="1">
      <c r="P206" s="3724" t="s">
        <v>1335</v>
      </c>
    </row>
    <row r="207" spans="16:16" ht="12" customHeight="1">
      <c r="P207" s="3724" t="s">
        <v>1336</v>
      </c>
    </row>
    <row r="208" spans="16:16" ht="12" customHeight="1">
      <c r="P208" s="3724" t="s">
        <v>1337</v>
      </c>
    </row>
    <row r="209" spans="16:16" ht="12" customHeight="1">
      <c r="P209" s="3724" t="s">
        <v>1338</v>
      </c>
    </row>
    <row r="210" spans="16:16" ht="12" customHeight="1">
      <c r="P210" s="3724" t="s">
        <v>1339</v>
      </c>
    </row>
  </sheetData>
  <sheetProtection algorithmName="SHA-512" hashValue="id+g9Q4k8lYe2f8IMfG7evN0sXBxzLkyzxMwPsp/3awlBZDtuXm8wwC1ULC/BuehtJuwPLrCln2IPISuQSPtjA==" saltValue="GpLDROfuq68kl3wxI1i9G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2" zoomScaleNormal="100" workbookViewId="0">
      <selection activeCell="A52"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2020-042 Freedom's Path at Dublin, Dublin, Laurens County</v>
      </c>
      <c r="B1" s="2435"/>
      <c r="C1" s="2435"/>
      <c r="D1" s="2435"/>
      <c r="E1" s="2435"/>
      <c r="F1" s="2435"/>
      <c r="G1" s="2435"/>
      <c r="H1" s="2435"/>
      <c r="I1" s="2435"/>
      <c r="J1" s="2435"/>
      <c r="K1" s="2435"/>
      <c r="L1" s="2435"/>
      <c r="M1" s="2435"/>
      <c r="N1" s="2435"/>
      <c r="O1" s="2435"/>
      <c r="P1" s="2435"/>
      <c r="Q1" s="2436"/>
      <c r="S1" s="2483" t="str">
        <f>$A$1</f>
        <v>PART THREE - SOURCES OF FUNDS  -  2020-042 Freedom's Path at Dublin, Dublin, Laurens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1"/>
      <c r="E3" s="2351"/>
      <c r="F3" s="2351"/>
      <c r="G3" s="2351"/>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1"/>
      <c r="E4" s="2351"/>
      <c r="F4" s="2351"/>
      <c r="G4" s="2351"/>
      <c r="S4" s="2484" t="s">
        <v>2606</v>
      </c>
      <c r="T4" s="2484"/>
    </row>
    <row r="5" spans="1:20" s="268" customFormat="1" ht="16.5" customHeight="1">
      <c r="A5" s="471"/>
      <c r="B5" s="3624" t="s">
        <v>2885</v>
      </c>
      <c r="C5" s="2346" t="s">
        <v>2347</v>
      </c>
      <c r="D5" s="293"/>
      <c r="E5" s="3624" t="s">
        <v>2888</v>
      </c>
      <c r="F5" s="2346" t="s">
        <v>3540</v>
      </c>
      <c r="G5" s="293"/>
      <c r="H5" s="3725"/>
      <c r="I5" s="2767"/>
      <c r="L5" s="3624" t="s">
        <v>2888</v>
      </c>
      <c r="M5" s="2346" t="s">
        <v>1504</v>
      </c>
      <c r="O5" s="3494" t="s">
        <v>2888</v>
      </c>
      <c r="P5" s="2513" t="s">
        <v>4488</v>
      </c>
      <c r="Q5" s="2513"/>
      <c r="S5" s="3726"/>
      <c r="T5" s="3727"/>
    </row>
    <row r="6" spans="1:20" s="268" customFormat="1" ht="16.5" customHeight="1">
      <c r="A6" s="471"/>
      <c r="B6" s="3505" t="s">
        <v>2885</v>
      </c>
      <c r="C6" s="2346" t="s">
        <v>4428</v>
      </c>
      <c r="D6" s="293"/>
      <c r="E6" s="3560" t="s">
        <v>2888</v>
      </c>
      <c r="F6" s="2346" t="s">
        <v>3541</v>
      </c>
      <c r="H6" s="3728"/>
      <c r="I6" s="3729"/>
      <c r="L6" s="3505" t="s">
        <v>2888</v>
      </c>
      <c r="M6" s="2346" t="s">
        <v>534</v>
      </c>
      <c r="P6" s="2513"/>
      <c r="Q6" s="2513"/>
      <c r="S6" s="3730"/>
      <c r="T6" s="3731"/>
    </row>
    <row r="7" spans="1:20" s="268" customFormat="1" ht="16.5" customHeight="1">
      <c r="A7" s="293"/>
      <c r="B7" s="3505" t="s">
        <v>2888</v>
      </c>
      <c r="C7" s="2346" t="s">
        <v>535</v>
      </c>
      <c r="F7" s="293" t="s">
        <v>4427</v>
      </c>
      <c r="H7" s="3732" t="s">
        <v>3335</v>
      </c>
      <c r="I7" s="3733"/>
      <c r="J7" s="3734"/>
      <c r="L7" s="3505" t="s">
        <v>2888</v>
      </c>
      <c r="M7" s="2343" t="s">
        <v>3455</v>
      </c>
      <c r="P7" s="1556"/>
      <c r="Q7" s="1556"/>
      <c r="S7" s="3730"/>
      <c r="T7" s="3731"/>
    </row>
    <row r="8" spans="1:20" s="268" customFormat="1" ht="16.5" customHeight="1">
      <c r="A8" s="471"/>
      <c r="B8" s="3505" t="s">
        <v>2888</v>
      </c>
      <c r="C8" s="2346" t="s">
        <v>2533</v>
      </c>
      <c r="E8" s="3624" t="s">
        <v>2888</v>
      </c>
      <c r="F8" s="2343" t="s">
        <v>2541</v>
      </c>
      <c r="L8" s="3505" t="s">
        <v>2888</v>
      </c>
      <c r="M8" s="2343" t="s">
        <v>4429</v>
      </c>
      <c r="S8" s="3735"/>
      <c r="T8" s="3736"/>
    </row>
    <row r="9" spans="1:20" s="268" customFormat="1" ht="16.5" customHeight="1">
      <c r="A9" s="471"/>
      <c r="B9" s="3505" t="s">
        <v>2888</v>
      </c>
      <c r="C9" s="2346" t="s">
        <v>2534</v>
      </c>
      <c r="E9" s="3505" t="s">
        <v>2888</v>
      </c>
      <c r="F9" s="2343" t="s">
        <v>3539</v>
      </c>
      <c r="H9" s="3737" t="s">
        <v>3650</v>
      </c>
      <c r="I9" s="3738"/>
      <c r="J9" s="3734"/>
      <c r="L9" s="3505" t="s">
        <v>2888</v>
      </c>
      <c r="M9" s="2346" t="s">
        <v>3504</v>
      </c>
      <c r="S9" s="3726"/>
      <c r="T9" s="3727"/>
    </row>
    <row r="10" spans="1:20" s="268" customFormat="1" ht="16.5" customHeight="1">
      <c r="A10" s="471"/>
      <c r="B10" s="3505" t="s">
        <v>2888</v>
      </c>
      <c r="C10" s="2343" t="s">
        <v>3508</v>
      </c>
      <c r="E10" s="3739" t="s">
        <v>2888</v>
      </c>
      <c r="F10" s="3740" t="s">
        <v>4221</v>
      </c>
      <c r="G10" s="3589"/>
      <c r="H10" s="3589"/>
      <c r="I10" s="3589"/>
      <c r="J10" s="3604"/>
      <c r="L10" s="3505" t="s">
        <v>2888</v>
      </c>
      <c r="M10" s="293" t="s">
        <v>2542</v>
      </c>
      <c r="S10" s="3730"/>
      <c r="T10" s="3731"/>
    </row>
    <row r="11" spans="1:20" s="268" customFormat="1" ht="16.5" customHeight="1">
      <c r="A11" s="471"/>
      <c r="B11" s="3505" t="s">
        <v>2888</v>
      </c>
      <c r="C11" s="293" t="s">
        <v>3662</v>
      </c>
      <c r="F11" s="3741" t="s">
        <v>4223</v>
      </c>
      <c r="G11" s="3742"/>
      <c r="H11" s="3742"/>
      <c r="I11" s="3742"/>
      <c r="J11" s="3743"/>
      <c r="L11" s="3505" t="s">
        <v>2888</v>
      </c>
      <c r="M11" s="293" t="s">
        <v>3542</v>
      </c>
      <c r="S11" s="3730"/>
      <c r="T11" s="3731"/>
    </row>
    <row r="12" spans="1:20" s="268" customFormat="1" ht="16.5" customHeight="1">
      <c r="A12" s="471"/>
      <c r="B12" s="3505" t="s">
        <v>2888</v>
      </c>
      <c r="C12" s="293" t="s">
        <v>2540</v>
      </c>
      <c r="E12" s="3744" t="s">
        <v>2888</v>
      </c>
      <c r="F12" s="3740" t="s">
        <v>4222</v>
      </c>
      <c r="G12" s="3589"/>
      <c r="H12" s="3589"/>
      <c r="I12" s="3589"/>
      <c r="J12" s="3604"/>
      <c r="L12" s="3505" t="s">
        <v>2888</v>
      </c>
      <c r="M12" s="293" t="s">
        <v>2704</v>
      </c>
      <c r="S12" s="3730"/>
      <c r="T12" s="3731"/>
    </row>
    <row r="13" spans="1:20" s="268" customFormat="1" ht="16.5" customHeight="1">
      <c r="A13" s="471"/>
      <c r="B13" s="3505" t="s">
        <v>2888</v>
      </c>
      <c r="C13" s="293" t="s">
        <v>3538</v>
      </c>
      <c r="F13" s="3741" t="s">
        <v>4224</v>
      </c>
      <c r="G13" s="3742"/>
      <c r="H13" s="3742"/>
      <c r="I13" s="3742"/>
      <c r="J13" s="3743"/>
      <c r="L13" s="3505" t="s">
        <v>2888</v>
      </c>
      <c r="M13" s="2343" t="s">
        <v>3661</v>
      </c>
      <c r="S13" s="3735"/>
      <c r="T13" s="3736"/>
    </row>
    <row r="14" spans="1:20" s="268" customFormat="1" ht="16.5" customHeight="1">
      <c r="A14" s="471"/>
      <c r="B14" s="3560" t="s">
        <v>2888</v>
      </c>
      <c r="C14" s="2346" t="s">
        <v>1757</v>
      </c>
      <c r="E14" s="3494" t="s">
        <v>2888</v>
      </c>
      <c r="F14" s="2346" t="s">
        <v>4426</v>
      </c>
      <c r="I14" s="3745"/>
      <c r="J14" s="3746"/>
      <c r="L14" s="3560" t="s">
        <v>2888</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5" t="s">
        <v>2285</v>
      </c>
      <c r="C17" s="293"/>
      <c r="D17" s="2351"/>
      <c r="E17" s="293"/>
      <c r="F17" s="293"/>
      <c r="G17" s="293"/>
      <c r="H17" s="268"/>
      <c r="L17" s="293"/>
      <c r="M17" s="2351"/>
      <c r="N17" s="2481"/>
      <c r="O17" s="2481"/>
      <c r="P17" s="293"/>
      <c r="Q17" s="293"/>
      <c r="S17" s="338" t="str">
        <f>B17</f>
        <v>CONSTRUCTION FINANCING</v>
      </c>
    </row>
    <row r="18" spans="1:20" s="338" customFormat="1" ht="5.25" customHeight="1">
      <c r="A18" s="295"/>
      <c r="B18" s="2345"/>
      <c r="C18" s="293"/>
      <c r="K18" s="293"/>
      <c r="L18" s="293"/>
      <c r="M18" s="2351"/>
      <c r="N18" s="2360"/>
      <c r="O18" s="2360"/>
      <c r="P18" s="293"/>
      <c r="Q18" s="293"/>
    </row>
    <row r="19" spans="1:20" s="268" customFormat="1" ht="17.100000000000001" customHeight="1">
      <c r="A19" s="293"/>
      <c r="B19" s="2346" t="s">
        <v>1823</v>
      </c>
      <c r="C19" s="293"/>
      <c r="D19" s="293"/>
      <c r="E19" s="293"/>
      <c r="F19" s="293"/>
      <c r="G19" s="293"/>
      <c r="H19" s="2482" t="s">
        <v>1271</v>
      </c>
      <c r="I19" s="2482"/>
      <c r="J19" s="2482"/>
      <c r="K19" s="2482"/>
      <c r="L19" s="2409" t="s">
        <v>4389</v>
      </c>
      <c r="M19" s="2409"/>
      <c r="N19" s="2409" t="s">
        <v>1475</v>
      </c>
      <c r="O19" s="2409"/>
      <c r="P19" s="2409" t="s">
        <v>1597</v>
      </c>
      <c r="Q19" s="2409"/>
      <c r="S19" s="2484" t="s">
        <v>2606</v>
      </c>
      <c r="T19" s="2484"/>
    </row>
    <row r="20" spans="1:20" s="268" customFormat="1" ht="15.75" customHeight="1">
      <c r="A20" s="293"/>
      <c r="B20" s="2488" t="s">
        <v>1558</v>
      </c>
      <c r="C20" s="2489"/>
      <c r="D20" s="2489"/>
      <c r="E20" s="2357"/>
      <c r="F20" s="2357"/>
      <c r="G20" s="2357"/>
      <c r="H20" s="3747" t="s">
        <v>7030</v>
      </c>
      <c r="I20" s="3748"/>
      <c r="J20" s="3748"/>
      <c r="K20" s="3749"/>
      <c r="L20" s="3750">
        <v>5000000</v>
      </c>
      <c r="M20" s="3751"/>
      <c r="N20" s="3752">
        <v>4.2500000000000003E-2</v>
      </c>
      <c r="O20" s="3753"/>
      <c r="P20" s="3754">
        <v>24</v>
      </c>
      <c r="Q20" s="3755"/>
      <c r="S20" s="3726"/>
      <c r="T20" s="3727"/>
    </row>
    <row r="21" spans="1:20" s="268" customFormat="1" ht="15.75" customHeight="1">
      <c r="A21" s="293"/>
      <c r="B21" s="2490" t="s">
        <v>1559</v>
      </c>
      <c r="C21" s="2491"/>
      <c r="D21" s="2491"/>
      <c r="E21" s="2351"/>
      <c r="F21" s="2351"/>
      <c r="G21" s="2351"/>
      <c r="H21" s="3756"/>
      <c r="I21" s="3757"/>
      <c r="J21" s="3757"/>
      <c r="K21" s="3758"/>
      <c r="L21" s="3759"/>
      <c r="M21" s="3760"/>
      <c r="N21" s="3761"/>
      <c r="O21" s="3762"/>
      <c r="P21" s="3763"/>
      <c r="Q21" s="3764"/>
      <c r="S21" s="3730"/>
      <c r="T21" s="3731"/>
    </row>
    <row r="22" spans="1:20" s="268" customFormat="1" ht="15.75" customHeight="1">
      <c r="A22" s="293"/>
      <c r="B22" s="2495" t="s">
        <v>1560</v>
      </c>
      <c r="C22" s="2496"/>
      <c r="D22" s="2496"/>
      <c r="E22" s="2359"/>
      <c r="F22" s="2359"/>
      <c r="G22" s="2359"/>
      <c r="H22" s="3765"/>
      <c r="I22" s="3766"/>
      <c r="J22" s="3766"/>
      <c r="K22" s="3767"/>
      <c r="L22" s="3768"/>
      <c r="M22" s="3769"/>
      <c r="N22" s="3770"/>
      <c r="O22" s="3771"/>
      <c r="P22" s="3772"/>
      <c r="Q22" s="3773"/>
      <c r="S22" s="3730"/>
      <c r="T22" s="3731"/>
    </row>
    <row r="23" spans="1:20" s="268" customFormat="1" ht="15.75" customHeight="1">
      <c r="A23" s="293"/>
      <c r="B23" s="2488" t="s">
        <v>2158</v>
      </c>
      <c r="C23" s="2489"/>
      <c r="D23" s="2489"/>
      <c r="E23" s="2351"/>
      <c r="F23" s="2351"/>
      <c r="G23" s="2351"/>
      <c r="H23" s="3774"/>
      <c r="I23" s="3775"/>
      <c r="J23" s="3775"/>
      <c r="K23" s="3776"/>
      <c r="L23" s="3777"/>
      <c r="M23" s="3778"/>
      <c r="N23" s="2492"/>
      <c r="O23" s="2493"/>
      <c r="P23" s="2494"/>
      <c r="Q23" s="2494"/>
      <c r="S23" s="3730"/>
      <c r="T23" s="3731"/>
    </row>
    <row r="24" spans="1:20" s="268" customFormat="1" ht="15.75" customHeight="1">
      <c r="A24" s="293"/>
      <c r="B24" s="2490" t="s">
        <v>781</v>
      </c>
      <c r="C24" s="2491"/>
      <c r="D24" s="2491"/>
      <c r="E24" s="2351"/>
      <c r="H24" s="3756"/>
      <c r="I24" s="3757"/>
      <c r="J24" s="3757"/>
      <c r="K24" s="3758"/>
      <c r="L24" s="3759"/>
      <c r="M24" s="3760"/>
      <c r="N24" s="2492"/>
      <c r="O24" s="2493"/>
      <c r="P24" s="2494"/>
      <c r="Q24" s="2494"/>
      <c r="S24" s="3730"/>
      <c r="T24" s="3731"/>
    </row>
    <row r="25" spans="1:20" s="268" customFormat="1" ht="15.75" customHeight="1">
      <c r="A25" s="293"/>
      <c r="B25" s="2490" t="s">
        <v>623</v>
      </c>
      <c r="C25" s="2491"/>
      <c r="D25" s="2491"/>
      <c r="E25" s="2351"/>
      <c r="H25" s="3756"/>
      <c r="I25" s="3757"/>
      <c r="J25" s="3757"/>
      <c r="K25" s="3758"/>
      <c r="L25" s="3759"/>
      <c r="M25" s="3760"/>
      <c r="N25" s="2492"/>
      <c r="O25" s="2493"/>
      <c r="P25" s="2494"/>
      <c r="Q25" s="2494"/>
      <c r="S25" s="3730"/>
      <c r="T25" s="3731"/>
    </row>
    <row r="26" spans="1:20" s="268" customFormat="1" ht="15.75" customHeight="1">
      <c r="A26" s="293"/>
      <c r="B26" s="2490" t="s">
        <v>782</v>
      </c>
      <c r="C26" s="2491"/>
      <c r="D26" s="2491"/>
      <c r="E26" s="2351"/>
      <c r="H26" s="3756" t="s">
        <v>7074</v>
      </c>
      <c r="I26" s="3757"/>
      <c r="J26" s="3757"/>
      <c r="K26" s="3758"/>
      <c r="L26" s="3759">
        <v>1805612</v>
      </c>
      <c r="M26" s="3760"/>
      <c r="N26" s="293"/>
      <c r="Q26" s="293"/>
      <c r="S26" s="3735"/>
      <c r="T26" s="3736"/>
    </row>
    <row r="27" spans="1:20" s="268" customFormat="1" ht="15.75" customHeight="1">
      <c r="A27" s="293"/>
      <c r="B27" s="2490" t="s">
        <v>783</v>
      </c>
      <c r="C27" s="2491"/>
      <c r="D27" s="2491"/>
      <c r="E27" s="2351"/>
      <c r="H27" s="3756" t="s">
        <v>7074</v>
      </c>
      <c r="I27" s="3757"/>
      <c r="J27" s="3757"/>
      <c r="K27" s="3758"/>
      <c r="L27" s="3759">
        <v>1805612</v>
      </c>
      <c r="M27" s="3760"/>
      <c r="N27" s="293"/>
      <c r="Q27" s="293"/>
      <c r="S27" s="3726"/>
      <c r="T27" s="3727"/>
    </row>
    <row r="28" spans="1:20" s="268" customFormat="1" ht="15.75" customHeight="1">
      <c r="A28" s="293"/>
      <c r="B28" s="2350" t="s">
        <v>237</v>
      </c>
      <c r="C28" s="2351"/>
      <c r="D28" s="3779"/>
      <c r="E28" s="3779"/>
      <c r="F28" s="3779"/>
      <c r="G28" s="3779"/>
      <c r="H28" s="3756"/>
      <c r="I28" s="3757"/>
      <c r="J28" s="3757"/>
      <c r="K28" s="3758"/>
      <c r="L28" s="3759"/>
      <c r="M28" s="3760"/>
      <c r="N28" s="293"/>
      <c r="Q28" s="293"/>
      <c r="S28" s="3730"/>
      <c r="T28" s="3731"/>
    </row>
    <row r="29" spans="1:20" s="268" customFormat="1" ht="15.75" customHeight="1">
      <c r="A29" s="293"/>
      <c r="B29" s="2350" t="s">
        <v>237</v>
      </c>
      <c r="C29" s="2351"/>
      <c r="D29" s="3780"/>
      <c r="E29" s="3780"/>
      <c r="F29" s="3780"/>
      <c r="G29" s="3780"/>
      <c r="H29" s="3756"/>
      <c r="I29" s="3757"/>
      <c r="J29" s="3757"/>
      <c r="K29" s="3758"/>
      <c r="L29" s="3759"/>
      <c r="M29" s="3760"/>
      <c r="N29" s="293"/>
      <c r="S29" s="3730"/>
      <c r="T29" s="3731"/>
    </row>
    <row r="30" spans="1:20" s="268" customFormat="1" ht="15.75" customHeight="1">
      <c r="A30" s="293"/>
      <c r="B30" s="2358" t="s">
        <v>237</v>
      </c>
      <c r="C30" s="2359"/>
      <c r="D30" s="3781"/>
      <c r="E30" s="3781"/>
      <c r="F30" s="3781"/>
      <c r="G30" s="3781"/>
      <c r="H30" s="3765"/>
      <c r="I30" s="3766"/>
      <c r="J30" s="3766"/>
      <c r="K30" s="3767"/>
      <c r="L30" s="3768"/>
      <c r="M30" s="3769"/>
      <c r="N30" s="293"/>
      <c r="S30" s="3730"/>
      <c r="T30" s="3731"/>
    </row>
    <row r="31" spans="1:20" s="268" customFormat="1" ht="16.5" customHeight="1">
      <c r="A31" s="293"/>
      <c r="B31" s="2345" t="s">
        <v>1272</v>
      </c>
      <c r="C31" s="293"/>
      <c r="D31" s="293"/>
      <c r="E31" s="293"/>
      <c r="F31" s="293"/>
      <c r="G31" s="293"/>
      <c r="H31" s="293"/>
      <c r="I31" s="293"/>
      <c r="L31" s="2497">
        <f>SUM(L20:L30)</f>
        <v>8611224</v>
      </c>
      <c r="M31" s="2498"/>
      <c r="N31" s="311"/>
      <c r="S31" s="3730"/>
      <c r="T31" s="3731"/>
    </row>
    <row r="32" spans="1:20" s="268" customFormat="1" ht="16.5" customHeight="1">
      <c r="A32" s="293"/>
      <c r="B32" s="2346" t="s">
        <v>1273</v>
      </c>
      <c r="C32" s="293"/>
      <c r="D32" s="293"/>
      <c r="E32" s="293"/>
      <c r="F32" s="293"/>
      <c r="G32" s="293"/>
      <c r="H32" s="293"/>
      <c r="I32" s="293"/>
      <c r="L32" s="37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8151500</v>
      </c>
      <c r="M32" s="3783"/>
      <c r="N32" s="820"/>
      <c r="S32" s="3730"/>
      <c r="T32" s="3731"/>
    </row>
    <row r="33" spans="1:20" s="268" customFormat="1" ht="16.5" customHeight="1">
      <c r="A33" s="293"/>
      <c r="B33" s="2343" t="s">
        <v>2106</v>
      </c>
      <c r="C33" s="293"/>
      <c r="D33" s="293"/>
      <c r="E33" s="293"/>
      <c r="F33" s="293"/>
      <c r="G33" s="293"/>
      <c r="H33" s="293"/>
      <c r="I33" s="293"/>
      <c r="L33" s="2499">
        <f>L31-L32</f>
        <v>459724</v>
      </c>
      <c r="M33" s="2500"/>
      <c r="N33" s="820"/>
      <c r="S33" s="3735"/>
      <c r="T33" s="3736"/>
    </row>
    <row r="34" spans="1:20" ht="9.6" customHeight="1">
      <c r="A34" s="319"/>
      <c r="B34" s="2345"/>
      <c r="C34" s="311"/>
      <c r="D34" s="311"/>
      <c r="E34" s="311"/>
      <c r="F34" s="311"/>
      <c r="G34" s="311"/>
      <c r="H34" s="311"/>
      <c r="I34" s="311"/>
      <c r="J34" s="311"/>
      <c r="K34" s="311"/>
      <c r="L34" s="311"/>
      <c r="M34" s="2354"/>
      <c r="N34" s="2354"/>
    </row>
    <row r="35" spans="1:20" ht="9.6" customHeight="1">
      <c r="A35" s="295" t="s">
        <v>724</v>
      </c>
      <c r="B35" s="2345" t="s">
        <v>780</v>
      </c>
      <c r="C35" s="311"/>
      <c r="D35" s="311"/>
      <c r="E35" s="311"/>
      <c r="F35" s="311"/>
      <c r="G35" s="311"/>
      <c r="H35" s="311"/>
      <c r="I35" s="311"/>
      <c r="J35" s="311"/>
      <c r="K35" s="311"/>
      <c r="L35" s="311"/>
      <c r="M35" s="2354"/>
      <c r="N35" s="2354"/>
      <c r="O35" s="311"/>
      <c r="S35" s="338" t="str">
        <f>B35</f>
        <v>PERMANENT FINANCING</v>
      </c>
    </row>
    <row r="36" spans="1:20" s="268" customFormat="1" ht="13.35" customHeight="1">
      <c r="A36" s="293"/>
      <c r="B36" s="293"/>
      <c r="C36" s="293"/>
      <c r="D36" s="293"/>
      <c r="E36" s="293"/>
      <c r="F36" s="2354"/>
      <c r="G36" s="2354"/>
      <c r="H36" s="2494"/>
      <c r="I36" s="2494"/>
      <c r="K36" s="364" t="s">
        <v>2050</v>
      </c>
      <c r="L36" s="2354" t="s">
        <v>1269</v>
      </c>
      <c r="M36" s="2354" t="s">
        <v>1274</v>
      </c>
      <c r="P36" s="2501" t="s">
        <v>32</v>
      </c>
      <c r="Q36" s="2501"/>
      <c r="S36" s="338"/>
    </row>
    <row r="37" spans="1:20" s="268" customFormat="1" ht="13.35" customHeight="1">
      <c r="A37" s="293"/>
      <c r="B37" s="2361" t="s">
        <v>1823</v>
      </c>
      <c r="C37" s="2359"/>
      <c r="D37" s="2359"/>
      <c r="E37" s="2419" t="s">
        <v>1271</v>
      </c>
      <c r="F37" s="2419"/>
      <c r="G37" s="2419"/>
      <c r="H37" s="2419"/>
      <c r="I37" s="2409" t="s">
        <v>4388</v>
      </c>
      <c r="J37" s="2409"/>
      <c r="K37" s="2348" t="s">
        <v>1760</v>
      </c>
      <c r="L37" s="2348" t="s">
        <v>2157</v>
      </c>
      <c r="M37" s="2348" t="s">
        <v>2157</v>
      </c>
      <c r="N37" s="2409" t="s">
        <v>72</v>
      </c>
      <c r="O37" s="2409"/>
      <c r="P37" s="3784"/>
      <c r="Q37" s="3784"/>
      <c r="S37" s="2484" t="s">
        <v>2606</v>
      </c>
      <c r="T37" s="2484"/>
    </row>
    <row r="38" spans="1:20" s="268" customFormat="1" ht="15.75" customHeight="1">
      <c r="A38" s="293"/>
      <c r="B38" s="2488" t="s">
        <v>2546</v>
      </c>
      <c r="C38" s="2489"/>
      <c r="D38" s="2489"/>
      <c r="E38" s="3747"/>
      <c r="F38" s="3748"/>
      <c r="G38" s="3748"/>
      <c r="H38" s="3749"/>
      <c r="I38" s="3785"/>
      <c r="J38" s="3786"/>
      <c r="K38" s="3787"/>
      <c r="L38" s="3559"/>
      <c r="M38" s="3559"/>
      <c r="N38" s="3788"/>
      <c r="O38" s="3788"/>
      <c r="P38" s="3789" t="str">
        <f>IF(OR(I38&lt;=0,I38=""),"",IF(N38="Cash Flow",0,IF(N38="Amortizing",-PMT(K38/12,M38*12,I38,0,0)*12,"")))</f>
        <v/>
      </c>
      <c r="Q38" s="3789"/>
      <c r="S38" s="3726"/>
      <c r="T38" s="3727"/>
    </row>
    <row r="39" spans="1:20" s="268" customFormat="1" ht="15.75" customHeight="1">
      <c r="A39" s="293"/>
      <c r="B39" s="2490" t="s">
        <v>2547</v>
      </c>
      <c r="C39" s="2491"/>
      <c r="D39" s="2491"/>
      <c r="E39" s="3756"/>
      <c r="F39" s="3757"/>
      <c r="G39" s="3757"/>
      <c r="H39" s="3758"/>
      <c r="I39" s="3790"/>
      <c r="J39" s="3791"/>
      <c r="K39" s="3792"/>
      <c r="L39" s="3505"/>
      <c r="M39" s="3505"/>
      <c r="N39" s="3793"/>
      <c r="O39" s="3793"/>
      <c r="P39" s="3794" t="str">
        <f>IF(OR(I39&lt;=0,I39=""),"",IF(N39="Cash Flow",0,IF(N39="Amortizing",-PMT(K39/12,M39*12,I39,0,0)*12,"")))</f>
        <v/>
      </c>
      <c r="Q39" s="3794"/>
      <c r="S39" s="3730"/>
      <c r="T39" s="3731"/>
    </row>
    <row r="40" spans="1:20" s="268" customFormat="1" ht="15.75" customHeight="1">
      <c r="A40" s="293"/>
      <c r="B40" s="2490" t="s">
        <v>2548</v>
      </c>
      <c r="C40" s="2491"/>
      <c r="D40" s="2491"/>
      <c r="E40" s="3756"/>
      <c r="F40" s="3757"/>
      <c r="G40" s="3757"/>
      <c r="H40" s="3758"/>
      <c r="I40" s="3790"/>
      <c r="J40" s="3791"/>
      <c r="K40" s="3792"/>
      <c r="L40" s="3505"/>
      <c r="M40" s="3505"/>
      <c r="N40" s="3793"/>
      <c r="O40" s="3793"/>
      <c r="P40" s="3794" t="str">
        <f>IF(OR(I40&lt;=0,I40=""),"",IF(N40="Cash Flow",0,IF(N40="Amortizing",-PMT(K40/12,M40*12,I40,0,0)*12,"")))</f>
        <v/>
      </c>
      <c r="Q40" s="3794"/>
      <c r="S40" s="3730"/>
      <c r="T40" s="3731"/>
    </row>
    <row r="41" spans="1:20" s="268" customFormat="1" ht="15.75" customHeight="1">
      <c r="A41" s="293"/>
      <c r="B41" s="2350" t="s">
        <v>723</v>
      </c>
      <c r="C41" s="3795"/>
      <c r="D41" s="3796"/>
      <c r="E41" s="3756"/>
      <c r="F41" s="3757"/>
      <c r="G41" s="3757"/>
      <c r="H41" s="3758"/>
      <c r="I41" s="3797"/>
      <c r="J41" s="3798"/>
      <c r="K41" s="3799"/>
      <c r="L41" s="3560"/>
      <c r="M41" s="3560"/>
      <c r="N41" s="3800"/>
      <c r="O41" s="3800"/>
      <c r="P41" s="3801" t="str">
        <f>IF(OR(I41&lt;=0,I41=""),"",IF(N41="Cash Flow",0,IF(N41="Amortizing",-PMT(K41/12,M41*12,I41,0,0)*12,"")))</f>
        <v/>
      </c>
      <c r="Q41" s="3801"/>
      <c r="S41" s="3730"/>
      <c r="T41" s="3731"/>
    </row>
    <row r="42" spans="1:20" s="268" customFormat="1" ht="15.75" customHeight="1">
      <c r="A42" s="293"/>
      <c r="B42" s="2350" t="s">
        <v>4553</v>
      </c>
      <c r="C42" s="2351"/>
      <c r="D42" s="2352"/>
      <c r="E42" s="3756"/>
      <c r="F42" s="3757"/>
      <c r="G42" s="3757"/>
      <c r="H42" s="3758"/>
      <c r="I42" s="3790"/>
      <c r="J42" s="3791"/>
      <c r="K42" s="451"/>
      <c r="L42" s="2353"/>
      <c r="M42" s="2353"/>
      <c r="N42" s="2509"/>
      <c r="O42" s="2509"/>
      <c r="P42" s="2508"/>
      <c r="Q42" s="2508"/>
      <c r="S42" s="3730"/>
      <c r="T42" s="3731"/>
    </row>
    <row r="43" spans="1:20" s="268" customFormat="1" ht="15.75" customHeight="1">
      <c r="A43" s="293"/>
      <c r="B43" s="2358" t="s">
        <v>223</v>
      </c>
      <c r="C43" s="2359"/>
      <c r="D43" s="365">
        <f>IF(OR(I43="",I43=0,'Part IV-A-Uses of Funds'!$G$118="",'Part IV-A-Uses of Funds'!$G$118=0),"",I43/'Part IV-A-Uses of Funds'!$G$118)</f>
        <v>6.1549600000000003E-2</v>
      </c>
      <c r="E43" s="3765" t="s">
        <v>7034</v>
      </c>
      <c r="F43" s="3766"/>
      <c r="G43" s="3766"/>
      <c r="H43" s="3767"/>
      <c r="I43" s="3802">
        <v>76937</v>
      </c>
      <c r="J43" s="3803"/>
      <c r="K43" s="3804">
        <v>0.08</v>
      </c>
      <c r="L43" s="3494">
        <v>2</v>
      </c>
      <c r="M43" s="3494">
        <v>2</v>
      </c>
      <c r="N43" s="3805" t="s">
        <v>7035</v>
      </c>
      <c r="O43" s="3806"/>
      <c r="P43" s="3807">
        <f>IF(OR(I43&lt;=0,I43=""),"",IF(N43="Cash Flow",0,IF(N43="Amortizing",-PMT(K43/12,M43*12,I43,0,0)*12,"")))</f>
        <v>41755.825473173281</v>
      </c>
      <c r="Q43" s="3808"/>
      <c r="S43" s="3730"/>
      <c r="T43" s="3731"/>
    </row>
    <row r="44" spans="1:20" s="268" customFormat="1" ht="3" customHeight="1">
      <c r="A44" s="293"/>
      <c r="B44" s="293"/>
      <c r="C44" s="293"/>
      <c r="D44" s="293"/>
      <c r="E44" s="293"/>
      <c r="F44" s="293"/>
      <c r="G44" s="293"/>
      <c r="H44" s="293"/>
      <c r="I44" s="3809"/>
      <c r="J44" s="3810"/>
      <c r="K44" s="3811"/>
      <c r="L44" s="2354"/>
      <c r="M44" s="2354"/>
      <c r="N44" s="3812"/>
      <c r="O44" s="3812"/>
      <c r="P44" s="2354"/>
      <c r="Q44" s="2354"/>
      <c r="S44" s="3730"/>
      <c r="T44" s="3731"/>
    </row>
    <row r="45" spans="1:20" s="268" customFormat="1" ht="14.25" customHeight="1">
      <c r="A45" s="293"/>
      <c r="B45" s="1020" t="s">
        <v>3833</v>
      </c>
      <c r="C45" s="2351"/>
      <c r="E45" s="268" t="s">
        <v>3772</v>
      </c>
      <c r="F45" s="2504">
        <f>IF(OR($I$43="",$I$43=0,'Part VII-Pro Forma'!$S$34=0,'Part VII-Pro Forma'!$S$34=""),"",VLOOKUP($L$43,'Part VII-Pro Forma'!$Q$20:$S$39,3))</f>
        <v>168452.22319999998</v>
      </c>
      <c r="G45" s="2505"/>
      <c r="H45" s="582" t="s">
        <v>3832</v>
      </c>
      <c r="I45" s="2504">
        <f>IF(OR($I$43="",$I$43=0,'Part VII-Pro Forma'!$R$34=0,'Part VII-Pro Forma'!$R$34=""),"",VLOOKUP($L$43,'Part VII-Pro Forma'!$Q$20:$S$34,2))</f>
        <v>83511.650946346563</v>
      </c>
      <c r="J45" s="2505"/>
      <c r="K45" s="582" t="s">
        <v>3834</v>
      </c>
      <c r="L45" s="2502">
        <f>IF(OR($F$45 = 0,$F$45 =""),"",$I$45/$F$45)</f>
        <v>0.49575867483324837</v>
      </c>
      <c r="M45" s="2503"/>
      <c r="N45" s="3813" t="s">
        <v>4396</v>
      </c>
      <c r="O45" s="3814"/>
      <c r="P45" s="2506">
        <f>IF(OR($I$60=0,$I$58&gt;$I$59),0,ABS($I$58-$I$59))</f>
        <v>0</v>
      </c>
      <c r="Q45" s="2507"/>
      <c r="S45" s="3730"/>
      <c r="T45" s="3731"/>
    </row>
    <row r="46" spans="1:20" s="268" customFormat="1" ht="3" customHeight="1">
      <c r="A46" s="293"/>
      <c r="B46" s="293"/>
      <c r="C46" s="293"/>
      <c r="D46" s="293"/>
      <c r="E46" s="293"/>
      <c r="F46" s="293"/>
      <c r="G46" s="293"/>
      <c r="H46" s="293"/>
      <c r="I46" s="3815"/>
      <c r="J46" s="3816"/>
      <c r="K46" s="3811"/>
      <c r="L46" s="2354"/>
      <c r="M46" s="2354"/>
      <c r="N46" s="3812"/>
      <c r="O46" s="3812"/>
      <c r="P46" s="2354"/>
      <c r="Q46" s="2354"/>
      <c r="S46" s="3735"/>
      <c r="T46" s="3736"/>
    </row>
    <row r="47" spans="1:20" s="268" customFormat="1" ht="15.75" customHeight="1">
      <c r="A47" s="293"/>
      <c r="B47" s="2515" t="s">
        <v>2158</v>
      </c>
      <c r="C47" s="2516"/>
      <c r="D47" s="2517"/>
      <c r="E47" s="3747"/>
      <c r="F47" s="3748"/>
      <c r="G47" s="3748"/>
      <c r="H47" s="3749"/>
      <c r="I47" s="3817"/>
      <c r="J47" s="3818"/>
      <c r="K47" s="366"/>
      <c r="L47" s="366"/>
      <c r="M47" s="366"/>
      <c r="N47" s="366"/>
      <c r="O47" s="366"/>
      <c r="P47" s="397" t="s">
        <v>502</v>
      </c>
      <c r="Q47" s="366"/>
      <c r="S47" s="3726"/>
      <c r="T47" s="3727"/>
    </row>
    <row r="48" spans="1:20" s="268" customFormat="1" ht="15.75" customHeight="1">
      <c r="A48" s="293"/>
      <c r="B48" s="2490" t="s">
        <v>781</v>
      </c>
      <c r="C48" s="2491"/>
      <c r="D48" s="2512"/>
      <c r="E48" s="3756"/>
      <c r="F48" s="3757"/>
      <c r="G48" s="3757"/>
      <c r="H48" s="3758"/>
      <c r="I48" s="3790"/>
      <c r="J48" s="3791"/>
      <c r="L48" s="2518" t="s">
        <v>503</v>
      </c>
      <c r="M48" s="2518"/>
      <c r="N48" s="2519" t="s">
        <v>504</v>
      </c>
      <c r="O48" s="2519"/>
      <c r="P48" s="398" t="s">
        <v>2493</v>
      </c>
      <c r="Q48" s="366"/>
      <c r="S48" s="3730"/>
      <c r="T48" s="3731"/>
    </row>
    <row r="49" spans="1:23" s="268" customFormat="1" ht="15.75" customHeight="1">
      <c r="A49" s="293"/>
      <c r="B49" s="2490" t="s">
        <v>782</v>
      </c>
      <c r="C49" s="2491"/>
      <c r="D49" s="2512"/>
      <c r="E49" s="3756" t="s">
        <v>7018</v>
      </c>
      <c r="F49" s="3757"/>
      <c r="G49" s="3757"/>
      <c r="H49" s="3758"/>
      <c r="I49" s="3790">
        <v>5000000</v>
      </c>
      <c r="J49" s="3790"/>
      <c r="L49" s="2510">
        <f>'Part IV-A-Uses of Funds'!$J$184*10*'Part IV-A-Uses of Funds'!$N$175</f>
        <v>5000000</v>
      </c>
      <c r="M49" s="2510"/>
      <c r="N49" s="2511">
        <f>I49-L49</f>
        <v>0</v>
      </c>
      <c r="O49" s="2511"/>
      <c r="P49" s="399">
        <f>I49/I59</f>
        <v>0.54914881933003845</v>
      </c>
      <c r="Q49" s="366"/>
      <c r="S49" s="3730"/>
      <c r="T49" s="3731"/>
    </row>
    <row r="50" spans="1:23" s="268" customFormat="1" ht="15.75" customHeight="1">
      <c r="A50" s="293"/>
      <c r="B50" s="2490" t="s">
        <v>783</v>
      </c>
      <c r="C50" s="2491"/>
      <c r="D50" s="2512"/>
      <c r="E50" s="3756" t="s">
        <v>7018</v>
      </c>
      <c r="F50" s="3757"/>
      <c r="G50" s="3757"/>
      <c r="H50" s="3758"/>
      <c r="I50" s="3790">
        <v>2812500</v>
      </c>
      <c r="J50" s="3790"/>
      <c r="L50" s="2510">
        <f>'Part IV-A-Uses of Funds'!$J$184*10*'Part IV-A-Uses of Funds'!$Q$175</f>
        <v>2812500</v>
      </c>
      <c r="M50" s="2510"/>
      <c r="N50" s="2511">
        <f>I50-L50</f>
        <v>0</v>
      </c>
      <c r="O50" s="2511"/>
      <c r="P50" s="399">
        <f>I50/I59</f>
        <v>0.30889621087314661</v>
      </c>
      <c r="Q50" s="366"/>
      <c r="S50" s="3730"/>
      <c r="T50" s="3731"/>
    </row>
    <row r="51" spans="1:23" s="268" customFormat="1" ht="15.75" customHeight="1">
      <c r="A51" s="293"/>
      <c r="B51" s="2490" t="s">
        <v>1383</v>
      </c>
      <c r="C51" s="2491"/>
      <c r="D51" s="2512"/>
      <c r="E51" s="3756" t="s">
        <v>7018</v>
      </c>
      <c r="F51" s="3757"/>
      <c r="G51" s="3757"/>
      <c r="H51" s="3758"/>
      <c r="I51" s="3790">
        <v>1080563</v>
      </c>
      <c r="J51" s="3790"/>
      <c r="P51" s="400">
        <f>SUM(P49:P50)</f>
        <v>0.85804503020318501</v>
      </c>
      <c r="Q51" s="366"/>
      <c r="S51" s="3735"/>
      <c r="T51" s="3736"/>
    </row>
    <row r="52" spans="1:23" s="268" customFormat="1" ht="15.75" customHeight="1">
      <c r="A52" s="293"/>
      <c r="B52" s="2350" t="s">
        <v>517</v>
      </c>
      <c r="C52" s="2351"/>
      <c r="D52" s="2352"/>
      <c r="E52" s="3756"/>
      <c r="F52" s="3757"/>
      <c r="G52" s="3757"/>
      <c r="H52" s="3758"/>
      <c r="I52" s="3790"/>
      <c r="J52" s="3790"/>
      <c r="K52" s="293"/>
      <c r="Q52" s="366"/>
      <c r="S52" s="3730"/>
      <c r="T52" s="3731"/>
    </row>
    <row r="53" spans="1:23" s="268" customFormat="1" ht="15.75" customHeight="1">
      <c r="A53" s="293"/>
      <c r="B53" s="2350" t="s">
        <v>1821</v>
      </c>
      <c r="C53" s="2351"/>
      <c r="D53" s="2352"/>
      <c r="E53" s="3756"/>
      <c r="F53" s="3757"/>
      <c r="G53" s="3757"/>
      <c r="H53" s="3758"/>
      <c r="I53" s="3790"/>
      <c r="J53" s="3790"/>
      <c r="N53" s="367"/>
      <c r="O53" s="367"/>
      <c r="P53" s="367"/>
      <c r="Q53" s="366"/>
      <c r="S53" s="3730"/>
      <c r="T53" s="3731"/>
    </row>
    <row r="54" spans="1:23" s="268" customFormat="1" ht="15.75" customHeight="1">
      <c r="A54" s="293"/>
      <c r="B54" s="2350" t="s">
        <v>1822</v>
      </c>
      <c r="C54" s="2351"/>
      <c r="D54" s="2352"/>
      <c r="E54" s="3756"/>
      <c r="F54" s="3757"/>
      <c r="G54" s="3757"/>
      <c r="H54" s="3758"/>
      <c r="I54" s="3790"/>
      <c r="J54" s="3790"/>
      <c r="M54" s="367"/>
      <c r="N54" s="367"/>
      <c r="O54" s="367"/>
      <c r="P54" s="367"/>
      <c r="Q54" s="366"/>
      <c r="S54" s="3730"/>
      <c r="T54" s="3731"/>
    </row>
    <row r="55" spans="1:23" s="268" customFormat="1" ht="15.75" customHeight="1">
      <c r="A55" s="293"/>
      <c r="B55" s="2350" t="s">
        <v>723</v>
      </c>
      <c r="C55" s="3779" t="s">
        <v>7031</v>
      </c>
      <c r="D55" s="3779"/>
      <c r="E55" s="3756" t="s">
        <v>7018</v>
      </c>
      <c r="F55" s="3757"/>
      <c r="G55" s="3757"/>
      <c r="H55" s="3758"/>
      <c r="I55" s="3790">
        <v>135000</v>
      </c>
      <c r="J55" s="3790"/>
      <c r="M55" s="367"/>
      <c r="N55" s="367"/>
      <c r="O55" s="367"/>
      <c r="P55" s="367"/>
      <c r="Q55" s="366"/>
      <c r="S55" s="3730"/>
      <c r="T55" s="3731"/>
    </row>
    <row r="56" spans="1:23" s="268" customFormat="1" ht="15.75" customHeight="1">
      <c r="A56" s="293"/>
      <c r="B56" s="2350" t="s">
        <v>723</v>
      </c>
      <c r="C56" s="3780"/>
      <c r="D56" s="3780"/>
      <c r="E56" s="3756"/>
      <c r="F56" s="3757"/>
      <c r="G56" s="3757"/>
      <c r="H56" s="3758"/>
      <c r="I56" s="3790"/>
      <c r="J56" s="3790"/>
      <c r="K56" s="293"/>
      <c r="L56" s="368"/>
      <c r="M56" s="367"/>
      <c r="N56" s="367"/>
      <c r="O56" s="367"/>
      <c r="P56" s="367"/>
      <c r="Q56" s="366"/>
      <c r="S56" s="3730"/>
      <c r="T56" s="3731"/>
    </row>
    <row r="57" spans="1:23" s="268" customFormat="1" ht="15.75" customHeight="1">
      <c r="A57" s="293"/>
      <c r="B57" s="2358" t="s">
        <v>723</v>
      </c>
      <c r="C57" s="3781"/>
      <c r="D57" s="3781"/>
      <c r="E57" s="3765"/>
      <c r="F57" s="3766"/>
      <c r="G57" s="3766"/>
      <c r="H57" s="3767"/>
      <c r="I57" s="3819"/>
      <c r="J57" s="3819"/>
      <c r="K57" s="293"/>
      <c r="L57" s="368"/>
      <c r="M57" s="367"/>
      <c r="N57" s="367"/>
      <c r="O57" s="367"/>
      <c r="P57" s="367"/>
      <c r="Q57" s="366"/>
      <c r="S57" s="3730"/>
      <c r="T57" s="3731"/>
    </row>
    <row r="58" spans="1:23" s="268" customFormat="1" ht="14.25" customHeight="1">
      <c r="A58" s="293"/>
      <c r="B58" s="2346" t="s">
        <v>2159</v>
      </c>
      <c r="C58" s="293"/>
      <c r="D58" s="293"/>
      <c r="E58" s="293"/>
      <c r="F58" s="293"/>
      <c r="G58" s="293"/>
      <c r="I58" s="2520">
        <f>SUM(I38:J43)+SUM(I47:J57)</f>
        <v>9105000</v>
      </c>
      <c r="J58" s="2521"/>
      <c r="K58" s="293"/>
      <c r="L58" s="368"/>
      <c r="M58" s="367"/>
      <c r="N58" s="367"/>
      <c r="O58" s="367"/>
      <c r="P58" s="367"/>
      <c r="Q58" s="366"/>
      <c r="S58" s="3730"/>
      <c r="T58" s="3731"/>
    </row>
    <row r="59" spans="1:23" s="268" customFormat="1" ht="14.25" customHeight="1" thickBot="1">
      <c r="A59" s="293"/>
      <c r="B59" s="2346" t="s">
        <v>2160</v>
      </c>
      <c r="C59" s="293"/>
      <c r="D59" s="293"/>
      <c r="E59" s="293"/>
      <c r="F59" s="293"/>
      <c r="G59" s="293"/>
      <c r="I59" s="2522">
        <f>'Part IV-A-Uses of Funds'!$G$132</f>
        <v>9105000</v>
      </c>
      <c r="J59" s="2523"/>
      <c r="K59" s="293"/>
      <c r="L59" s="368"/>
      <c r="M59" s="367"/>
      <c r="N59" s="367"/>
      <c r="O59" s="367"/>
      <c r="P59" s="367"/>
      <c r="Q59" s="366"/>
      <c r="S59" s="3730"/>
      <c r="T59" s="3731"/>
    </row>
    <row r="60" spans="1:23" s="268" customFormat="1" ht="14.25" customHeight="1" thickBot="1">
      <c r="A60" s="293"/>
      <c r="B60" s="2343" t="s">
        <v>1493</v>
      </c>
      <c r="C60" s="293"/>
      <c r="D60" s="293"/>
      <c r="E60" s="293"/>
      <c r="F60" s="293"/>
      <c r="G60" s="293"/>
      <c r="I60" s="2524">
        <f>I58-I59</f>
        <v>0</v>
      </c>
      <c r="J60" s="2525"/>
      <c r="K60" s="293"/>
      <c r="L60" s="368"/>
      <c r="M60" s="367"/>
      <c r="N60" s="367"/>
      <c r="O60" s="367"/>
      <c r="P60" s="367"/>
      <c r="Q60" s="366"/>
      <c r="S60" s="3735"/>
      <c r="T60" s="3736"/>
    </row>
    <row r="61" spans="1:23" s="268" customFormat="1" ht="13.35" customHeight="1">
      <c r="A61" s="293" t="s">
        <v>4554</v>
      </c>
      <c r="B61" s="234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0"/>
      <c r="B64" s="3820"/>
      <c r="C64" s="3820"/>
      <c r="D64" s="3820"/>
      <c r="E64" s="3820"/>
      <c r="F64" s="3820"/>
      <c r="G64" s="3820"/>
      <c r="H64" s="3820"/>
      <c r="I64" s="3820"/>
      <c r="J64" s="3820"/>
      <c r="K64" s="3820"/>
      <c r="L64" s="3820"/>
      <c r="M64" s="3821"/>
      <c r="N64" s="3821"/>
      <c r="O64" s="3821"/>
      <c r="P64" s="3821"/>
      <c r="Q64" s="3821"/>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GanuHWwqlAuQM8o+SLAGuFq8Mff3rW5HCBv8eohD63u0nM06YlLBv0VXWqwfDE9gC17rlvncPJeeSps2VfIkXQ==" saltValue="Vn8aVQcivMf0R52gl+sQW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0" zoomScaleNormal="100" workbookViewId="0">
      <selection activeCell="A160"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2020-042 Freedom's Path at Dublin, Dublin, Laurens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2020-042 Freedom's Path at Dublin, Dublin, Laurens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0">
        <v>7000</v>
      </c>
      <c r="H8" s="3751"/>
      <c r="J8" s="3750">
        <v>840</v>
      </c>
      <c r="K8" s="3751"/>
      <c r="L8" s="2363"/>
      <c r="M8" s="3750"/>
      <c r="N8" s="3751"/>
      <c r="P8" s="3750">
        <v>6160</v>
      </c>
      <c r="Q8" s="3751"/>
      <c r="S8" s="3750"/>
      <c r="T8" s="3751"/>
      <c r="V8" s="3822"/>
      <c r="W8" s="3823"/>
      <c r="X8" s="3824"/>
    </row>
    <row r="9" spans="1:24" s="293" customFormat="1" ht="12.6" customHeight="1">
      <c r="B9" s="293" t="s">
        <v>448</v>
      </c>
      <c r="G9" s="3759">
        <v>10000</v>
      </c>
      <c r="H9" s="3760"/>
      <c r="J9" s="3750">
        <v>1200</v>
      </c>
      <c r="K9" s="3751"/>
      <c r="L9" s="2363"/>
      <c r="M9" s="3759"/>
      <c r="N9" s="3760"/>
      <c r="P9" s="3750">
        <v>8800</v>
      </c>
      <c r="Q9" s="3751"/>
      <c r="S9" s="3759"/>
      <c r="T9" s="3760"/>
      <c r="V9" s="3822"/>
      <c r="W9" s="3823"/>
      <c r="X9" s="3824"/>
    </row>
    <row r="10" spans="1:24" s="293" customFormat="1" ht="12.6" customHeight="1">
      <c r="B10" s="293" t="s">
        <v>477</v>
      </c>
      <c r="G10" s="3759">
        <v>20000</v>
      </c>
      <c r="H10" s="3760"/>
      <c r="J10" s="3750">
        <v>2400</v>
      </c>
      <c r="K10" s="3751"/>
      <c r="L10" s="2363"/>
      <c r="M10" s="3759"/>
      <c r="N10" s="3760"/>
      <c r="P10" s="3750">
        <v>17600</v>
      </c>
      <c r="Q10" s="3751"/>
      <c r="S10" s="3759"/>
      <c r="T10" s="3760"/>
      <c r="V10" s="3822"/>
      <c r="W10" s="3823"/>
      <c r="X10" s="3824"/>
    </row>
    <row r="11" spans="1:24" s="293" customFormat="1" ht="12.6" customHeight="1">
      <c r="B11" s="293" t="s">
        <v>478</v>
      </c>
      <c r="G11" s="3759"/>
      <c r="H11" s="3760"/>
      <c r="J11" s="3759"/>
      <c r="K11" s="3760"/>
      <c r="L11" s="2363"/>
      <c r="M11" s="3759"/>
      <c r="N11" s="3760"/>
      <c r="P11" s="3759"/>
      <c r="Q11" s="3760"/>
      <c r="S11" s="3759"/>
      <c r="T11" s="3760"/>
      <c r="V11" s="3822"/>
      <c r="W11" s="3823"/>
      <c r="X11" s="3824"/>
    </row>
    <row r="12" spans="1:24" s="293" customFormat="1" ht="12.6" customHeight="1">
      <c r="B12" s="293" t="s">
        <v>2434</v>
      </c>
      <c r="G12" s="3759">
        <v>10000</v>
      </c>
      <c r="H12" s="3760"/>
      <c r="J12" s="3750">
        <v>1200</v>
      </c>
      <c r="K12" s="3751"/>
      <c r="L12" s="2363"/>
      <c r="M12" s="3759"/>
      <c r="N12" s="3760"/>
      <c r="P12" s="3750">
        <v>8800</v>
      </c>
      <c r="Q12" s="3751"/>
      <c r="S12" s="3759"/>
      <c r="T12" s="3760"/>
      <c r="V12" s="3822"/>
      <c r="W12" s="3823"/>
      <c r="X12" s="3824"/>
    </row>
    <row r="13" spans="1:24" s="293" customFormat="1" ht="12.6" customHeight="1">
      <c r="B13" s="293" t="s">
        <v>186</v>
      </c>
      <c r="G13" s="3759"/>
      <c r="H13" s="3760"/>
      <c r="J13" s="3759"/>
      <c r="K13" s="3760"/>
      <c r="L13" s="2363"/>
      <c r="M13" s="3759"/>
      <c r="N13" s="3760"/>
      <c r="P13" s="3759"/>
      <c r="Q13" s="3760"/>
      <c r="S13" s="3759"/>
      <c r="T13" s="3760"/>
      <c r="V13" s="3822"/>
      <c r="W13" s="3823"/>
      <c r="X13" s="3824"/>
    </row>
    <row r="14" spans="1:24" s="293" customFormat="1" ht="12.6" customHeight="1">
      <c r="A14" s="370" t="str">
        <f>IF(AND(G14&gt;0,OR(C14="",C14="&lt;Enter detailed description here; use Comments section if needed&gt;")),"X","")</f>
        <v/>
      </c>
      <c r="B14" s="293" t="s">
        <v>723</v>
      </c>
      <c r="C14" s="3825" t="s">
        <v>7032</v>
      </c>
      <c r="D14" s="3825"/>
      <c r="E14" s="3825"/>
      <c r="F14" s="3826"/>
      <c r="G14" s="3759">
        <v>10000</v>
      </c>
      <c r="H14" s="3760"/>
      <c r="J14" s="3750">
        <v>1200</v>
      </c>
      <c r="K14" s="3751"/>
      <c r="L14" s="2363"/>
      <c r="M14" s="3759"/>
      <c r="N14" s="3760"/>
      <c r="P14" s="3750">
        <v>8800</v>
      </c>
      <c r="Q14" s="3751"/>
      <c r="S14" s="3759"/>
      <c r="T14" s="3760"/>
      <c r="U14" s="369" t="str">
        <f>IF(AND(G14&gt;0,OR(C14="",C14="&lt;Enter detailed description here; use Comments section if needed&gt;")),"NO DESCRIPTION PROVIDED - please enter detailed description in Other box at left; use Comments section below if needed.","")</f>
        <v/>
      </c>
      <c r="V14" s="3827"/>
      <c r="W14" s="3823"/>
      <c r="X14" s="3824"/>
    </row>
    <row r="15" spans="1:24" s="293" customFormat="1" ht="12.6" customHeight="1">
      <c r="A15" s="370" t="str">
        <f>IF(AND(G15&gt;0,OR(C15="",C15="&lt;Enter detailed description here; use Comments section if needed&gt;")),"X","")</f>
        <v/>
      </c>
      <c r="B15" s="293" t="s">
        <v>723</v>
      </c>
      <c r="C15" s="3825" t="s">
        <v>7033</v>
      </c>
      <c r="D15" s="3825"/>
      <c r="E15" s="3825"/>
      <c r="F15" s="3826"/>
      <c r="G15" s="3759">
        <v>37000</v>
      </c>
      <c r="H15" s="3760"/>
      <c r="J15" s="3759"/>
      <c r="K15" s="3760"/>
      <c r="L15" s="2363"/>
      <c r="M15" s="3759"/>
      <c r="N15" s="3760"/>
      <c r="P15" s="3759">
        <v>37000</v>
      </c>
      <c r="Q15" s="3760"/>
      <c r="S15" s="3759"/>
      <c r="T15" s="3760"/>
      <c r="U15" s="369" t="str">
        <f>IF(AND(G15&gt;0,OR(C15="",C15="&lt;Enter detailed description here; use Comments section if needed&gt;")),"NO DESCRIPTION PROVIDED - please enter detailed description in Other box at left; use Comments section below if needed.","")</f>
        <v/>
      </c>
      <c r="V15" s="3827"/>
      <c r="W15" s="3823"/>
      <c r="X15" s="3824"/>
    </row>
    <row r="16" spans="1:24" s="293" customFormat="1" ht="12.6" customHeight="1" thickBot="1">
      <c r="A16" s="370" t="str">
        <f>IF(AND(G16&gt;0,OR(C16="",C16="&lt;Enter detailed description here; use Comments section if needed&gt;")),"X","")</f>
        <v/>
      </c>
      <c r="B16" s="293" t="s">
        <v>723</v>
      </c>
      <c r="C16" s="3825" t="s">
        <v>3531</v>
      </c>
      <c r="D16" s="3825"/>
      <c r="E16" s="3825"/>
      <c r="F16" s="3826"/>
      <c r="G16" s="3828"/>
      <c r="H16" s="3829"/>
      <c r="J16" s="3828"/>
      <c r="K16" s="3829"/>
      <c r="L16" s="2363"/>
      <c r="M16" s="3828"/>
      <c r="N16" s="3829"/>
      <c r="P16" s="3828"/>
      <c r="Q16" s="3829"/>
      <c r="S16" s="3828"/>
      <c r="T16" s="3829"/>
      <c r="U16" s="369" t="str">
        <f>IF(AND(G16&gt;0,OR(C16="",C16="&lt;Enter detailed description here; use Comments section if needed&gt;")),"NO DESCRIPTION PROVIDED - please enter detailed description in Other box at left; use Comments section below if needed.","")</f>
        <v/>
      </c>
      <c r="V16" s="3827"/>
      <c r="W16" s="3830"/>
      <c r="X16" s="3831"/>
    </row>
    <row r="17" spans="2:24" s="293" customFormat="1" ht="12.6" customHeight="1" thickTop="1">
      <c r="F17" s="344" t="s">
        <v>187</v>
      </c>
      <c r="G17" s="2565">
        <f>SUM(G8:H16)</f>
        <v>94000</v>
      </c>
      <c r="H17" s="2566"/>
      <c r="J17" s="2565">
        <f>SUM(J8:K16)</f>
        <v>6840</v>
      </c>
      <c r="K17" s="2567"/>
      <c r="L17" s="2363"/>
      <c r="M17" s="2565">
        <f>SUM(M8:N16)</f>
        <v>0</v>
      </c>
      <c r="N17" s="2566"/>
      <c r="P17" s="2565">
        <f>SUM(P8:Q16)</f>
        <v>87160</v>
      </c>
      <c r="Q17" s="2566"/>
      <c r="S17" s="2565">
        <f>SUM(S8:T16)</f>
        <v>0</v>
      </c>
      <c r="T17" s="2566"/>
      <c r="V17" s="3832">
        <f>SUM(V8:V16)</f>
        <v>0</v>
      </c>
      <c r="W17" s="3833"/>
      <c r="X17" s="3834"/>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0</v>
      </c>
      <c r="G19" s="3750"/>
      <c r="H19" s="3751"/>
      <c r="J19" s="346"/>
      <c r="K19" s="343"/>
      <c r="L19" s="346"/>
      <c r="M19" s="346"/>
      <c r="N19" s="343"/>
      <c r="P19" s="346"/>
      <c r="Q19" s="343"/>
      <c r="S19" s="3750"/>
      <c r="T19" s="3751"/>
      <c r="V19" s="3822"/>
      <c r="W19" s="3823"/>
      <c r="X19" s="3824"/>
    </row>
    <row r="20" spans="2:24" s="293" customFormat="1" ht="12.6" customHeight="1">
      <c r="B20" s="293" t="s">
        <v>1097</v>
      </c>
      <c r="G20" s="3759"/>
      <c r="H20" s="3760"/>
      <c r="J20" s="346"/>
      <c r="K20" s="343"/>
      <c r="L20" s="346"/>
      <c r="M20" s="346"/>
      <c r="N20" s="343"/>
      <c r="P20" s="346"/>
      <c r="Q20" s="343"/>
      <c r="S20" s="3759"/>
      <c r="T20" s="3760"/>
      <c r="V20" s="3822"/>
      <c r="W20" s="3823"/>
      <c r="X20" s="3824"/>
    </row>
    <row r="21" spans="2:24" s="293" customFormat="1" ht="12.6" customHeight="1">
      <c r="B21" s="293" t="s">
        <v>449</v>
      </c>
      <c r="G21" s="3759"/>
      <c r="H21" s="3760"/>
      <c r="J21" s="346"/>
      <c r="K21" s="343"/>
      <c r="L21" s="346"/>
      <c r="M21" s="3750"/>
      <c r="N21" s="3751"/>
      <c r="P21" s="346"/>
      <c r="Q21" s="343"/>
      <c r="S21" s="3759"/>
      <c r="T21" s="3760"/>
      <c r="V21" s="3822"/>
      <c r="W21" s="3823"/>
      <c r="X21" s="3824"/>
    </row>
    <row r="22" spans="2:24" s="293" customFormat="1" ht="12.6" customHeight="1" thickBot="1">
      <c r="B22" s="293" t="s">
        <v>422</v>
      </c>
      <c r="G22" s="3828"/>
      <c r="H22" s="3829"/>
      <c r="J22" s="346"/>
      <c r="K22" s="343"/>
      <c r="L22" s="346"/>
      <c r="M22" s="3828"/>
      <c r="N22" s="3829"/>
      <c r="P22" s="346"/>
      <c r="Q22" s="343"/>
      <c r="S22" s="3828"/>
      <c r="T22" s="3829"/>
      <c r="V22" s="3822"/>
      <c r="W22" s="3830"/>
      <c r="X22" s="3831"/>
    </row>
    <row r="23" spans="2:24" s="293" customFormat="1" ht="12.6" customHeight="1" thickTop="1">
      <c r="F23" s="344" t="s">
        <v>187</v>
      </c>
      <c r="G23" s="2565">
        <f>SUM(G19:H22)</f>
        <v>0</v>
      </c>
      <c r="H23" s="2566"/>
      <c r="J23" s="346"/>
      <c r="K23" s="343"/>
      <c r="L23" s="346"/>
      <c r="M23" s="2565">
        <f>SUM(M21:N22)</f>
        <v>0</v>
      </c>
      <c r="N23" s="2566"/>
      <c r="P23" s="346"/>
      <c r="Q23" s="343"/>
      <c r="S23" s="2565">
        <f>SUM(S19:T22)</f>
        <v>0</v>
      </c>
      <c r="T23" s="2566"/>
      <c r="V23" s="3832">
        <f>SUM(V19:V22)</f>
        <v>0</v>
      </c>
      <c r="W23" s="3833"/>
      <c r="X23" s="3834"/>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53059.815242494224</v>
      </c>
      <c r="G25" s="3750">
        <v>229749</v>
      </c>
      <c r="H25" s="3751"/>
      <c r="J25" s="3750">
        <v>200000</v>
      </c>
      <c r="K25" s="3751"/>
      <c r="L25" s="2363"/>
      <c r="M25" s="3835"/>
      <c r="N25" s="3836"/>
      <c r="P25" s="3835">
        <v>29749</v>
      </c>
      <c r="Q25" s="3836"/>
      <c r="S25" s="3750"/>
      <c r="T25" s="3751"/>
      <c r="V25" s="3822"/>
      <c r="W25" s="3823"/>
      <c r="X25" s="3824"/>
    </row>
    <row r="26" spans="2:24" s="293" customFormat="1" ht="12.6" customHeight="1" thickBot="1">
      <c r="B26" s="293" t="s">
        <v>1100</v>
      </c>
      <c r="G26" s="3828"/>
      <c r="H26" s="3829"/>
      <c r="J26" s="3828"/>
      <c r="K26" s="3829"/>
      <c r="L26" s="347"/>
      <c r="M26" s="2568"/>
      <c r="N26" s="2568"/>
      <c r="P26" s="2568"/>
      <c r="Q26" s="2568"/>
      <c r="S26" s="3828"/>
      <c r="T26" s="3829"/>
      <c r="V26" s="3822"/>
      <c r="W26" s="3830"/>
      <c r="X26" s="3831"/>
    </row>
    <row r="27" spans="2:24" s="293" customFormat="1" ht="12.6" customHeight="1" thickTop="1">
      <c r="F27" s="344" t="s">
        <v>187</v>
      </c>
      <c r="G27" s="2565">
        <f>SUM(G25:H26)</f>
        <v>229749</v>
      </c>
      <c r="H27" s="2566"/>
      <c r="J27" s="2565">
        <f>SUM(J25:K26)</f>
        <v>200000</v>
      </c>
      <c r="K27" s="2566"/>
      <c r="L27" s="346"/>
      <c r="M27" s="2565">
        <f>M25</f>
        <v>0</v>
      </c>
      <c r="N27" s="2566"/>
      <c r="P27" s="2565">
        <f>P25</f>
        <v>29749</v>
      </c>
      <c r="Q27" s="2566"/>
      <c r="S27" s="2565">
        <f>SUM(S25:T26)</f>
        <v>0</v>
      </c>
      <c r="T27" s="2566"/>
      <c r="V27" s="3832">
        <f>SUM(V25:V26)</f>
        <v>0</v>
      </c>
      <c r="W27" s="3833"/>
      <c r="X27" s="3834"/>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0">
        <v>704233</v>
      </c>
      <c r="H29" s="3751"/>
      <c r="J29" s="3750">
        <v>704233</v>
      </c>
      <c r="K29" s="3751"/>
      <c r="L29" s="2363"/>
      <c r="M29" s="3750"/>
      <c r="N29" s="3751"/>
      <c r="P29" s="3750"/>
      <c r="Q29" s="3751"/>
      <c r="S29" s="3750"/>
      <c r="T29" s="3751"/>
      <c r="V29" s="3822"/>
      <c r="W29" s="3823"/>
      <c r="X29" s="3824"/>
    </row>
    <row r="30" spans="2:24" s="293" customFormat="1" ht="12.6" customHeight="1">
      <c r="B30" s="293" t="s">
        <v>1103</v>
      </c>
      <c r="G30" s="3759">
        <v>4401518</v>
      </c>
      <c r="H30" s="3760"/>
      <c r="J30" s="3759"/>
      <c r="K30" s="3760"/>
      <c r="L30" s="2363"/>
      <c r="M30" s="3759"/>
      <c r="N30" s="3760"/>
      <c r="P30" s="3759">
        <v>4401518</v>
      </c>
      <c r="Q30" s="3760"/>
      <c r="S30" s="3759"/>
      <c r="T30" s="3760"/>
      <c r="V30" s="3822"/>
      <c r="W30" s="3823"/>
      <c r="X30" s="3824"/>
    </row>
    <row r="31" spans="2:24" s="293" customFormat="1" ht="12.6" customHeight="1">
      <c r="B31" s="293" t="s">
        <v>2688</v>
      </c>
      <c r="G31" s="3759"/>
      <c r="H31" s="3760"/>
      <c r="J31" s="3759"/>
      <c r="K31" s="3760"/>
      <c r="L31" s="2363"/>
      <c r="M31" s="3759"/>
      <c r="N31" s="3760"/>
      <c r="P31" s="3759"/>
      <c r="Q31" s="3760"/>
      <c r="S31" s="3759"/>
      <c r="T31" s="3760"/>
      <c r="V31" s="3822"/>
      <c r="W31" s="3823"/>
      <c r="X31" s="3824"/>
    </row>
    <row r="32" spans="2:24" ht="12.6" customHeight="1" thickBot="1">
      <c r="B32" s="293" t="s">
        <v>2687</v>
      </c>
      <c r="G32" s="3828"/>
      <c r="H32" s="3829"/>
      <c r="I32" s="293"/>
      <c r="J32" s="3828"/>
      <c r="K32" s="3829"/>
      <c r="L32" s="2363"/>
      <c r="M32" s="3828"/>
      <c r="N32" s="3829"/>
      <c r="O32" s="293"/>
      <c r="P32" s="3828"/>
      <c r="Q32" s="3829"/>
      <c r="R32" s="293"/>
      <c r="S32" s="3828"/>
      <c r="T32" s="3829"/>
      <c r="V32" s="3822"/>
      <c r="W32" s="3830"/>
      <c r="X32" s="3831"/>
    </row>
    <row r="33" spans="1:24" s="293" customFormat="1" ht="12.6" customHeight="1" thickTop="1">
      <c r="C33" s="2570"/>
      <c r="D33" s="2570"/>
      <c r="E33" s="2367"/>
      <c r="F33" s="344" t="s">
        <v>187</v>
      </c>
      <c r="G33" s="2565">
        <f>SUM(G29:H32)</f>
        <v>5105751</v>
      </c>
      <c r="H33" s="2566"/>
      <c r="J33" s="2565">
        <f>SUM(J29:K32)</f>
        <v>704233</v>
      </c>
      <c r="K33" s="2566"/>
      <c r="L33" s="2363"/>
      <c r="M33" s="2565">
        <f>SUM(M29:N32)</f>
        <v>0</v>
      </c>
      <c r="N33" s="2566"/>
      <c r="P33" s="2565">
        <f>SUM(P29:Q32)</f>
        <v>4401518</v>
      </c>
      <c r="Q33" s="2566"/>
      <c r="S33" s="2565">
        <f>SUM(S29:T32)</f>
        <v>0</v>
      </c>
      <c r="T33" s="2566"/>
      <c r="V33" s="3832">
        <f>SUM(V29:V32)</f>
        <v>0</v>
      </c>
      <c r="W33" s="3833"/>
      <c r="X33" s="3834"/>
    </row>
    <row r="34" spans="1:24" s="293" customFormat="1" ht="12" customHeight="1">
      <c r="B34" s="295" t="s">
        <v>2283</v>
      </c>
      <c r="D34" s="2569" t="s">
        <v>3547</v>
      </c>
      <c r="E34" s="2569"/>
      <c r="F34" s="933">
        <f>SUM(F35:F37)</f>
        <v>0.13897479149095682</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320130</v>
      </c>
      <c r="F35" s="934">
        <f>IF(($G$27+$G$33)=0,0,G35/($G$27+$G$33))</f>
        <v>5.9507075250679414E-2</v>
      </c>
      <c r="G35" s="3750">
        <v>317500</v>
      </c>
      <c r="H35" s="3751"/>
      <c r="I35" s="311"/>
      <c r="J35" s="3750">
        <v>38100</v>
      </c>
      <c r="K35" s="3751"/>
      <c r="L35" s="2363"/>
      <c r="M35" s="3750"/>
      <c r="N35" s="3751"/>
      <c r="P35" s="3750">
        <v>279400</v>
      </c>
      <c r="Q35" s="3751"/>
      <c r="S35" s="3750"/>
      <c r="T35" s="3751"/>
      <c r="V35" s="3822"/>
      <c r="W35" s="3823"/>
      <c r="X35" s="3824"/>
    </row>
    <row r="36" spans="1:24" s="293" customFormat="1" ht="12.6" customHeight="1">
      <c r="B36" s="293" t="s">
        <v>2650</v>
      </c>
      <c r="D36" s="936">
        <f>'DCA Underwriting Assumptions'!$R$78</f>
        <v>0.02</v>
      </c>
      <c r="E36" s="937">
        <f>D36*(G27+G33)</f>
        <v>106710</v>
      </c>
      <c r="F36" s="934">
        <f>IF(($G$27+$G$33)=0,0,G36/($G$27+$G$33))</f>
        <v>1.9960640989597975E-2</v>
      </c>
      <c r="G36" s="3759">
        <v>106500</v>
      </c>
      <c r="H36" s="3760"/>
      <c r="I36" s="311"/>
      <c r="J36" s="3750">
        <v>12780</v>
      </c>
      <c r="K36" s="3751"/>
      <c r="L36" s="2363"/>
      <c r="M36" s="3759"/>
      <c r="N36" s="3760"/>
      <c r="P36" s="3750">
        <v>93720</v>
      </c>
      <c r="Q36" s="3751"/>
      <c r="S36" s="3759"/>
      <c r="T36" s="3760"/>
      <c r="V36" s="3822"/>
      <c r="W36" s="3823"/>
      <c r="X36" s="3824"/>
    </row>
    <row r="37" spans="1:24" s="293" customFormat="1" ht="12.6" customHeight="1" thickBot="1">
      <c r="B37" s="293" t="s">
        <v>2651</v>
      </c>
      <c r="D37" s="940">
        <f>'DCA Underwriting Assumptions'!$R$79</f>
        <v>0.06</v>
      </c>
      <c r="E37" s="941">
        <f>D37*(G27+G33)</f>
        <v>320130</v>
      </c>
      <c r="F37" s="1144">
        <f>IF(($G$27+$G$33)=0,0,G37/($G$27+$G$33))</f>
        <v>5.9507075250679414E-2</v>
      </c>
      <c r="G37" s="3828">
        <v>317500</v>
      </c>
      <c r="H37" s="3829"/>
      <c r="I37" s="311"/>
      <c r="J37" s="3750">
        <v>38100</v>
      </c>
      <c r="K37" s="3751"/>
      <c r="L37" s="2363"/>
      <c r="M37" s="3828"/>
      <c r="N37" s="3829"/>
      <c r="P37" s="3750">
        <v>279400</v>
      </c>
      <c r="Q37" s="3751"/>
      <c r="S37" s="3828"/>
      <c r="T37" s="3829"/>
      <c r="V37" s="3822"/>
      <c r="W37" s="3830"/>
      <c r="X37" s="3831"/>
    </row>
    <row r="38" spans="1:24" s="293" customFormat="1" ht="12.6" customHeight="1" thickTop="1">
      <c r="B38" s="172" t="s">
        <v>3548</v>
      </c>
      <c r="D38" s="938">
        <f>SUM(D35:D37)</f>
        <v>0.14000000000000001</v>
      </c>
      <c r="E38" s="939">
        <f>SUM(E35:E37)</f>
        <v>746970</v>
      </c>
      <c r="F38" s="921" t="s">
        <v>187</v>
      </c>
      <c r="G38" s="2565">
        <f>SUM(G35:H37)</f>
        <v>741500</v>
      </c>
      <c r="H38" s="2566"/>
      <c r="J38" s="2565">
        <f>SUM(J35:K37)</f>
        <v>88980</v>
      </c>
      <c r="K38" s="2566"/>
      <c r="L38" s="346"/>
      <c r="M38" s="2565">
        <f>SUM(M35:N37)</f>
        <v>0</v>
      </c>
      <c r="N38" s="2566"/>
      <c r="P38" s="2565">
        <f>SUM(P35:Q37)</f>
        <v>652520</v>
      </c>
      <c r="Q38" s="2566"/>
      <c r="S38" s="2565">
        <f>SUM(S35:T37)</f>
        <v>0</v>
      </c>
      <c r="T38" s="2566"/>
      <c r="V38" s="3832">
        <f>SUM(V35:V37)</f>
        <v>0</v>
      </c>
      <c r="W38" s="3833"/>
      <c r="X38" s="383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5" t="s">
        <v>3531</v>
      </c>
      <c r="D41" s="3837"/>
      <c r="E41" s="3837"/>
      <c r="F41" s="3838"/>
      <c r="G41" s="3839"/>
      <c r="H41" s="3840"/>
      <c r="I41" s="293"/>
      <c r="J41" s="3839"/>
      <c r="K41" s="3840"/>
      <c r="L41" s="2363"/>
      <c r="M41" s="3839"/>
      <c r="N41" s="3840"/>
      <c r="O41" s="293"/>
      <c r="P41" s="3839"/>
      <c r="Q41" s="3840"/>
      <c r="R41" s="293"/>
      <c r="S41" s="3839"/>
      <c r="T41" s="3840"/>
      <c r="V41" s="3822"/>
      <c r="W41" s="3841"/>
      <c r="X41" s="384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3"/>
      <c r="X42" s="3844"/>
    </row>
    <row r="43" spans="1:24" s="293" customFormat="1" ht="12.6" customHeight="1">
      <c r="B43" s="495" t="s">
        <v>2659</v>
      </c>
      <c r="C43" s="496"/>
      <c r="E43" s="2575" t="s">
        <v>2658</v>
      </c>
      <c r="F43" s="2365">
        <f>B44/'Part VI-Revenues &amp; Expenses'!$P$65</f>
        <v>121540</v>
      </c>
      <c r="G43" s="2366" t="s">
        <v>2679</v>
      </c>
      <c r="H43" s="2349"/>
      <c r="I43" s="2349"/>
      <c r="J43" s="2577">
        <f>B44/'Part VI-Revenues &amp; Expenses'!$P$67</f>
        <v>121540</v>
      </c>
      <c r="K43" s="2577"/>
      <c r="L43" s="2349"/>
      <c r="M43" s="2578" t="s">
        <v>1375</v>
      </c>
      <c r="N43" s="2578"/>
      <c r="O43" s="2349"/>
      <c r="P43" s="2577">
        <f>B44/'Part I-Project Information'!$P$75</f>
        <v>149.51408537335465</v>
      </c>
      <c r="Q43" s="2577"/>
      <c r="R43" s="2349"/>
      <c r="S43" s="2579" t="s">
        <v>2686</v>
      </c>
      <c r="T43" s="2580"/>
      <c r="V43" s="1029"/>
      <c r="W43" s="3843"/>
      <c r="X43" s="3844"/>
    </row>
    <row r="44" spans="1:24" s="293" customFormat="1" ht="12.6" customHeight="1">
      <c r="B44" s="2571">
        <f>G27+G33+G38+G41</f>
        <v>6077000</v>
      </c>
      <c r="C44" s="2572"/>
      <c r="E44" s="2576"/>
      <c r="F44" s="2364">
        <f>B44/'Part VI-Revenues &amp; Expenses'!$P$168</f>
        <v>196.53945666235447</v>
      </c>
      <c r="G44" s="494" t="s">
        <v>2680</v>
      </c>
      <c r="H44" s="2359"/>
      <c r="I44" s="2359"/>
      <c r="J44" s="2573">
        <f>B44/'Part VI-Revenues &amp; Expenses'!$P$170</f>
        <v>196.53945666235447</v>
      </c>
      <c r="K44" s="2573"/>
      <c r="L44" s="2359"/>
      <c r="M44" s="2574" t="s">
        <v>2685</v>
      </c>
      <c r="N44" s="2574"/>
      <c r="O44" s="2359"/>
      <c r="P44" s="2359"/>
      <c r="Q44" s="2359"/>
      <c r="R44" s="2359"/>
      <c r="S44" s="2359"/>
      <c r="T44" s="336"/>
      <c r="V44" s="1029"/>
      <c r="W44" s="3845"/>
      <c r="X44" s="384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571238</v>
      </c>
      <c r="F47" s="348">
        <f>G47/B44</f>
        <v>9.3796281059733422E-2</v>
      </c>
      <c r="G47" s="3839">
        <v>570000</v>
      </c>
      <c r="H47" s="3840"/>
      <c r="I47" s="293"/>
      <c r="J47" s="3750">
        <v>68400</v>
      </c>
      <c r="K47" s="3751"/>
      <c r="L47" s="2363"/>
      <c r="M47" s="3839"/>
      <c r="N47" s="3840"/>
      <c r="O47" s="293"/>
      <c r="P47" s="3750">
        <v>501600</v>
      </c>
      <c r="Q47" s="3751"/>
      <c r="R47" s="293"/>
      <c r="S47" s="3839"/>
      <c r="T47" s="3840"/>
      <c r="V47" s="3822"/>
      <c r="W47" s="3823"/>
      <c r="X47" s="382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1"/>
      <c r="I49" s="2351"/>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50"/>
      <c r="H52" s="3751"/>
      <c r="J52" s="3750"/>
      <c r="K52" s="3751"/>
      <c r="L52" s="2363"/>
      <c r="M52" s="3750"/>
      <c r="N52" s="3751"/>
      <c r="P52" s="3750"/>
      <c r="Q52" s="3751"/>
      <c r="S52" s="3750"/>
      <c r="T52" s="3751"/>
      <c r="V52" s="3847"/>
      <c r="W52" s="3823"/>
      <c r="X52" s="3824"/>
    </row>
    <row r="53" spans="1:24" s="293" customFormat="1" ht="12" customHeight="1">
      <c r="B53" s="293" t="s">
        <v>3550</v>
      </c>
      <c r="G53" s="3759"/>
      <c r="H53" s="3760"/>
      <c r="J53" s="3759"/>
      <c r="K53" s="3760"/>
      <c r="L53" s="2363"/>
      <c r="M53" s="3759"/>
      <c r="N53" s="3760"/>
      <c r="P53" s="3759"/>
      <c r="Q53" s="3760"/>
      <c r="S53" s="3759"/>
      <c r="T53" s="3760"/>
      <c r="V53" s="3847"/>
      <c r="W53" s="3823"/>
      <c r="X53" s="3824"/>
    </row>
    <row r="54" spans="1:24" s="293" customFormat="1" ht="12" customHeight="1">
      <c r="B54" s="293" t="s">
        <v>2286</v>
      </c>
      <c r="G54" s="3759">
        <v>50000</v>
      </c>
      <c r="H54" s="3760"/>
      <c r="J54" s="3750">
        <v>6000</v>
      </c>
      <c r="K54" s="3751"/>
      <c r="L54" s="2363"/>
      <c r="M54" s="3759"/>
      <c r="N54" s="3760"/>
      <c r="P54" s="3750">
        <v>44000</v>
      </c>
      <c r="Q54" s="3751"/>
      <c r="S54" s="3759"/>
      <c r="T54" s="3760"/>
      <c r="V54" s="3847"/>
      <c r="W54" s="3823"/>
      <c r="X54" s="3824"/>
    </row>
    <row r="55" spans="1:24" s="293" customFormat="1" ht="12" customHeight="1">
      <c r="B55" s="293" t="s">
        <v>2287</v>
      </c>
      <c r="G55" s="3759">
        <v>150000</v>
      </c>
      <c r="H55" s="3760"/>
      <c r="J55" s="3750">
        <v>9000</v>
      </c>
      <c r="K55" s="3751"/>
      <c r="L55" s="2363"/>
      <c r="M55" s="3759"/>
      <c r="N55" s="3760"/>
      <c r="P55" s="3750">
        <v>66000</v>
      </c>
      <c r="Q55" s="3751"/>
      <c r="S55" s="3759">
        <f>G55-J55-P55</f>
        <v>75000</v>
      </c>
      <c r="T55" s="3760"/>
      <c r="V55" s="3847"/>
      <c r="W55" s="3823"/>
      <c r="X55" s="3824"/>
    </row>
    <row r="56" spans="1:24" s="293" customFormat="1" ht="12" customHeight="1">
      <c r="B56" s="293" t="s">
        <v>2288</v>
      </c>
      <c r="G56" s="3759">
        <v>25000</v>
      </c>
      <c r="H56" s="3760"/>
      <c r="J56" s="3750">
        <v>3000</v>
      </c>
      <c r="K56" s="3751"/>
      <c r="L56" s="2363"/>
      <c r="M56" s="3759"/>
      <c r="N56" s="3760"/>
      <c r="P56" s="3750">
        <v>22000</v>
      </c>
      <c r="Q56" s="3751"/>
      <c r="S56" s="3759"/>
      <c r="T56" s="3760"/>
      <c r="V56" s="3847"/>
      <c r="W56" s="3823"/>
      <c r="X56" s="3824"/>
    </row>
    <row r="57" spans="1:24" s="293" customFormat="1" ht="12" customHeight="1">
      <c r="B57" s="293" t="s">
        <v>2609</v>
      </c>
      <c r="G57" s="3759">
        <v>5000</v>
      </c>
      <c r="H57" s="3760"/>
      <c r="J57" s="3750">
        <v>600</v>
      </c>
      <c r="K57" s="3751"/>
      <c r="L57" s="2363"/>
      <c r="M57" s="3759"/>
      <c r="N57" s="3760"/>
      <c r="P57" s="3750">
        <v>4400</v>
      </c>
      <c r="Q57" s="3751"/>
      <c r="S57" s="3759"/>
      <c r="T57" s="3760"/>
      <c r="V57" s="3847"/>
      <c r="W57" s="3823"/>
      <c r="X57" s="3824"/>
    </row>
    <row r="58" spans="1:24" s="293" customFormat="1" ht="12" customHeight="1">
      <c r="B58" s="293" t="s">
        <v>705</v>
      </c>
      <c r="G58" s="3759"/>
      <c r="H58" s="3760"/>
      <c r="J58" s="3759"/>
      <c r="K58" s="3760"/>
      <c r="L58" s="2363"/>
      <c r="M58" s="3759"/>
      <c r="N58" s="3760"/>
      <c r="P58" s="3759"/>
      <c r="Q58" s="3760"/>
      <c r="S58" s="3759"/>
      <c r="T58" s="3760"/>
      <c r="V58" s="3847"/>
      <c r="W58" s="3823"/>
      <c r="X58" s="3824"/>
    </row>
    <row r="59" spans="1:24" s="293" customFormat="1" ht="12" customHeight="1">
      <c r="B59" s="293" t="s">
        <v>2289</v>
      </c>
      <c r="G59" s="3759">
        <v>25000</v>
      </c>
      <c r="H59" s="3760"/>
      <c r="J59" s="3750">
        <v>3000</v>
      </c>
      <c r="K59" s="3751"/>
      <c r="L59" s="2363"/>
      <c r="M59" s="3759"/>
      <c r="N59" s="3760"/>
      <c r="P59" s="3750">
        <v>22000</v>
      </c>
      <c r="Q59" s="3751"/>
      <c r="S59" s="3759"/>
      <c r="T59" s="3760"/>
      <c r="V59" s="3847"/>
      <c r="W59" s="3823"/>
      <c r="X59" s="3824"/>
    </row>
    <row r="60" spans="1:24" s="293" customFormat="1" ht="12" customHeight="1">
      <c r="B60" s="293" t="s">
        <v>1250</v>
      </c>
      <c r="G60" s="3759">
        <v>15000</v>
      </c>
      <c r="H60" s="3760"/>
      <c r="J60" s="3750">
        <v>1800</v>
      </c>
      <c r="K60" s="3751"/>
      <c r="L60" s="2363"/>
      <c r="M60" s="3759"/>
      <c r="N60" s="3760"/>
      <c r="P60" s="3750">
        <v>13200</v>
      </c>
      <c r="Q60" s="3751"/>
      <c r="S60" s="3759"/>
      <c r="T60" s="3760"/>
      <c r="V60" s="3847"/>
      <c r="W60" s="3823"/>
      <c r="X60" s="3824"/>
    </row>
    <row r="61" spans="1:24" s="293" customFormat="1" ht="12" customHeight="1">
      <c r="B61" s="350" t="s">
        <v>1131</v>
      </c>
      <c r="D61" s="348"/>
      <c r="E61" s="348"/>
      <c r="F61" s="349"/>
      <c r="G61" s="3759">
        <v>60000</v>
      </c>
      <c r="H61" s="3760"/>
      <c r="I61" s="311"/>
      <c r="J61" s="3750">
        <v>7200</v>
      </c>
      <c r="K61" s="3751"/>
      <c r="L61" s="2363"/>
      <c r="M61" s="3759"/>
      <c r="N61" s="3760"/>
      <c r="P61" s="3750">
        <v>52800</v>
      </c>
      <c r="Q61" s="3751"/>
      <c r="S61" s="3759"/>
      <c r="T61" s="3760"/>
      <c r="V61" s="3847"/>
      <c r="W61" s="3823"/>
      <c r="X61" s="3824"/>
    </row>
    <row r="62" spans="1:24" s="293" customFormat="1" ht="12" customHeight="1">
      <c r="A62" s="370" t="str">
        <f>IF(AND(G62&gt;0,OR(C62="",C62="&lt;Enter detailed description here; use Comments section if needed&gt;")),"X","")</f>
        <v/>
      </c>
      <c r="B62" s="293" t="s">
        <v>723</v>
      </c>
      <c r="C62" s="3848" t="s">
        <v>3531</v>
      </c>
      <c r="D62" s="3848"/>
      <c r="E62" s="3848"/>
      <c r="F62" s="3849"/>
      <c r="G62" s="3759"/>
      <c r="H62" s="3760"/>
      <c r="J62" s="3759"/>
      <c r="K62" s="3760"/>
      <c r="L62" s="2363"/>
      <c r="M62" s="3759"/>
      <c r="N62" s="3760"/>
      <c r="P62" s="3759"/>
      <c r="Q62" s="3760"/>
      <c r="S62" s="3759"/>
      <c r="T62" s="3760"/>
      <c r="U62" s="369" t="str">
        <f>IF(AND(G62&gt;0,OR(C62="",C62="&lt;Enter detailed description here; use Comments section if needed&gt;")),"NO DESCRIPTION PROVIDED - please enter detailed description in Other box at left; use Comments section below if needed.","")</f>
        <v/>
      </c>
      <c r="V62" s="3847"/>
      <c r="W62" s="3823"/>
      <c r="X62" s="3824"/>
    </row>
    <row r="63" spans="1:24" s="293" customFormat="1" ht="12" customHeight="1" thickBot="1">
      <c r="A63" s="370" t="str">
        <f>IF(AND(G63&gt;0,OR(C63="",C63="&lt;Enter detailed description here; use Comments section if needed&gt;")),"X","")</f>
        <v/>
      </c>
      <c r="B63" s="293" t="s">
        <v>723</v>
      </c>
      <c r="C63" s="3850" t="s">
        <v>3531</v>
      </c>
      <c r="D63" s="3850"/>
      <c r="E63" s="3850"/>
      <c r="F63" s="3851"/>
      <c r="G63" s="3768"/>
      <c r="H63" s="3769"/>
      <c r="J63" s="3768"/>
      <c r="K63" s="3769"/>
      <c r="L63" s="2363"/>
      <c r="M63" s="3768"/>
      <c r="N63" s="3769"/>
      <c r="P63" s="3768"/>
      <c r="Q63" s="3769"/>
      <c r="S63" s="3768"/>
      <c r="T63" s="3769"/>
      <c r="U63" s="369" t="str">
        <f>IF(AND(G63&gt;0,OR(C63="",C63="&lt;Enter detailed description here; use Comments section if needed&gt;")),"NO DESCRIPTION PROVIDED - please enter detailed description in Other box at left; use Comments section below if needed.","")</f>
        <v/>
      </c>
      <c r="V63" s="3847"/>
      <c r="W63" s="3830"/>
      <c r="X63" s="3831"/>
    </row>
    <row r="64" spans="1:24" s="293" customFormat="1" ht="12" customHeight="1" thickTop="1">
      <c r="F64" s="344" t="s">
        <v>187</v>
      </c>
      <c r="G64" s="2565">
        <f>SUM(G52:H63)</f>
        <v>330000</v>
      </c>
      <c r="H64" s="2566"/>
      <c r="J64" s="2565">
        <f>SUM(J52:K63)</f>
        <v>30600</v>
      </c>
      <c r="K64" s="2566"/>
      <c r="L64" s="346"/>
      <c r="M64" s="2565">
        <f>SUM(M52:N63)</f>
        <v>0</v>
      </c>
      <c r="N64" s="2566"/>
      <c r="P64" s="2565">
        <f>SUM(P52:Q63)</f>
        <v>224400</v>
      </c>
      <c r="Q64" s="2566"/>
      <c r="S64" s="2565">
        <f>SUM(S52:T63)</f>
        <v>75000</v>
      </c>
      <c r="T64" s="2566"/>
      <c r="V64" s="3852">
        <f>SUM(V52:V63)</f>
        <v>0</v>
      </c>
      <c r="W64" s="3833"/>
      <c r="X64" s="383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0">
        <v>165000</v>
      </c>
      <c r="H66" s="3751"/>
      <c r="J66" s="3750">
        <v>19800</v>
      </c>
      <c r="K66" s="3751"/>
      <c r="L66" s="2363"/>
      <c r="M66" s="3750"/>
      <c r="N66" s="3751"/>
      <c r="P66" s="3750">
        <v>145200</v>
      </c>
      <c r="Q66" s="3751"/>
      <c r="S66" s="3750"/>
      <c r="T66" s="3751"/>
      <c r="V66" s="3822"/>
      <c r="W66" s="3823"/>
      <c r="X66" s="3824"/>
    </row>
    <row r="67" spans="1:24" s="293" customFormat="1" ht="12" customHeight="1">
      <c r="B67" s="293" t="s">
        <v>469</v>
      </c>
      <c r="G67" s="3759">
        <v>50000</v>
      </c>
      <c r="H67" s="3760"/>
      <c r="J67" s="3750">
        <v>6000</v>
      </c>
      <c r="K67" s="3751"/>
      <c r="L67" s="2363"/>
      <c r="M67" s="3759"/>
      <c r="N67" s="3760"/>
      <c r="P67" s="3750">
        <v>44000</v>
      </c>
      <c r="Q67" s="3751"/>
      <c r="S67" s="3759"/>
      <c r="T67" s="3760"/>
      <c r="V67" s="3822"/>
      <c r="W67" s="3823"/>
      <c r="X67" s="3824"/>
    </row>
    <row r="68" spans="1:24" s="293" customFormat="1" ht="12" customHeight="1">
      <c r="B68" s="293" t="s">
        <v>1105</v>
      </c>
      <c r="D68" s="305" t="s">
        <v>3632</v>
      </c>
      <c r="E68" s="1021">
        <f>'DCA Underwriting Assumptions'!R80</f>
        <v>20000</v>
      </c>
      <c r="F68" s="1022" t="str">
        <f>IF(G68&gt;E68,"CHECK!!!","")</f>
        <v/>
      </c>
      <c r="G68" s="3759">
        <v>20000</v>
      </c>
      <c r="H68" s="3760"/>
      <c r="J68" s="3750">
        <v>2400</v>
      </c>
      <c r="K68" s="3751"/>
      <c r="L68" s="2363"/>
      <c r="M68" s="3759"/>
      <c r="N68" s="3760"/>
      <c r="P68" s="3750">
        <v>17600</v>
      </c>
      <c r="Q68" s="3751"/>
      <c r="S68" s="3759"/>
      <c r="T68" s="3760"/>
      <c r="V68" s="3822"/>
      <c r="W68" s="3823"/>
      <c r="X68" s="3824"/>
    </row>
    <row r="69" spans="1:24" s="293" customFormat="1" ht="12" customHeight="1">
      <c r="B69" s="293" t="s">
        <v>1106</v>
      </c>
      <c r="G69" s="3759">
        <v>10000</v>
      </c>
      <c r="H69" s="3760"/>
      <c r="J69" s="3750">
        <v>1200</v>
      </c>
      <c r="K69" s="3751"/>
      <c r="L69" s="2363"/>
      <c r="M69" s="3759"/>
      <c r="N69" s="3760"/>
      <c r="P69" s="3750">
        <v>8800</v>
      </c>
      <c r="Q69" s="3751"/>
      <c r="S69" s="3759"/>
      <c r="T69" s="3760"/>
      <c r="V69" s="3822"/>
      <c r="W69" s="3823"/>
      <c r="X69" s="3824"/>
    </row>
    <row r="70" spans="1:24" s="293" customFormat="1" ht="12" customHeight="1">
      <c r="B70" s="293" t="s">
        <v>1107</v>
      </c>
      <c r="G70" s="3759">
        <v>5000</v>
      </c>
      <c r="H70" s="3760"/>
      <c r="J70" s="3750">
        <v>600</v>
      </c>
      <c r="K70" s="3751"/>
      <c r="L70" s="2363"/>
      <c r="M70" s="3759"/>
      <c r="N70" s="3760"/>
      <c r="P70" s="3750">
        <v>4400</v>
      </c>
      <c r="Q70" s="3751"/>
      <c r="S70" s="3759"/>
      <c r="T70" s="3760"/>
      <c r="V70" s="3822"/>
      <c r="W70" s="3823"/>
      <c r="X70" s="3824"/>
    </row>
    <row r="71" spans="1:24" s="293" customFormat="1" ht="12" customHeight="1">
      <c r="B71" s="293" t="s">
        <v>1108</v>
      </c>
      <c r="G71" s="3759"/>
      <c r="H71" s="3760"/>
      <c r="J71" s="3759"/>
      <c r="K71" s="3760"/>
      <c r="L71" s="2363"/>
      <c r="M71" s="3759"/>
      <c r="N71" s="3760"/>
      <c r="P71" s="3759"/>
      <c r="Q71" s="3760"/>
      <c r="S71" s="3759"/>
      <c r="T71" s="3760"/>
      <c r="V71" s="3822"/>
      <c r="W71" s="3823"/>
      <c r="X71" s="3824"/>
    </row>
    <row r="72" spans="1:24" s="293" customFormat="1" ht="12" customHeight="1">
      <c r="B72" s="293" t="s">
        <v>470</v>
      </c>
      <c r="G72" s="3759">
        <v>25000</v>
      </c>
      <c r="H72" s="3760"/>
      <c r="J72" s="3750">
        <v>3000</v>
      </c>
      <c r="K72" s="3751"/>
      <c r="L72" s="2363"/>
      <c r="M72" s="3759"/>
      <c r="N72" s="3760"/>
      <c r="P72" s="3750">
        <v>22000</v>
      </c>
      <c r="Q72" s="3751"/>
      <c r="S72" s="3759"/>
      <c r="T72" s="3760"/>
      <c r="V72" s="3822"/>
      <c r="W72" s="3823"/>
      <c r="X72" s="3824"/>
    </row>
    <row r="73" spans="1:24" s="293" customFormat="1" ht="12" customHeight="1">
      <c r="B73" s="293" t="s">
        <v>471</v>
      </c>
      <c r="G73" s="3759">
        <v>70000</v>
      </c>
      <c r="H73" s="3760"/>
      <c r="J73" s="3750">
        <v>8400</v>
      </c>
      <c r="K73" s="3751"/>
      <c r="L73" s="2363"/>
      <c r="M73" s="3759"/>
      <c r="N73" s="3760"/>
      <c r="P73" s="3750">
        <v>61600</v>
      </c>
      <c r="Q73" s="3751"/>
      <c r="S73" s="3759"/>
      <c r="T73" s="3760"/>
      <c r="V73" s="3822"/>
      <c r="W73" s="3823"/>
      <c r="X73" s="3824"/>
    </row>
    <row r="74" spans="1:24" s="293" customFormat="1" ht="12" customHeight="1">
      <c r="B74" s="293" t="s">
        <v>2000</v>
      </c>
      <c r="G74" s="3759">
        <v>35000</v>
      </c>
      <c r="H74" s="3760"/>
      <c r="J74" s="3750">
        <v>4200</v>
      </c>
      <c r="K74" s="3751"/>
      <c r="L74" s="2363"/>
      <c r="M74" s="3759"/>
      <c r="N74" s="3760"/>
      <c r="P74" s="3750">
        <v>30800</v>
      </c>
      <c r="Q74" s="3751"/>
      <c r="S74" s="3759"/>
      <c r="T74" s="3760"/>
      <c r="V74" s="3822"/>
      <c r="W74" s="3823"/>
      <c r="X74" s="3824"/>
    </row>
    <row r="75" spans="1:24" s="293" customFormat="1" ht="12" customHeight="1">
      <c r="B75" s="293" t="s">
        <v>1251</v>
      </c>
      <c r="G75" s="3759">
        <v>2500</v>
      </c>
      <c r="H75" s="3760"/>
      <c r="J75" s="3750">
        <v>300</v>
      </c>
      <c r="K75" s="3751"/>
      <c r="L75" s="2363"/>
      <c r="M75" s="3759"/>
      <c r="N75" s="3760"/>
      <c r="P75" s="3750">
        <v>2200</v>
      </c>
      <c r="Q75" s="3751"/>
      <c r="S75" s="3759"/>
      <c r="T75" s="3760"/>
      <c r="V75" s="3822"/>
      <c r="W75" s="3823"/>
      <c r="X75" s="3824"/>
    </row>
    <row r="76" spans="1:24" s="293" customFormat="1" ht="12" customHeight="1" thickBot="1">
      <c r="A76" s="370" t="str">
        <f>IF(AND(G76&gt;0,OR(C76="",C76="&lt;Enter detailed description here; use Comments section if needed&gt;")),"X","")</f>
        <v/>
      </c>
      <c r="B76" s="293" t="s">
        <v>723</v>
      </c>
      <c r="C76" s="3825" t="s">
        <v>3531</v>
      </c>
      <c r="D76" s="3825"/>
      <c r="E76" s="3825"/>
      <c r="F76" s="3826"/>
      <c r="G76" s="3768"/>
      <c r="H76" s="3769"/>
      <c r="J76" s="3768"/>
      <c r="K76" s="3769"/>
      <c r="L76" s="2363"/>
      <c r="M76" s="3768"/>
      <c r="N76" s="3769"/>
      <c r="P76" s="3768"/>
      <c r="Q76" s="3769"/>
      <c r="S76" s="3768"/>
      <c r="T76" s="3769"/>
      <c r="U76" s="369" t="str">
        <f>IF(AND(G76&gt;0,OR(C76="",C76="&lt;Enter detailed description here; use Comments section if needed&gt;")),"NO DESCRIPTION PROVIDED - please enter detailed description in Other box at left; use Comments section below if needed.","")</f>
        <v/>
      </c>
      <c r="V76" s="3822"/>
      <c r="W76" s="3830"/>
      <c r="X76" s="3831"/>
    </row>
    <row r="77" spans="1:24" s="293" customFormat="1" ht="12" customHeight="1" thickTop="1">
      <c r="F77" s="344" t="s">
        <v>187</v>
      </c>
      <c r="G77" s="2565">
        <f>SUM(G66:H76)</f>
        <v>382500</v>
      </c>
      <c r="H77" s="2566"/>
      <c r="J77" s="2565">
        <f>SUM(J66:K76)</f>
        <v>45900</v>
      </c>
      <c r="K77" s="2566"/>
      <c r="L77" s="346"/>
      <c r="M77" s="2565">
        <f>SUM(M66:N76)</f>
        <v>0</v>
      </c>
      <c r="N77" s="2566"/>
      <c r="P77" s="2565">
        <f>SUM(P66:Q76)</f>
        <v>336600</v>
      </c>
      <c r="Q77" s="2566"/>
      <c r="S77" s="2565">
        <f>SUM(S66:T76)</f>
        <v>0</v>
      </c>
      <c r="T77" s="2566"/>
      <c r="V77" s="3832">
        <f>SUM(V66:V76)</f>
        <v>0</v>
      </c>
      <c r="W77" s="3833"/>
      <c r="X77" s="3834"/>
    </row>
    <row r="78" spans="1:24" ht="12" customHeight="1">
      <c r="A78" s="293"/>
      <c r="B78" s="295" t="s">
        <v>1243</v>
      </c>
      <c r="C78" s="293"/>
      <c r="D78" s="866" t="s">
        <v>3551</v>
      </c>
      <c r="E78" s="943">
        <f>G83/'Part VI-Revenues &amp; Expenses'!$P$67</f>
        <v>0</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0">
        <v>0</v>
      </c>
      <c r="H79" s="3751"/>
      <c r="J79" s="3750"/>
      <c r="K79" s="3751"/>
      <c r="L79" s="2363"/>
      <c r="M79" s="3750"/>
      <c r="N79" s="3751"/>
      <c r="P79" s="3750"/>
      <c r="Q79" s="3751"/>
      <c r="S79" s="3750"/>
      <c r="T79" s="3751"/>
      <c r="V79" s="3822"/>
      <c r="W79" s="3823"/>
      <c r="X79" s="3824"/>
    </row>
    <row r="80" spans="1:24" s="293" customFormat="1" ht="12" customHeight="1">
      <c r="B80" s="293" t="s">
        <v>1245</v>
      </c>
      <c r="G80" s="3759">
        <v>0</v>
      </c>
      <c r="H80" s="3760"/>
      <c r="J80" s="3759"/>
      <c r="K80" s="3760"/>
      <c r="L80" s="2363"/>
      <c r="M80" s="3759"/>
      <c r="N80" s="3760"/>
      <c r="P80" s="3759"/>
      <c r="Q80" s="3760"/>
      <c r="S80" s="3759"/>
      <c r="T80" s="3760"/>
      <c r="V80" s="3822"/>
      <c r="W80" s="3823"/>
      <c r="X80" s="3824"/>
    </row>
    <row r="81" spans="1:24" s="293" customFormat="1" ht="12" customHeight="1">
      <c r="B81" s="293" t="s">
        <v>1246</v>
      </c>
      <c r="D81" s="352" t="s">
        <v>1376</v>
      </c>
      <c r="E81" s="3853" t="s">
        <v>2885</v>
      </c>
      <c r="G81" s="3759"/>
      <c r="H81" s="3760"/>
      <c r="I81" s="311"/>
      <c r="J81" s="3759"/>
      <c r="K81" s="3760"/>
      <c r="L81" s="2363"/>
      <c r="M81" s="3759"/>
      <c r="N81" s="3760"/>
      <c r="P81" s="3759"/>
      <c r="Q81" s="3760"/>
      <c r="S81" s="3759"/>
      <c r="T81" s="3760"/>
      <c r="V81" s="3822"/>
      <c r="W81" s="3823"/>
      <c r="X81" s="3824"/>
    </row>
    <row r="82" spans="1:24" s="293" customFormat="1" ht="12" customHeight="1" thickBot="1">
      <c r="B82" s="293" t="s">
        <v>1247</v>
      </c>
      <c r="D82" s="352" t="s">
        <v>1376</v>
      </c>
      <c r="E82" s="3854" t="s">
        <v>2885</v>
      </c>
      <c r="G82" s="3768"/>
      <c r="H82" s="3769"/>
      <c r="I82" s="311"/>
      <c r="J82" s="3768"/>
      <c r="K82" s="3769"/>
      <c r="L82" s="2363"/>
      <c r="M82" s="3768"/>
      <c r="N82" s="3769"/>
      <c r="P82" s="3768"/>
      <c r="Q82" s="3769"/>
      <c r="S82" s="3768"/>
      <c r="T82" s="3769"/>
      <c r="V82" s="3822"/>
      <c r="W82" s="3830"/>
      <c r="X82" s="3831"/>
    </row>
    <row r="83" spans="1:24" s="293" customFormat="1" ht="12" customHeight="1" thickTop="1">
      <c r="F83" s="344" t="s">
        <v>187</v>
      </c>
      <c r="G83" s="2565">
        <f>SUM(G79:H82)</f>
        <v>0</v>
      </c>
      <c r="H83" s="2566"/>
      <c r="J83" s="2565">
        <f>SUM(J79:K82)</f>
        <v>0</v>
      </c>
      <c r="K83" s="2566"/>
      <c r="L83" s="346"/>
      <c r="M83" s="2565">
        <f>SUM(M79:N82)</f>
        <v>0</v>
      </c>
      <c r="N83" s="2566"/>
      <c r="P83" s="2565">
        <f>SUM(P79:Q82)</f>
        <v>0</v>
      </c>
      <c r="Q83" s="2566"/>
      <c r="S83" s="2565">
        <f>SUM(S79:T82)</f>
        <v>0</v>
      </c>
      <c r="T83" s="2566"/>
      <c r="V83" s="3832">
        <f>SUM(V79:V82)</f>
        <v>0</v>
      </c>
      <c r="W83" s="3833"/>
      <c r="X83" s="3834"/>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0"/>
      <c r="H85" s="3751"/>
      <c r="J85" s="2581"/>
      <c r="K85" s="2581"/>
      <c r="L85" s="2363"/>
      <c r="M85" s="2581"/>
      <c r="N85" s="2581"/>
      <c r="P85" s="2581"/>
      <c r="Q85" s="2581"/>
      <c r="S85" s="3750"/>
      <c r="T85" s="3751"/>
      <c r="V85" s="3822"/>
      <c r="W85" s="3823"/>
      <c r="X85" s="3824"/>
    </row>
    <row r="86" spans="1:24" s="293" customFormat="1" ht="12" customHeight="1">
      <c r="B86" s="293" t="s">
        <v>1249</v>
      </c>
      <c r="G86" s="3759"/>
      <c r="H86" s="3760"/>
      <c r="J86" s="2581"/>
      <c r="K86" s="2581"/>
      <c r="L86" s="2363"/>
      <c r="M86" s="2581"/>
      <c r="N86" s="2581"/>
      <c r="P86" s="2581"/>
      <c r="Q86" s="2581"/>
      <c r="S86" s="3759"/>
      <c r="T86" s="3760"/>
      <c r="V86" s="3822"/>
      <c r="W86" s="3823"/>
      <c r="X86" s="3824"/>
    </row>
    <row r="87" spans="1:24" s="293" customFormat="1" ht="12" customHeight="1">
      <c r="B87" s="293" t="s">
        <v>1250</v>
      </c>
      <c r="G87" s="3759">
        <v>10000</v>
      </c>
      <c r="H87" s="3760"/>
      <c r="J87" s="2581"/>
      <c r="K87" s="2581"/>
      <c r="L87" s="2363"/>
      <c r="M87" s="2581"/>
      <c r="N87" s="2581"/>
      <c r="P87" s="2581"/>
      <c r="Q87" s="2581"/>
      <c r="S87" s="3759">
        <v>10000</v>
      </c>
      <c r="T87" s="3760"/>
      <c r="V87" s="3822"/>
      <c r="W87" s="3823"/>
      <c r="X87" s="3824"/>
    </row>
    <row r="88" spans="1:24" s="293" customFormat="1" ht="12" customHeight="1">
      <c r="B88" s="293" t="s">
        <v>1252</v>
      </c>
      <c r="G88" s="3759"/>
      <c r="H88" s="3760"/>
      <c r="J88" s="2581"/>
      <c r="K88" s="2581"/>
      <c r="L88" s="2363"/>
      <c r="M88" s="2581"/>
      <c r="N88" s="2581"/>
      <c r="P88" s="2581"/>
      <c r="Q88" s="2581"/>
      <c r="S88" s="3759"/>
      <c r="T88" s="3760"/>
      <c r="V88" s="3822"/>
      <c r="W88" s="3823"/>
      <c r="X88" s="3824"/>
    </row>
    <row r="89" spans="1:24" s="293" customFormat="1" ht="12" customHeight="1">
      <c r="B89" s="293" t="s">
        <v>2239</v>
      </c>
      <c r="G89" s="3759"/>
      <c r="H89" s="3760"/>
      <c r="J89" s="2581"/>
      <c r="K89" s="2581"/>
      <c r="L89" s="2363"/>
      <c r="M89" s="2581"/>
      <c r="N89" s="2581"/>
      <c r="P89" s="2581"/>
      <c r="Q89" s="2581"/>
      <c r="S89" s="3759"/>
      <c r="T89" s="3760"/>
      <c r="V89" s="3822"/>
      <c r="W89" s="3823"/>
      <c r="X89" s="3824"/>
    </row>
    <row r="90" spans="1:24" s="293" customFormat="1" ht="12" customHeight="1" thickBot="1">
      <c r="A90" s="370" t="str">
        <f>IF(AND(G90&gt;0,OR(C90="",C90="&lt;Enter detailed description here; use Comments section if needed&gt;")),"X","")</f>
        <v/>
      </c>
      <c r="B90" s="293" t="s">
        <v>723</v>
      </c>
      <c r="C90" s="3825" t="s">
        <v>3531</v>
      </c>
      <c r="D90" s="3825"/>
      <c r="E90" s="3825"/>
      <c r="F90" s="3826"/>
      <c r="G90" s="3768"/>
      <c r="H90" s="3769"/>
      <c r="J90" s="2581"/>
      <c r="K90" s="2581"/>
      <c r="L90" s="2363"/>
      <c r="M90" s="2581"/>
      <c r="N90" s="2581"/>
      <c r="P90" s="2581"/>
      <c r="Q90" s="2581"/>
      <c r="S90" s="3768"/>
      <c r="T90" s="3769"/>
      <c r="U90" s="369" t="str">
        <f>IF(AND(G90&gt;0,OR(C90="",C90="&lt;Enter detailed description here; use Comments section if needed&gt;")),"NO DESCRIPTION PROVIDED - please enter detailed description in Other box at left; use Comments section below if needed.","")</f>
        <v/>
      </c>
      <c r="V90" s="3822"/>
      <c r="W90" s="3830"/>
      <c r="X90" s="3831"/>
    </row>
    <row r="91" spans="1:24" s="293" customFormat="1" ht="12" customHeight="1" thickTop="1">
      <c r="F91" s="344" t="s">
        <v>187</v>
      </c>
      <c r="G91" s="2565">
        <f>SUM(G85:H90)</f>
        <v>10000</v>
      </c>
      <c r="H91" s="2566"/>
      <c r="J91" s="2581"/>
      <c r="K91" s="2581"/>
      <c r="L91" s="346"/>
      <c r="M91" s="2581"/>
      <c r="N91" s="2581"/>
      <c r="P91" s="2581"/>
      <c r="Q91" s="2581"/>
      <c r="S91" s="2565">
        <f>SUM(S85:T90)</f>
        <v>10000</v>
      </c>
      <c r="T91" s="2566"/>
      <c r="V91" s="3832">
        <f>SUM(V85:V90)</f>
        <v>0</v>
      </c>
      <c r="W91" s="3833"/>
      <c r="X91" s="383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1"/>
      <c r="I93" s="2351"/>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0">
        <v>1000</v>
      </c>
      <c r="H96" s="3751"/>
      <c r="J96" s="346"/>
      <c r="K96" s="346"/>
      <c r="L96" s="2363"/>
      <c r="M96" s="346"/>
      <c r="N96" s="346"/>
      <c r="P96" s="346"/>
      <c r="Q96" s="346"/>
      <c r="S96" s="3750">
        <v>1000</v>
      </c>
      <c r="T96" s="3751"/>
      <c r="V96" s="3822"/>
      <c r="W96" s="3823"/>
      <c r="X96" s="382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9">
        <v>6500</v>
      </c>
      <c r="H97" s="3760"/>
      <c r="J97" s="346"/>
      <c r="K97" s="346"/>
      <c r="L97" s="353"/>
      <c r="M97" s="346"/>
      <c r="N97" s="346"/>
      <c r="P97" s="346"/>
      <c r="Q97" s="346"/>
      <c r="S97" s="3759">
        <v>6500</v>
      </c>
      <c r="T97" s="3760"/>
      <c r="V97" s="3822"/>
      <c r="W97" s="3823"/>
      <c r="X97" s="3824"/>
    </row>
    <row r="98" spans="1:37" s="293" customFormat="1" ht="12.6" customHeight="1">
      <c r="B98" s="293" t="s">
        <v>3701</v>
      </c>
      <c r="G98" s="3759"/>
      <c r="H98" s="3760"/>
      <c r="J98" s="346"/>
      <c r="K98" s="346"/>
      <c r="L98" s="353"/>
      <c r="M98" s="346"/>
      <c r="N98" s="346"/>
      <c r="O98" s="2351"/>
      <c r="P98" s="346"/>
      <c r="Q98" s="346"/>
      <c r="S98" s="3759"/>
      <c r="T98" s="3760"/>
      <c r="V98" s="3822"/>
      <c r="W98" s="3823"/>
      <c r="X98" s="3824"/>
    </row>
    <row r="99" spans="1:37" s="293" customFormat="1" ht="12.6" customHeight="1">
      <c r="B99" s="293" t="s">
        <v>505</v>
      </c>
      <c r="E99" s="2582">
        <f>ROUNDUP('DCA Underwriting Assumptions'!$Q$92*J184,0)</f>
        <v>50000</v>
      </c>
      <c r="F99" s="2583"/>
      <c r="G99" s="3759">
        <v>50000</v>
      </c>
      <c r="H99" s="3760"/>
      <c r="J99" s="944" t="str">
        <f>IF(E99&gt;G99,"WARNING!  LIHTC Allocation Fee proposed is below minimum required.","")</f>
        <v/>
      </c>
      <c r="K99" s="346"/>
      <c r="L99" s="2363"/>
      <c r="M99" s="346"/>
      <c r="N99" s="346"/>
      <c r="O99" s="2351"/>
      <c r="P99" s="346"/>
      <c r="Q99" s="346"/>
      <c r="S99" s="3759">
        <v>50000</v>
      </c>
      <c r="T99" s="3760"/>
      <c r="V99" s="3822"/>
      <c r="W99" s="3823"/>
      <c r="X99" s="3824"/>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50000</v>
      </c>
      <c r="F100" s="2583"/>
      <c r="G100" s="3759">
        <v>50000</v>
      </c>
      <c r="H100" s="3760"/>
      <c r="J100" s="944" t="str">
        <f>IF(E100&gt;G100,"WARNING!  LIHTC Compliance Fee proposed is below minimum required.","")</f>
        <v/>
      </c>
      <c r="K100" s="270"/>
      <c r="L100" s="270"/>
      <c r="M100" s="270"/>
      <c r="N100" s="270"/>
      <c r="O100" s="270"/>
      <c r="P100" s="270"/>
      <c r="Q100" s="270"/>
      <c r="S100" s="3759">
        <v>50000</v>
      </c>
      <c r="T100" s="3760"/>
      <c r="V100" s="3822"/>
      <c r="W100" s="3823"/>
      <c r="X100" s="3824"/>
    </row>
    <row r="101" spans="1:37" s="293" customFormat="1" ht="12.6" customHeight="1">
      <c r="B101" s="293" t="s">
        <v>3879</v>
      </c>
      <c r="F101" s="1164">
        <f>ROUNDUP('DCA Underwriting Assumptions'!$Q$94,0)</f>
        <v>3000</v>
      </c>
      <c r="G101" s="3759"/>
      <c r="H101" s="3760"/>
      <c r="J101" s="270"/>
      <c r="K101" s="270"/>
      <c r="L101" s="270"/>
      <c r="M101" s="270"/>
      <c r="N101" s="270"/>
      <c r="O101" s="270"/>
      <c r="P101" s="270"/>
      <c r="Q101" s="270"/>
      <c r="S101" s="3759"/>
      <c r="T101" s="3760"/>
      <c r="V101" s="3822"/>
      <c r="W101" s="3823"/>
      <c r="X101" s="3824"/>
    </row>
    <row r="102" spans="1:37" s="293" customFormat="1" ht="12.6" customHeight="1">
      <c r="B102" s="293" t="s">
        <v>3880</v>
      </c>
      <c r="F102" s="1164">
        <f>ROUNDUP('DCA Underwriting Assumptions'!$Q$128,0)</f>
        <v>3000</v>
      </c>
      <c r="G102" s="3759">
        <v>3000</v>
      </c>
      <c r="H102" s="3760"/>
      <c r="J102" s="270"/>
      <c r="K102" s="270"/>
      <c r="L102" s="270"/>
      <c r="M102" s="270"/>
      <c r="N102" s="270"/>
      <c r="O102" s="270"/>
      <c r="P102" s="270"/>
      <c r="Q102" s="270"/>
      <c r="S102" s="3759">
        <v>3000</v>
      </c>
      <c r="T102" s="3760"/>
      <c r="V102" s="3822"/>
      <c r="W102" s="3823"/>
      <c r="X102" s="3824"/>
    </row>
    <row r="103" spans="1:37" s="293" customFormat="1" ht="12.6" customHeight="1">
      <c r="A103" s="370" t="str">
        <f>IF(AND(G103&gt;0,OR(C103="",C103="&lt;Enter detailed description here; use Comments section if needed&gt;")),"X","")</f>
        <v/>
      </c>
      <c r="B103" s="293" t="s">
        <v>723</v>
      </c>
      <c r="C103" s="3848" t="s">
        <v>3531</v>
      </c>
      <c r="D103" s="3848"/>
      <c r="E103" s="3848"/>
      <c r="F103" s="3849"/>
      <c r="G103" s="3759"/>
      <c r="H103" s="3760"/>
      <c r="J103" s="270"/>
      <c r="K103" s="270"/>
      <c r="L103" s="270"/>
      <c r="M103" s="270"/>
      <c r="N103" s="270"/>
      <c r="O103" s="270"/>
      <c r="P103" s="270"/>
      <c r="Q103" s="270"/>
      <c r="S103" s="3759"/>
      <c r="T103" s="3760"/>
      <c r="U103" s="369" t="str">
        <f>IF(AND(G103&gt;0,OR(C103="",C103="&lt;Enter detailed description here; use Comments section if needed&gt;")),"NO DESCRIPTION PROVIDED - please enter detailed description in Other box at left; use Comments section below if needed.","")</f>
        <v/>
      </c>
      <c r="V103" s="3822"/>
      <c r="W103" s="3823"/>
      <c r="X103" s="3824"/>
    </row>
    <row r="104" spans="1:37" s="293" customFormat="1" ht="12.6" customHeight="1" thickBot="1">
      <c r="A104" s="370" t="str">
        <f>IF(AND(G104&gt;0,OR(C104="",C104="&lt;Enter detailed description here; use Comments section if needed&gt;")),"X","")</f>
        <v/>
      </c>
      <c r="B104" s="293" t="s">
        <v>723</v>
      </c>
      <c r="C104" s="3850" t="s">
        <v>3531</v>
      </c>
      <c r="D104" s="3850"/>
      <c r="E104" s="3850"/>
      <c r="F104" s="3851"/>
      <c r="G104" s="3768"/>
      <c r="H104" s="3769"/>
      <c r="J104" s="270"/>
      <c r="K104" s="270"/>
      <c r="L104" s="270"/>
      <c r="M104" s="270"/>
      <c r="N104" s="270"/>
      <c r="O104" s="270"/>
      <c r="P104" s="270"/>
      <c r="Q104" s="270"/>
      <c r="S104" s="3768"/>
      <c r="T104" s="3769"/>
      <c r="U104" s="369" t="str">
        <f>IF(AND(G104&gt;0,OR(C104="",C104="&lt;Enter detailed description here; use Comments section if needed&gt;")),"NO DESCRIPTION PROVIDED - please enter detailed description in Other box at left; use Comments section below if needed.","")</f>
        <v/>
      </c>
      <c r="V104" s="3822"/>
      <c r="W104" s="3830"/>
      <c r="X104" s="3831"/>
    </row>
    <row r="105" spans="1:37" s="293" customFormat="1" ht="12.6" customHeight="1" thickTop="1">
      <c r="F105" s="344" t="s">
        <v>187</v>
      </c>
      <c r="G105" s="2565">
        <f>SUM(G96:H104)</f>
        <v>110500</v>
      </c>
      <c r="H105" s="2566"/>
      <c r="J105" s="346"/>
      <c r="K105" s="346"/>
      <c r="L105" s="2363"/>
      <c r="M105" s="346"/>
      <c r="N105" s="346"/>
      <c r="P105" s="346"/>
      <c r="Q105" s="346"/>
      <c r="S105" s="2565">
        <f>SUM(S96:T104)</f>
        <v>110500</v>
      </c>
      <c r="T105" s="2566"/>
      <c r="V105" s="3832">
        <f>SUM(V96:V104)</f>
        <v>0</v>
      </c>
      <c r="W105" s="3855"/>
      <c r="X105" s="3856"/>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0">
        <v>2500</v>
      </c>
      <c r="H107" s="3751"/>
      <c r="J107" s="2581"/>
      <c r="K107" s="2581"/>
      <c r="L107" s="2363"/>
      <c r="M107" s="2581"/>
      <c r="N107" s="2581"/>
      <c r="O107" s="2351"/>
      <c r="P107" s="2581"/>
      <c r="Q107" s="2581"/>
      <c r="S107" s="3750">
        <v>2500</v>
      </c>
      <c r="T107" s="3751"/>
      <c r="V107" s="3822"/>
      <c r="W107" s="3823"/>
      <c r="X107" s="3824"/>
    </row>
    <row r="108" spans="1:37" s="293" customFormat="1" ht="12.6" customHeight="1">
      <c r="B108" s="293" t="s">
        <v>275</v>
      </c>
      <c r="G108" s="3759"/>
      <c r="H108" s="3760"/>
      <c r="J108" s="2581"/>
      <c r="K108" s="2581"/>
      <c r="L108" s="2363"/>
      <c r="M108" s="2581"/>
      <c r="N108" s="2581"/>
      <c r="O108" s="2351"/>
      <c r="P108" s="2581"/>
      <c r="Q108" s="2581"/>
      <c r="S108" s="3759"/>
      <c r="T108" s="3760"/>
      <c r="V108" s="3822"/>
      <c r="W108" s="3823"/>
      <c r="X108" s="3824"/>
    </row>
    <row r="109" spans="1:37" s="293" customFormat="1" ht="12.6" customHeight="1">
      <c r="B109" s="293" t="s">
        <v>2323</v>
      </c>
      <c r="G109" s="3759"/>
      <c r="H109" s="3760"/>
      <c r="J109" s="2581"/>
      <c r="K109" s="2581"/>
      <c r="L109" s="2363"/>
      <c r="M109" s="2581"/>
      <c r="N109" s="2581"/>
      <c r="O109" s="2351"/>
      <c r="P109" s="2581"/>
      <c r="Q109" s="2581"/>
      <c r="S109" s="3759"/>
      <c r="T109" s="3760"/>
      <c r="V109" s="3822"/>
      <c r="W109" s="3823"/>
      <c r="X109" s="3824"/>
    </row>
    <row r="110" spans="1:37" s="293" customFormat="1" ht="12.6" customHeight="1" thickBot="1">
      <c r="A110" s="370" t="str">
        <f>IF(AND(G110&gt;0,OR(C110="",C110="&lt;Enter detailed description here; use Comments section if needed&gt;")),"X","")</f>
        <v/>
      </c>
      <c r="B110" s="293" t="s">
        <v>723</v>
      </c>
      <c r="C110" s="3825" t="s">
        <v>3531</v>
      </c>
      <c r="D110" s="3825"/>
      <c r="E110" s="3825"/>
      <c r="F110" s="3826"/>
      <c r="G110" s="3768"/>
      <c r="H110" s="3769"/>
      <c r="J110" s="2581"/>
      <c r="K110" s="2581"/>
      <c r="L110" s="2363"/>
      <c r="M110" s="2581"/>
      <c r="N110" s="2581"/>
      <c r="O110" s="2351"/>
      <c r="P110" s="2581"/>
      <c r="Q110" s="2581"/>
      <c r="S110" s="3768"/>
      <c r="T110" s="3769"/>
      <c r="U110" s="369" t="str">
        <f>IF(AND(G110&gt;0,OR(C110="",C110="&lt;Enter detailed description here; use Comments section if needed&gt;")),"NO DESCRIPTION PROVIDED - please enter detailed description in Other box at left; use Comments section below if needed.","")</f>
        <v/>
      </c>
      <c r="V110" s="3822"/>
      <c r="W110" s="3830"/>
      <c r="X110" s="3831"/>
    </row>
    <row r="111" spans="1:37" s="293" customFormat="1" ht="12.6" customHeight="1" thickTop="1">
      <c r="F111" s="344" t="s">
        <v>187</v>
      </c>
      <c r="G111" s="2565">
        <f>SUM(G107:H110)</f>
        <v>2500</v>
      </c>
      <c r="H111" s="2566"/>
      <c r="J111" s="2581"/>
      <c r="K111" s="2581"/>
      <c r="L111" s="2363"/>
      <c r="M111" s="2581"/>
      <c r="N111" s="2581"/>
      <c r="O111" s="2351"/>
      <c r="P111" s="2581"/>
      <c r="Q111" s="2581"/>
      <c r="S111" s="2565">
        <f>SUM(S107:T110)</f>
        <v>2500</v>
      </c>
      <c r="T111" s="2566"/>
      <c r="V111" s="3832">
        <f>SUM(V107:V110)</f>
        <v>0</v>
      </c>
      <c r="W111" s="3833"/>
      <c r="X111" s="3834"/>
      <c r="AC111" s="3857" t="s">
        <v>4509</v>
      </c>
      <c r="AD111" s="3857" t="s">
        <v>4510</v>
      </c>
      <c r="AE111" s="3858" t="s">
        <v>4515</v>
      </c>
      <c r="AF111" s="2550"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9" t="s">
        <v>4497</v>
      </c>
      <c r="Z112" s="1566"/>
      <c r="AA112" s="277" t="s">
        <v>4506</v>
      </c>
      <c r="AB112" s="277" t="s">
        <v>4507</v>
      </c>
      <c r="AC112" s="3860"/>
      <c r="AD112" s="3860"/>
      <c r="AE112" s="3861"/>
      <c r="AF112" s="2551"/>
      <c r="AI112" s="27"/>
      <c r="AK112" s="427"/>
    </row>
    <row r="113" spans="1:37" s="293" customFormat="1" ht="12.6" customHeight="1">
      <c r="B113" s="293" t="s">
        <v>1813</v>
      </c>
      <c r="F113" s="396">
        <f>IF($G$118=0,0,G113/$G$118)</f>
        <v>0.2</v>
      </c>
      <c r="G113" s="3862">
        <v>250000</v>
      </c>
      <c r="H113" s="3862"/>
      <c r="J113" s="3750">
        <v>30000</v>
      </c>
      <c r="K113" s="3751"/>
      <c r="L113" s="345"/>
      <c r="M113" s="3863"/>
      <c r="N113" s="3864"/>
      <c r="P113" s="3750">
        <v>220000</v>
      </c>
      <c r="Q113" s="3751"/>
      <c r="S113" s="3863"/>
      <c r="T113" s="3864"/>
      <c r="V113" s="3822"/>
      <c r="W113" s="3823"/>
      <c r="X113" s="3824"/>
      <c r="Y113" s="158"/>
      <c r="Z113" s="3865">
        <v>0.09</v>
      </c>
      <c r="AA113" s="3866">
        <f>'DCA Underwriting Assumptions'!$J$104</f>
        <v>1</v>
      </c>
      <c r="AB113" s="3866">
        <f>'DCA Underwriting Assumptions'!$K$104</f>
        <v>50</v>
      </c>
      <c r="AC113" s="3867">
        <f>'DCA Underwriting Assumptions'!$Q$104</f>
        <v>25000</v>
      </c>
      <c r="AD113" s="3867">
        <f>AB113*AC113</f>
        <v>1250000</v>
      </c>
      <c r="AE113" s="3867">
        <f>IF('Part VI-Revenues &amp; Expenses'!$P$67&lt;AA114,'Part VI-Revenues &amp; Expenses'!$P$67*'Part IV-A-Uses of Funds'!AC113,AB113*AC113)</f>
        <v>1250000</v>
      </c>
      <c r="AF113" s="3868">
        <f>SUM(AE113:AE115)</f>
        <v>1250000</v>
      </c>
      <c r="AI113" s="27"/>
    </row>
    <row r="114" spans="1:37" s="293" customFormat="1" ht="12.6" customHeight="1">
      <c r="B114" s="293" t="s">
        <v>3841</v>
      </c>
      <c r="F114" s="3869">
        <v>625000</v>
      </c>
      <c r="V114" s="3822"/>
      <c r="W114" s="3823"/>
      <c r="X114" s="3824"/>
      <c r="Y114" s="158"/>
      <c r="Z114" s="120"/>
      <c r="AA114" s="3870">
        <f>'DCA Underwriting Assumptions'!$J$105</f>
        <v>51</v>
      </c>
      <c r="AB114" s="3870">
        <f>'DCA Underwriting Assumptions'!$K$105</f>
        <v>70</v>
      </c>
      <c r="AC114" s="3871">
        <f>'DCA Underwriting Assumptions'!$Q$105</f>
        <v>20000</v>
      </c>
      <c r="AD114" s="3871">
        <f>(AB114-AB113)*AC114</f>
        <v>400000</v>
      </c>
      <c r="AE114" s="3871">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2"/>
      <c r="AI114" s="27"/>
    </row>
    <row r="115" spans="1:37" s="293" customFormat="1" ht="12.6" customHeight="1">
      <c r="B115" s="293" t="s">
        <v>1814</v>
      </c>
      <c r="F115" s="396">
        <f>IF($G$118=0,0,G115/$G$118)</f>
        <v>0</v>
      </c>
      <c r="G115" s="3750"/>
      <c r="H115" s="3751"/>
      <c r="J115" s="3750"/>
      <c r="K115" s="3751"/>
      <c r="L115" s="2363"/>
      <c r="M115" s="3750"/>
      <c r="N115" s="3751"/>
      <c r="P115" s="3750"/>
      <c r="Q115" s="3751"/>
      <c r="S115" s="3750"/>
      <c r="T115" s="3751"/>
      <c r="V115" s="3822"/>
      <c r="W115" s="3823"/>
      <c r="X115" s="3824"/>
      <c r="Y115" s="158"/>
      <c r="Z115" s="120"/>
      <c r="AA115" s="3873">
        <f>'DCA Underwriting Assumptions'!$J$106</f>
        <v>71</v>
      </c>
      <c r="AB115" s="3874"/>
      <c r="AC115" s="3875">
        <f>'DCA Underwriting Assumptions'!$Q$106</f>
        <v>15000</v>
      </c>
      <c r="AD115" s="3875">
        <f>AF121-AD114-AD113</f>
        <v>350000</v>
      </c>
      <c r="AE115" s="3875">
        <f>MIN(AD115,IF('Part VI-Revenues &amp; Expenses'!$P$67&gt;AB114,('Part VI-Revenues &amp; Expenses'!$P$67-AB114)*AC115,0))</f>
        <v>0</v>
      </c>
      <c r="AF115" s="3876"/>
      <c r="AI115" s="27"/>
    </row>
    <row r="116" spans="1:37" s="293" customFormat="1" ht="12.6" customHeight="1">
      <c r="B116" s="293" t="s">
        <v>3466</v>
      </c>
      <c r="F116" s="396">
        <f>IF($G$118=0,0,G116/$G$118)</f>
        <v>0</v>
      </c>
      <c r="G116" s="3759"/>
      <c r="H116" s="3760"/>
      <c r="J116" s="3759"/>
      <c r="K116" s="3760"/>
      <c r="L116" s="2363"/>
      <c r="M116" s="3759"/>
      <c r="N116" s="3760"/>
      <c r="P116" s="3759"/>
      <c r="Q116" s="3760"/>
      <c r="S116" s="3759"/>
      <c r="T116" s="3760"/>
      <c r="V116" s="3822"/>
      <c r="W116" s="3823"/>
      <c r="X116" s="3824"/>
      <c r="Y116" s="27"/>
      <c r="Z116" s="3865">
        <v>0.04</v>
      </c>
      <c r="AA116" s="3877">
        <f>'DCA Underwriting Assumptions'!$J$107</f>
        <v>1</v>
      </c>
      <c r="AB116" s="3877">
        <f>'DCA Underwriting Assumptions'!$K$107</f>
        <v>100</v>
      </c>
      <c r="AC116" s="3867">
        <f>'DCA Underwriting Assumptions'!$Q$107</f>
        <v>18000</v>
      </c>
      <c r="AD116" s="3867">
        <f>AB116*AC116</f>
        <v>1800000</v>
      </c>
      <c r="AE116" s="3867">
        <f>IF('Part VI-Revenues &amp; Expenses'!$P$67&lt;AA117,'Part VI-Revenues &amp; Expenses'!$P$67*'Part IV-A-Uses of Funds'!AC116,AB116*AC116)</f>
        <v>900000</v>
      </c>
      <c r="AF116" s="3868">
        <f>SUM(AE116:AE118)</f>
        <v>900000</v>
      </c>
      <c r="AG116" s="825">
        <f>51*AC116</f>
        <v>918000</v>
      </c>
      <c r="AI116" s="27"/>
    </row>
    <row r="117" spans="1:37" s="293" customFormat="1" ht="12.6" customHeight="1" thickBot="1">
      <c r="B117" s="293" t="s">
        <v>1806</v>
      </c>
      <c r="F117" s="396">
        <f>IF($G$118=0,0,G117/$G$118)</f>
        <v>0.8</v>
      </c>
      <c r="G117" s="3768">
        <v>1000000</v>
      </c>
      <c r="H117" s="3769"/>
      <c r="J117" s="3750">
        <v>120000</v>
      </c>
      <c r="K117" s="3751"/>
      <c r="L117" s="2363"/>
      <c r="M117" s="3768"/>
      <c r="N117" s="3769"/>
      <c r="P117" s="3750">
        <v>880000</v>
      </c>
      <c r="Q117" s="3751"/>
      <c r="S117" s="3768"/>
      <c r="T117" s="3769"/>
      <c r="V117" s="3822"/>
      <c r="W117" s="3830"/>
      <c r="X117" s="3831"/>
      <c r="Y117" s="27"/>
      <c r="Z117" s="80"/>
      <c r="AA117" s="3870">
        <f>'DCA Underwriting Assumptions'!$J$108</f>
        <v>101</v>
      </c>
      <c r="AB117" s="3870">
        <f>'DCA Underwriting Assumptions'!$K$108</f>
        <v>130</v>
      </c>
      <c r="AC117" s="3871">
        <f>'DCA Underwriting Assumptions'!$Q$108</f>
        <v>15500</v>
      </c>
      <c r="AD117" s="3871">
        <f>(AB117-AB116)*AC117</f>
        <v>465000</v>
      </c>
      <c r="AE117" s="387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2"/>
      <c r="AG117" s="825"/>
      <c r="AI117" s="27"/>
    </row>
    <row r="118" spans="1:37" s="293" customFormat="1" ht="12.6" customHeight="1" thickTop="1">
      <c r="A118" s="1587" t="str">
        <f>IF(G118&gt;E118,"DF over limit!  Round down/Enter nbr.","")</f>
        <v/>
      </c>
      <c r="B118" s="1586"/>
      <c r="D118" s="582" t="s">
        <v>4508</v>
      </c>
      <c r="E118" s="1588">
        <f>IF(E112="9%",AF113,IF(E112="4%",AF116,"Enter app type!"))</f>
        <v>1250000</v>
      </c>
      <c r="F118" s="344" t="s">
        <v>187</v>
      </c>
      <c r="G118" s="2584">
        <f>SUM(G113:H117)</f>
        <v>1250000</v>
      </c>
      <c r="H118" s="2585"/>
      <c r="J118" s="2565">
        <f>SUM(J113:K117)</f>
        <v>150000</v>
      </c>
      <c r="K118" s="2566"/>
      <c r="L118" s="2363"/>
      <c r="M118" s="2565">
        <f>SUM(M113:N117)</f>
        <v>0</v>
      </c>
      <c r="N118" s="2566"/>
      <c r="P118" s="2565">
        <f>SUM(P113:Q117)</f>
        <v>1100000</v>
      </c>
      <c r="Q118" s="2566"/>
      <c r="S118" s="2565">
        <f>SUM(S113:T117)</f>
        <v>0</v>
      </c>
      <c r="T118" s="2566"/>
      <c r="V118" s="3832">
        <f>SUM(V113:V117)</f>
        <v>0</v>
      </c>
      <c r="W118" s="3833"/>
      <c r="X118" s="3834"/>
      <c r="Y118" s="27"/>
      <c r="Z118" s="80"/>
      <c r="AA118" s="3873">
        <f>'DCA Underwriting Assumptions'!$J$109</f>
        <v>131</v>
      </c>
      <c r="AB118" s="3874"/>
      <c r="AC118" s="3875">
        <f>'DCA Underwriting Assumptions'!$Q$109</f>
        <v>13000</v>
      </c>
      <c r="AD118" s="3875">
        <f>AF122-AD117-AD116</f>
        <v>1235000</v>
      </c>
      <c r="AE118" s="3875">
        <f>MIN(AD118,IF('Part VI-Revenues &amp; Expenses'!$P$67&gt;AB117,('Part VI-Revenues &amp; Expenses'!$P$67-AB117)*AC118,0))</f>
        <v>0</v>
      </c>
      <c r="AF118" s="387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0">
        <v>12500</v>
      </c>
      <c r="H120" s="3751"/>
      <c r="J120" s="354"/>
      <c r="K120" s="354"/>
      <c r="L120" s="354"/>
      <c r="M120" s="354"/>
      <c r="N120" s="354"/>
      <c r="P120" s="354"/>
      <c r="Q120" s="354"/>
      <c r="S120" s="3750">
        <v>12500</v>
      </c>
      <c r="T120" s="3751"/>
      <c r="V120" s="3822"/>
      <c r="W120" s="3823"/>
      <c r="X120" s="3824"/>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58125.75</v>
      </c>
      <c r="G121" s="3759">
        <v>61000</v>
      </c>
      <c r="H121" s="3760"/>
      <c r="J121" s="946" t="str">
        <f>IF(E121&gt;G121,"WARNING! Rent-Up Reserves proposed is below minimum - add comment.","")</f>
        <v/>
      </c>
      <c r="K121" s="946"/>
      <c r="L121" s="2363"/>
      <c r="M121" s="920"/>
      <c r="N121" s="920"/>
      <c r="O121" s="2351"/>
      <c r="P121" s="920"/>
      <c r="Q121" s="920"/>
      <c r="R121" s="2351"/>
      <c r="S121" s="3759">
        <v>61000</v>
      </c>
      <c r="T121" s="3760"/>
      <c r="V121" s="3822"/>
      <c r="W121" s="3823"/>
      <c r="X121" s="3824"/>
      <c r="Y121" s="27"/>
      <c r="Z121" s="3878">
        <v>0.09</v>
      </c>
      <c r="AB121" s="1566"/>
      <c r="AD121" s="27"/>
      <c r="AF121" s="387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116251.5</v>
      </c>
      <c r="G122" s="3759">
        <v>130000</v>
      </c>
      <c r="H122" s="3760"/>
      <c r="J122" s="946" t="str">
        <f>IF(E122&gt;G122,"WARNING! ODR proposed is below minimum - add comment.","")</f>
        <v/>
      </c>
      <c r="K122" s="353"/>
      <c r="L122" s="353"/>
      <c r="M122" s="353"/>
      <c r="N122" s="353"/>
      <c r="O122" s="2351"/>
      <c r="P122" s="353"/>
      <c r="Q122" s="353"/>
      <c r="R122" s="2351"/>
      <c r="S122" s="3759">
        <v>130000</v>
      </c>
      <c r="T122" s="3760"/>
      <c r="V122" s="3822"/>
      <c r="W122" s="3823"/>
      <c r="X122" s="3824"/>
      <c r="Y122" s="27"/>
      <c r="Z122" s="3878">
        <v>0.04</v>
      </c>
      <c r="AB122" s="1566"/>
      <c r="AD122" s="27"/>
      <c r="AF122" s="3879">
        <f>'DCA Underwriting Assumptions'!$Q$113</f>
        <v>3500000</v>
      </c>
      <c r="AG122" s="27"/>
      <c r="AH122" s="27"/>
      <c r="AI122" s="27"/>
    </row>
    <row r="123" spans="1:37" s="293" customFormat="1" ht="12.6" customHeight="1">
      <c r="B123" s="293" t="s">
        <v>1218</v>
      </c>
      <c r="G123" s="3759"/>
      <c r="H123" s="3760"/>
      <c r="J123" s="354"/>
      <c r="K123" s="354"/>
      <c r="L123" s="354"/>
      <c r="M123" s="354"/>
      <c r="N123" s="354"/>
      <c r="P123" s="354"/>
      <c r="Q123" s="354"/>
      <c r="S123" s="3759"/>
      <c r="T123" s="3760"/>
      <c r="V123" s="3822"/>
      <c r="W123" s="3823"/>
      <c r="X123" s="3824"/>
    </row>
    <row r="124" spans="1:37" s="293" customFormat="1" ht="12.6" customHeight="1">
      <c r="B124" s="293" t="s">
        <v>1219</v>
      </c>
      <c r="E124" s="821" t="s">
        <v>3434</v>
      </c>
      <c r="F124" s="452">
        <f>IF('Part VI-Revenues &amp; Expenses'!$P$67=0,0,G124/'Part VI-Revenues &amp; Expenses'!$P$67)</f>
        <v>1500</v>
      </c>
      <c r="G124" s="3759">
        <v>75000</v>
      </c>
      <c r="H124" s="3760"/>
      <c r="J124" s="3750">
        <v>9000</v>
      </c>
      <c r="K124" s="3751"/>
      <c r="L124" s="2363"/>
      <c r="M124" s="3750"/>
      <c r="N124" s="3751"/>
      <c r="P124" s="3750">
        <v>66000</v>
      </c>
      <c r="Q124" s="3751"/>
      <c r="S124" s="3759"/>
      <c r="T124" s="3760"/>
      <c r="V124" s="3822"/>
      <c r="W124" s="3823"/>
      <c r="X124" s="3824"/>
    </row>
    <row r="125" spans="1:37" s="293" customFormat="1" ht="12.6" customHeight="1" thickBot="1">
      <c r="A125" s="370" t="str">
        <f>IF(AND(G125&gt;0,OR(C125="",C125="&lt;Enter detailed description here; use Comments section if needed&gt;")),"X","")</f>
        <v/>
      </c>
      <c r="B125" s="293" t="s">
        <v>723</v>
      </c>
      <c r="C125" s="3825" t="s">
        <v>3531</v>
      </c>
      <c r="D125" s="3825"/>
      <c r="E125" s="3825"/>
      <c r="F125" s="3826"/>
      <c r="G125" s="3768"/>
      <c r="H125" s="3769"/>
      <c r="J125" s="3828"/>
      <c r="K125" s="3829"/>
      <c r="L125" s="2363"/>
      <c r="M125" s="3768"/>
      <c r="N125" s="3769"/>
      <c r="P125" s="3768"/>
      <c r="Q125" s="3769"/>
      <c r="S125" s="3768"/>
      <c r="T125" s="3769"/>
      <c r="U125" s="369" t="str">
        <f>IF(AND(G125&gt;0,OR(C125="",C125="&lt;Enter detailed description here; use Comments section if needed&gt;")),"NO DESCRIPTION PROVIDED - please enter detailed description in Other box at left; use Comments section below if needed.","")</f>
        <v/>
      </c>
      <c r="V125" s="3822"/>
      <c r="W125" s="3830"/>
      <c r="X125" s="3831"/>
    </row>
    <row r="126" spans="1:37" s="293" customFormat="1" ht="12.6" customHeight="1" thickTop="1">
      <c r="B126" s="355"/>
      <c r="F126" s="344" t="s">
        <v>187</v>
      </c>
      <c r="G126" s="2565">
        <f>SUM(G120:H125)</f>
        <v>278500</v>
      </c>
      <c r="H126" s="2566"/>
      <c r="J126" s="2565">
        <f>SUM(J124:K125)</f>
        <v>9000</v>
      </c>
      <c r="K126" s="2566"/>
      <c r="L126" s="2363"/>
      <c r="M126" s="2565">
        <f>SUM(M124:N125)</f>
        <v>0</v>
      </c>
      <c r="N126" s="2566"/>
      <c r="P126" s="2565">
        <f>SUM(P124:Q125)</f>
        <v>66000</v>
      </c>
      <c r="Q126" s="2566"/>
      <c r="S126" s="2565">
        <f>SUM(S120:T125)</f>
        <v>203500</v>
      </c>
      <c r="T126" s="2566"/>
      <c r="V126" s="3832">
        <f>SUM(V120:V125)</f>
        <v>0</v>
      </c>
      <c r="W126" s="3833"/>
      <c r="X126" s="3834"/>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50"/>
      <c r="H128" s="3751"/>
      <c r="J128" s="3750"/>
      <c r="K128" s="3751"/>
      <c r="L128" s="345"/>
      <c r="M128" s="3750"/>
      <c r="N128" s="3751"/>
      <c r="P128" s="3750"/>
      <c r="Q128" s="3751"/>
      <c r="S128" s="3750"/>
      <c r="T128" s="3751"/>
      <c r="V128" s="3822"/>
      <c r="W128" s="3823"/>
      <c r="X128" s="3824"/>
    </row>
    <row r="129" spans="1:24" s="293" customFormat="1" ht="12.6" customHeight="1" thickBot="1">
      <c r="A129" s="370" t="str">
        <f>IF(AND(G129&gt;0,OR(C129="",C129="&lt;Enter detailed description here; use Comments section if needed&gt;")),"X","")</f>
        <v/>
      </c>
      <c r="B129" s="293" t="s">
        <v>723</v>
      </c>
      <c r="C129" s="3825" t="s">
        <v>3531</v>
      </c>
      <c r="D129" s="3825"/>
      <c r="E129" s="3825"/>
      <c r="F129" s="3826"/>
      <c r="G129" s="3768"/>
      <c r="H129" s="3769"/>
      <c r="J129" s="3768"/>
      <c r="K129" s="3769"/>
      <c r="L129" s="2363"/>
      <c r="M129" s="3768"/>
      <c r="N129" s="3769"/>
      <c r="P129" s="3768"/>
      <c r="Q129" s="3769"/>
      <c r="S129" s="3768"/>
      <c r="T129" s="3769"/>
      <c r="U129" s="369" t="str">
        <f>IF(AND(G129&gt;0,OR(C129="",C129="&lt;Enter detailed description here; use Comments section if needed&gt;")),"NO DESCRIPTION PROVIDED - please enter detailed description in Other box at left; use Comments section below if needed.","")</f>
        <v/>
      </c>
      <c r="V129" s="3822"/>
      <c r="W129" s="3830"/>
      <c r="X129" s="3831"/>
    </row>
    <row r="130" spans="1:24" s="293" customFormat="1" ht="12.6" customHeight="1" thickTop="1">
      <c r="C130" s="2346"/>
      <c r="F130" s="344" t="s">
        <v>187</v>
      </c>
      <c r="G130" s="2565">
        <f>SUM(G128:H129)</f>
        <v>0</v>
      </c>
      <c r="H130" s="2566"/>
      <c r="J130" s="2565">
        <f>SUM(J128:K129)</f>
        <v>0</v>
      </c>
      <c r="K130" s="2566"/>
      <c r="L130" s="2363"/>
      <c r="M130" s="2565">
        <f>SUM(M128:N129)</f>
        <v>0</v>
      </c>
      <c r="N130" s="2566"/>
      <c r="P130" s="2565">
        <f>SUM(P128:Q129)</f>
        <v>0</v>
      </c>
      <c r="Q130" s="2566"/>
      <c r="S130" s="2565">
        <f>SUM(S128:T129)</f>
        <v>0</v>
      </c>
      <c r="T130" s="2566"/>
      <c r="V130" s="3832">
        <f>SUM(V128:V129)</f>
        <v>0</v>
      </c>
      <c r="W130" s="3833"/>
      <c r="X130" s="3834"/>
    </row>
    <row r="131" spans="1:24" s="293" customFormat="1" ht="3" customHeight="1" thickBot="1">
      <c r="C131" s="2346"/>
      <c r="H131" s="351"/>
      <c r="I131" s="351"/>
      <c r="L131" s="2351"/>
      <c r="V131" s="1029"/>
      <c r="W131" s="3880"/>
      <c r="X131" s="3881"/>
    </row>
    <row r="132" spans="1:24" s="293" customFormat="1" ht="14.1" customHeight="1" thickBot="1">
      <c r="B132" s="298" t="s">
        <v>2677</v>
      </c>
      <c r="E132" s="821"/>
      <c r="F132" s="1589"/>
      <c r="G132" s="2586">
        <f>G17+G23+G27+G33+G38+G41+G47+G64+G77+G83+G91+G105+G111+G118+G126+G130</f>
        <v>9105000</v>
      </c>
      <c r="H132" s="2587"/>
      <c r="J132" s="2586">
        <f>J17+J23+J27+J33+J38+J41+J47+J64+J77+J83+J91+J105+J111+J118+J126+J130</f>
        <v>1303953</v>
      </c>
      <c r="K132" s="2587"/>
      <c r="M132" s="2586">
        <f>M17+M23+M27+M33+M38+M41+M47+M64+M77+M83+M91+M105+M111+M118+M126+M130</f>
        <v>0</v>
      </c>
      <c r="N132" s="2587"/>
      <c r="P132" s="2586">
        <f>P17+P23+P27+P33+P38+P41+P47+P64+P77+P83+P91+P105+P111+P118+P126+P130</f>
        <v>7399547</v>
      </c>
      <c r="Q132" s="2587"/>
      <c r="S132" s="2586">
        <f>S17+S23+S27+S33+S38+S41+S47+S64+S77+S83+S91+S105+S111+S118+S126+S130</f>
        <v>401500</v>
      </c>
      <c r="T132" s="2587"/>
      <c r="V132" s="3882">
        <f>V17+V23+V27+V33+V38+V41+V47+V64+V77+V83+V91+V105+V111+V118+V126+V130</f>
        <v>0</v>
      </c>
      <c r="W132" s="3883"/>
      <c r="X132" s="3834"/>
    </row>
    <row r="133" spans="1:24" s="293" customFormat="1" ht="3" customHeight="1">
      <c r="C133" s="2346"/>
      <c r="H133" s="351"/>
      <c r="I133" s="351"/>
      <c r="L133" s="2351"/>
      <c r="V133" s="1029"/>
    </row>
    <row r="134" spans="1:24" s="293" customFormat="1" ht="14.1" customHeight="1">
      <c r="B134" s="490" t="s">
        <v>2674</v>
      </c>
      <c r="C134" s="488"/>
      <c r="D134" s="2588">
        <f>IF('Part VI-Revenues &amp; Expenses'!$P$67=0,0,G132/'Part VI-Revenues &amp; Expenses'!$P$67)</f>
        <v>182100</v>
      </c>
      <c r="E134" s="2588"/>
      <c r="F134" s="489" t="s">
        <v>2673</v>
      </c>
      <c r="G134" s="2589">
        <f>IF('Part I-Project Information'!$P$75=0,0,G132/'Part I-Project Information'!$P$75)</f>
        <v>224.01279370156232</v>
      </c>
      <c r="H134" s="2590"/>
      <c r="I134" s="356"/>
      <c r="V134" s="1029"/>
    </row>
    <row r="135" spans="1:24" s="293" customFormat="1" ht="3" customHeight="1">
      <c r="I135" s="356"/>
      <c r="L135" s="356"/>
      <c r="V135" s="1029"/>
    </row>
    <row r="136" spans="1:24" s="293" customFormat="1" ht="3.6" customHeight="1" thickBot="1">
      <c r="D136" s="2346"/>
      <c r="E136" s="2346"/>
      <c r="I136" s="351"/>
      <c r="J136" s="351"/>
      <c r="K136" s="357"/>
      <c r="L136" s="2343"/>
      <c r="P136" s="2351"/>
      <c r="V136" s="1029"/>
    </row>
    <row r="137" spans="1:24" s="293" customFormat="1" ht="26.1" customHeight="1">
      <c r="A137" s="418" t="s">
        <v>722</v>
      </c>
      <c r="B137" s="420" t="s">
        <v>1398</v>
      </c>
      <c r="C137" s="841"/>
      <c r="D137" s="2363"/>
      <c r="E137" s="2363"/>
      <c r="F137" s="2363"/>
      <c r="G137" s="2351"/>
      <c r="H137" s="2351"/>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3"/>
      <c r="E138" s="2363"/>
      <c r="I138" s="358"/>
      <c r="J138" s="2557"/>
      <c r="K138" s="2558"/>
      <c r="L138" s="841"/>
      <c r="M138" s="2557"/>
      <c r="N138" s="2558"/>
      <c r="P138" s="2557"/>
      <c r="Q138" s="2558"/>
      <c r="V138" s="1029"/>
      <c r="W138" s="293" t="str">
        <f>B138</f>
        <v>Subtractions From Eligible Basis</v>
      </c>
      <c r="X138" s="330"/>
    </row>
    <row r="139" spans="1:24" s="293" customFormat="1" ht="6" customHeight="1">
      <c r="D139" s="2346"/>
      <c r="E139" s="2346"/>
      <c r="I139" s="351"/>
      <c r="J139" s="351"/>
      <c r="K139" s="357"/>
      <c r="L139" s="2343"/>
      <c r="P139" s="2351"/>
      <c r="V139" s="1029"/>
    </row>
    <row r="140" spans="1:24" s="293" customFormat="1" ht="14.1" customHeight="1">
      <c r="B140" s="2346" t="s">
        <v>141</v>
      </c>
      <c r="D140" s="2351"/>
      <c r="E140" s="2351"/>
      <c r="F140" s="2351"/>
      <c r="G140" s="2351"/>
      <c r="H140" s="2351"/>
      <c r="I140" s="358"/>
      <c r="J140" s="3884"/>
      <c r="K140" s="3885"/>
      <c r="P140" s="3884"/>
      <c r="Q140" s="3885"/>
      <c r="V140" s="3822"/>
      <c r="W140" s="3823"/>
      <c r="X140" s="3824"/>
    </row>
    <row r="141" spans="1:24" s="293" customFormat="1" ht="14.1" customHeight="1">
      <c r="B141" s="2351" t="s">
        <v>2101</v>
      </c>
      <c r="D141" s="2351"/>
      <c r="E141" s="2351"/>
      <c r="F141" s="2351"/>
      <c r="G141" s="2351"/>
      <c r="H141" s="2351"/>
      <c r="I141" s="358"/>
      <c r="J141" s="3886"/>
      <c r="K141" s="3887"/>
      <c r="P141" s="3886"/>
      <c r="Q141" s="3887"/>
      <c r="V141" s="3822"/>
      <c r="W141" s="3823"/>
      <c r="X141" s="3824"/>
    </row>
    <row r="142" spans="1:24" s="293" customFormat="1" ht="14.1" customHeight="1">
      <c r="B142" s="2351" t="s">
        <v>1816</v>
      </c>
      <c r="D142" s="2351"/>
      <c r="E142" s="2351"/>
      <c r="I142" s="358"/>
      <c r="J142" s="3886"/>
      <c r="K142" s="3887"/>
      <c r="P142" s="3886"/>
      <c r="Q142" s="3887"/>
      <c r="V142" s="3822"/>
      <c r="W142" s="3823"/>
      <c r="X142" s="3824"/>
    </row>
    <row r="143" spans="1:24" s="293" customFormat="1" ht="14.1" customHeight="1">
      <c r="B143" s="2351" t="s">
        <v>1817</v>
      </c>
      <c r="D143" s="2351"/>
      <c r="E143" s="2351"/>
      <c r="I143" s="358"/>
      <c r="J143" s="3886"/>
      <c r="K143" s="3887"/>
      <c r="P143" s="3886"/>
      <c r="Q143" s="3887"/>
      <c r="V143" s="3822"/>
      <c r="W143" s="3823"/>
      <c r="X143" s="3824"/>
    </row>
    <row r="144" spans="1:24" s="293" customFormat="1" ht="14.1" customHeight="1">
      <c r="B144" s="2351" t="s">
        <v>249</v>
      </c>
      <c r="D144" s="2351"/>
      <c r="E144" s="2351"/>
      <c r="I144" s="358"/>
      <c r="J144" s="3886"/>
      <c r="K144" s="3887"/>
      <c r="P144" s="3886">
        <v>1440750</v>
      </c>
      <c r="Q144" s="3887"/>
      <c r="V144" s="3822"/>
      <c r="W144" s="3823"/>
      <c r="X144" s="3824"/>
    </row>
    <row r="145" spans="1:24" s="293" customFormat="1" ht="14.1" customHeight="1" thickBot="1">
      <c r="B145" s="2351" t="s">
        <v>1568</v>
      </c>
      <c r="C145" s="3888" t="s">
        <v>2352</v>
      </c>
      <c r="D145" s="3888"/>
      <c r="E145" s="3888"/>
      <c r="F145" s="3888"/>
      <c r="G145" s="3888"/>
      <c r="H145" s="3888"/>
      <c r="I145" s="3889"/>
      <c r="J145" s="3890"/>
      <c r="K145" s="3891"/>
      <c r="P145" s="3890"/>
      <c r="Q145" s="3891"/>
      <c r="V145" s="3822"/>
      <c r="W145" s="3830"/>
      <c r="X145" s="3831"/>
    </row>
    <row r="146" spans="1:24" s="293" customFormat="1" ht="14.1" customHeight="1" thickBot="1">
      <c r="B146" s="303" t="s">
        <v>1818</v>
      </c>
      <c r="C146" s="306"/>
      <c r="J146" s="2524">
        <f>SUM(J140:K145)</f>
        <v>0</v>
      </c>
      <c r="K146" s="2525"/>
      <c r="P146" s="2524">
        <f>SUM(P140:Q145)</f>
        <v>1440750</v>
      </c>
      <c r="Q146" s="2525"/>
      <c r="V146" s="3832">
        <f>SUM(V140:V145)</f>
        <v>0</v>
      </c>
      <c r="W146" s="3833"/>
      <c r="X146" s="3834"/>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1303953</v>
      </c>
      <c r="K149" s="2543"/>
      <c r="M149" s="2544">
        <f>M132</f>
        <v>0</v>
      </c>
      <c r="N149" s="2545"/>
      <c r="P149" s="2542">
        <f>P132</f>
        <v>7399547</v>
      </c>
      <c r="Q149" s="2543"/>
      <c r="R149" s="2620" t="s">
        <v>4229</v>
      </c>
      <c r="S149" s="2621"/>
      <c r="T149" s="2621"/>
      <c r="V149" s="3822"/>
      <c r="W149" s="3823"/>
      <c r="X149" s="3824"/>
    </row>
    <row r="150" spans="1:24" s="293" customFormat="1" ht="14.1" customHeight="1">
      <c r="B150" s="293" t="s">
        <v>2163</v>
      </c>
      <c r="J150" s="2547">
        <f>J146</f>
        <v>0</v>
      </c>
      <c r="K150" s="2548"/>
      <c r="M150" s="2549"/>
      <c r="N150" s="2549"/>
      <c r="P150" s="2547">
        <f>P146</f>
        <v>1440750</v>
      </c>
      <c r="Q150" s="2548"/>
      <c r="R150" s="2620"/>
      <c r="S150" s="2621"/>
      <c r="T150" s="2621"/>
      <c r="U150" s="1405"/>
      <c r="V150" s="3822"/>
      <c r="W150" s="3823"/>
      <c r="X150" s="3824"/>
    </row>
    <row r="151" spans="1:24" s="293" customFormat="1" ht="14.1" customHeight="1">
      <c r="B151" s="293" t="s">
        <v>2164</v>
      </c>
      <c r="J151" s="2547">
        <f>J149-J150</f>
        <v>1303953</v>
      </c>
      <c r="K151" s="2548"/>
      <c r="M151" s="2547">
        <f>M149</f>
        <v>0</v>
      </c>
      <c r="N151" s="2548"/>
      <c r="P151" s="2547">
        <f>P149-P150</f>
        <v>5958797</v>
      </c>
      <c r="Q151" s="2548"/>
      <c r="R151" s="2620"/>
      <c r="S151" s="2621"/>
      <c r="T151" s="2621"/>
      <c r="U151" s="1405"/>
      <c r="V151" s="3822"/>
      <c r="W151" s="3823"/>
      <c r="X151" s="3824"/>
    </row>
    <row r="152" spans="1:24" s="293" customFormat="1" ht="14.1" customHeight="1">
      <c r="B152" s="293" t="s">
        <v>1454</v>
      </c>
      <c r="G152" s="2360" t="s">
        <v>1672</v>
      </c>
      <c r="H152" s="3464" t="s">
        <v>1727</v>
      </c>
      <c r="I152" s="3465"/>
      <c r="J152" s="3892">
        <v>1</v>
      </c>
      <c r="K152" s="3893"/>
      <c r="M152" s="2591"/>
      <c r="N152" s="2591"/>
      <c r="P152" s="3892">
        <v>1</v>
      </c>
      <c r="Q152" s="3893"/>
      <c r="R152" s="3894" t="s">
        <v>3521</v>
      </c>
      <c r="S152" s="3895"/>
      <c r="T152" s="3896"/>
      <c r="U152" s="1406"/>
      <c r="V152" s="3822"/>
      <c r="W152" s="3823"/>
      <c r="X152" s="3824"/>
    </row>
    <row r="153" spans="1:24" s="293" customFormat="1" ht="14.1" customHeight="1">
      <c r="B153" s="293" t="s">
        <v>2005</v>
      </c>
      <c r="J153" s="2547">
        <f>J151*J152</f>
        <v>1303953</v>
      </c>
      <c r="K153" s="2548"/>
      <c r="M153" s="2547">
        <f>+M151</f>
        <v>0</v>
      </c>
      <c r="N153" s="2548"/>
      <c r="P153" s="2547">
        <f>P151*P152</f>
        <v>5958797</v>
      </c>
      <c r="Q153" s="2548"/>
      <c r="R153" s="3897"/>
      <c r="S153" s="3898"/>
      <c r="T153" s="3899"/>
      <c r="U153" s="1406"/>
      <c r="V153" s="3822"/>
      <c r="W153" s="3823"/>
      <c r="X153" s="3824"/>
    </row>
    <row r="154" spans="1:24" s="293" customFormat="1" ht="14.1" customHeight="1">
      <c r="B154" s="293" t="s">
        <v>2474</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900"/>
      <c r="S154" s="3901"/>
      <c r="T154" s="3902"/>
      <c r="V154" s="3822"/>
      <c r="W154" s="3823"/>
      <c r="X154" s="3824"/>
    </row>
    <row r="155" spans="1:24" s="293" customFormat="1" ht="14.1" customHeight="1">
      <c r="B155" s="293" t="s">
        <v>1996</v>
      </c>
      <c r="J155" s="2547">
        <f>J153*J154</f>
        <v>1303953</v>
      </c>
      <c r="K155" s="2548"/>
      <c r="M155" s="2547">
        <f>M153*M154</f>
        <v>0</v>
      </c>
      <c r="N155" s="2548"/>
      <c r="P155" s="2547">
        <f>P153*P154</f>
        <v>5958797</v>
      </c>
      <c r="Q155" s="2548"/>
      <c r="V155" s="3822"/>
      <c r="W155" s="3823"/>
      <c r="X155" s="3824"/>
    </row>
    <row r="156" spans="1:24" s="293" customFormat="1" ht="14.1" customHeight="1">
      <c r="B156" s="293" t="s">
        <v>1997</v>
      </c>
      <c r="J156" s="3892">
        <v>0.09</v>
      </c>
      <c r="K156" s="3893"/>
      <c r="M156" s="3892"/>
      <c r="N156" s="3893"/>
      <c r="P156" s="3892">
        <v>0.09</v>
      </c>
      <c r="Q156" s="3893"/>
      <c r="V156" s="3822"/>
      <c r="W156" s="3823"/>
      <c r="X156" s="3824"/>
    </row>
    <row r="157" spans="1:24" s="293" customFormat="1" ht="14.1" customHeight="1" thickBot="1">
      <c r="B157" s="293" t="s">
        <v>2475</v>
      </c>
      <c r="J157" s="2594">
        <f>J155*J156</f>
        <v>117355.76999999999</v>
      </c>
      <c r="K157" s="2595"/>
      <c r="M157" s="2594">
        <f>M155*M156</f>
        <v>0</v>
      </c>
      <c r="N157" s="2595"/>
      <c r="P157" s="2594">
        <f>P155*P156</f>
        <v>536291.73</v>
      </c>
      <c r="Q157" s="2595"/>
      <c r="V157" s="3903"/>
      <c r="W157" s="3830"/>
      <c r="X157" s="3831"/>
    </row>
    <row r="158" spans="1:24" s="293" customFormat="1" ht="14.1" customHeight="1" thickBot="1">
      <c r="B158" s="295" t="s">
        <v>1396</v>
      </c>
      <c r="J158" s="2524">
        <f>ROUNDDOWN(J157+M157+P157,0)</f>
        <v>653647</v>
      </c>
      <c r="K158" s="2546"/>
      <c r="L158" s="2546"/>
      <c r="M158" s="2546"/>
      <c r="N158" s="2546"/>
      <c r="O158" s="2546"/>
      <c r="P158" s="2546"/>
      <c r="Q158" s="2525"/>
      <c r="V158" s="3832"/>
      <c r="W158" s="3855"/>
      <c r="X158" s="385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1"/>
      <c r="M160" s="467"/>
      <c r="N160" s="2351"/>
      <c r="O160" s="2351"/>
      <c r="P160" s="2351"/>
      <c r="Q160" s="2351"/>
      <c r="R160" s="2351"/>
      <c r="S160" s="2351"/>
      <c r="T160" s="2351"/>
      <c r="V160" s="1029"/>
    </row>
    <row r="161" spans="2:24" s="168" customFormat="1" ht="3" customHeight="1">
      <c r="H161" s="3904"/>
      <c r="I161" s="3904"/>
      <c r="M161" s="535"/>
      <c r="O161" s="3905"/>
      <c r="P161" s="3905"/>
      <c r="Q161" s="3905"/>
      <c r="R161" s="3905"/>
      <c r="S161" s="3905"/>
      <c r="T161" s="3905"/>
      <c r="U161" s="3905"/>
      <c r="V161" s="3905"/>
    </row>
    <row r="162" spans="2:24" s="168" customFormat="1" ht="14.1" customHeight="1">
      <c r="B162" s="3906" t="s">
        <v>4524</v>
      </c>
      <c r="H162" s="3904"/>
      <c r="I162" s="3904"/>
      <c r="M162" s="535"/>
      <c r="O162" s="3907"/>
      <c r="P162" s="3907"/>
      <c r="Q162" s="3907"/>
      <c r="R162" s="3907"/>
      <c r="S162" s="3907"/>
      <c r="T162" s="3907"/>
      <c r="U162" s="3907"/>
      <c r="V162" s="3907"/>
    </row>
    <row r="163" spans="2:24" s="168" customFormat="1" ht="15" customHeight="1">
      <c r="B163" s="168" t="s">
        <v>4526</v>
      </c>
      <c r="J163" s="3908">
        <f>G132</f>
        <v>9105000</v>
      </c>
      <c r="K163" s="3909"/>
      <c r="L163" s="3910"/>
      <c r="V163" s="3911"/>
      <c r="W163" s="3912"/>
    </row>
    <row r="164" spans="2:24" s="168" customFormat="1" ht="13.5" customHeight="1">
      <c r="B164" s="168" t="s">
        <v>4528</v>
      </c>
      <c r="J164" s="3908">
        <f>'Part IV-A-Uses of Funds'!$G$83+'Part IV-A-Uses of Funds'!$G$105+SUM('Part IV-A-Uses of Funds'!$G$121:$H$123)</f>
        <v>301500</v>
      </c>
      <c r="K164" s="3909"/>
      <c r="L164" s="3910"/>
      <c r="V164" s="3911"/>
      <c r="W164" s="3912"/>
    </row>
    <row r="165" spans="2:24" s="168" customFormat="1" ht="13.5" customHeight="1">
      <c r="B165" s="3913" t="s">
        <v>4527</v>
      </c>
      <c r="J165" s="3908">
        <f>J163-J164</f>
        <v>8803500</v>
      </c>
      <c r="K165" s="3909"/>
      <c r="L165" s="3910"/>
      <c r="M165" s="2618" t="str">
        <f>IF(J165&lt;=J166, "","Exceeds Project Cost Limit!   Needs Cost Limit waiver.")</f>
        <v/>
      </c>
      <c r="N165" s="2618"/>
      <c r="O165" s="2618"/>
      <c r="P165" s="2618"/>
      <c r="Q165" s="2618"/>
      <c r="R165" s="2618"/>
      <c r="S165" s="2618"/>
      <c r="T165" s="2618"/>
      <c r="V165" s="3911"/>
      <c r="W165" s="3912"/>
    </row>
    <row r="166" spans="2:24" s="168" customFormat="1" ht="13.5" customHeight="1">
      <c r="B166" s="3914" t="s">
        <v>2678</v>
      </c>
      <c r="C166" s="3913"/>
      <c r="D166" s="3913"/>
      <c r="J166" s="3908">
        <f>'Part VIII-Threshold Criteria'!$P$63</f>
        <v>8964285.0799999982</v>
      </c>
      <c r="K166" s="3909"/>
      <c r="L166" s="3910"/>
      <c r="V166" s="3911"/>
      <c r="W166" s="3912"/>
    </row>
    <row r="167" spans="2:24" s="168" customFormat="1" ht="3" customHeight="1">
      <c r="B167" s="3914"/>
      <c r="C167" s="3913"/>
      <c r="D167" s="3913"/>
      <c r="J167" s="3915"/>
      <c r="K167" s="3915"/>
      <c r="L167" s="3915"/>
      <c r="V167" s="3911"/>
      <c r="W167" s="3912"/>
    </row>
    <row r="168" spans="2:24" s="293" customFormat="1" ht="15" customHeight="1" thickBot="1">
      <c r="B168" s="295" t="s">
        <v>170</v>
      </c>
      <c r="O168" s="2351"/>
      <c r="P168" s="2351"/>
      <c r="Q168" s="2351"/>
      <c r="R168" s="2351"/>
      <c r="S168" s="2351"/>
      <c r="T168" s="2351"/>
      <c r="V168" s="1029"/>
      <c r="W168" s="419" t="str">
        <f>B160</f>
        <v>TAX CREDIT CALCULATION - GAP METHOD</v>
      </c>
    </row>
    <row r="169" spans="2:24" s="293" customFormat="1" ht="15" customHeight="1">
      <c r="B169" s="168" t="s">
        <v>4529</v>
      </c>
      <c r="J169" s="3916">
        <f>MIN(J163,J166+J164)</f>
        <v>9105000</v>
      </c>
      <c r="K169" s="3917"/>
      <c r="L169" s="3918"/>
      <c r="M169" s="2602" t="s">
        <v>4552</v>
      </c>
      <c r="N169" s="2615"/>
      <c r="O169" s="2615"/>
      <c r="P169" s="2615"/>
      <c r="Q169" s="2615"/>
      <c r="R169" s="2603"/>
      <c r="S169" s="2602" t="s">
        <v>3499</v>
      </c>
      <c r="T169" s="2603"/>
      <c r="V169" s="3822"/>
      <c r="W169" s="3823"/>
      <c r="X169" s="3824"/>
    </row>
    <row r="170" spans="2:24" s="293" customFormat="1" ht="14.1" customHeight="1">
      <c r="B170" s="293" t="s">
        <v>258</v>
      </c>
      <c r="J170" s="2547">
        <f>'Part III-Sources of Funds'!$I$58-'Part III-Sources of Funds'!$I$42-'Part III-Sources of Funds'!$I$43-'Part III-Sources of Funds'!$I$49-'Part III-Sources of Funds'!$I$50</f>
        <v>1215563</v>
      </c>
      <c r="K170" s="2549"/>
      <c r="L170" s="2606"/>
      <c r="M170" s="2604"/>
      <c r="N170" s="2616"/>
      <c r="O170" s="2616"/>
      <c r="P170" s="2616"/>
      <c r="Q170" s="2616"/>
      <c r="R170" s="2605"/>
      <c r="S170" s="2604"/>
      <c r="T170" s="2605"/>
      <c r="V170" s="3822"/>
      <c r="W170" s="3823"/>
      <c r="X170" s="3824"/>
    </row>
    <row r="171" spans="2:24" s="293" customFormat="1" ht="14.1" customHeight="1">
      <c r="B171" s="293" t="s">
        <v>2175</v>
      </c>
      <c r="J171" s="2547">
        <f>+J169-J170</f>
        <v>7889437</v>
      </c>
      <c r="K171" s="2549"/>
      <c r="L171" s="2606"/>
      <c r="M171" s="2604"/>
      <c r="N171" s="2616"/>
      <c r="O171" s="2616"/>
      <c r="P171" s="2616"/>
      <c r="Q171" s="2616"/>
      <c r="R171" s="2605"/>
      <c r="S171" s="2604"/>
      <c r="T171" s="2605"/>
      <c r="V171" s="3822"/>
      <c r="W171" s="3823"/>
      <c r="X171" s="3824"/>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19" t="s">
        <v>2885</v>
      </c>
      <c r="V172" s="3822"/>
      <c r="W172" s="3823"/>
      <c r="X172" s="3824"/>
    </row>
    <row r="173" spans="2:24" s="293" customFormat="1" ht="14.1" customHeight="1">
      <c r="B173" s="293" t="s">
        <v>1261</v>
      </c>
      <c r="J173" s="2547">
        <f>J171/10</f>
        <v>788943.7</v>
      </c>
      <c r="K173" s="2549"/>
      <c r="L173" s="2548"/>
      <c r="M173" s="2351"/>
      <c r="N173" s="464"/>
      <c r="O173" s="464"/>
      <c r="P173" s="464"/>
      <c r="Q173" s="464"/>
      <c r="R173" s="464"/>
      <c r="V173" s="1029"/>
      <c r="W173" s="3823"/>
      <c r="X173" s="3824"/>
    </row>
    <row r="174" spans="2:24" s="293" customFormat="1" ht="14.1" customHeight="1">
      <c r="M174" s="311"/>
      <c r="N174" s="2409" t="s">
        <v>1262</v>
      </c>
      <c r="O174" s="2409"/>
      <c r="Q174" s="2409" t="s">
        <v>1754</v>
      </c>
      <c r="R174" s="2409"/>
      <c r="V174" s="3822"/>
      <c r="W174" s="3823"/>
      <c r="X174" s="3824"/>
    </row>
    <row r="175" spans="2:24" s="293" customFormat="1" ht="14.1" customHeight="1" thickBot="1">
      <c r="B175" s="293" t="s">
        <v>1453</v>
      </c>
      <c r="J175" s="2596">
        <f>N175+Q175</f>
        <v>1.25</v>
      </c>
      <c r="K175" s="2597"/>
      <c r="L175" s="2598"/>
      <c r="M175" s="2360" t="s">
        <v>1263</v>
      </c>
      <c r="N175" s="3920">
        <v>0.8</v>
      </c>
      <c r="O175" s="3921"/>
      <c r="P175" s="2360" t="s">
        <v>595</v>
      </c>
      <c r="Q175" s="3920">
        <v>0.45</v>
      </c>
      <c r="R175" s="3921"/>
      <c r="V175" s="3822"/>
      <c r="W175" s="3823"/>
      <c r="X175" s="3824"/>
    </row>
    <row r="176" spans="2:24" s="293" customFormat="1" ht="14.1" customHeight="1" thickBot="1">
      <c r="B176" s="295" t="s">
        <v>1397</v>
      </c>
      <c r="J176" s="2524">
        <f>ROUNDDOWN(IF(J175=0,"",J173/J175),0)</f>
        <v>631154</v>
      </c>
      <c r="K176" s="2546"/>
      <c r="L176" s="2525"/>
      <c r="M176" s="311"/>
      <c r="N176" s="2351"/>
      <c r="O176" s="2351"/>
      <c r="V176" s="3822"/>
      <c r="W176" s="3823"/>
      <c r="X176" s="3824"/>
    </row>
    <row r="177" spans="1:24" s="293" customFormat="1" ht="6" customHeight="1">
      <c r="J177" s="361"/>
      <c r="K177" s="361"/>
      <c r="L177" s="361"/>
      <c r="M177" s="311"/>
      <c r="N177" s="2354"/>
      <c r="O177" s="2354"/>
      <c r="V177" s="1029"/>
      <c r="W177" s="3823"/>
      <c r="X177" s="3824"/>
    </row>
    <row r="178" spans="1:24" s="293" customFormat="1" ht="14.1" customHeight="1">
      <c r="A178" s="419" t="s">
        <v>1748</v>
      </c>
      <c r="B178" s="419" t="s">
        <v>4525</v>
      </c>
      <c r="H178" s="351"/>
      <c r="I178" s="351"/>
      <c r="L178" s="2351"/>
      <c r="M178" s="467"/>
      <c r="N178" s="2351"/>
      <c r="O178" s="2351"/>
      <c r="P178" s="2351"/>
      <c r="Q178" s="2351"/>
      <c r="R178" s="2351"/>
      <c r="S178" s="2351"/>
      <c r="T178" s="2351"/>
      <c r="V178" s="1029"/>
    </row>
    <row r="179" spans="1:24" s="168" customFormat="1" ht="3" customHeight="1">
      <c r="H179" s="3904"/>
      <c r="I179" s="3904"/>
      <c r="M179" s="535"/>
      <c r="O179" s="3905"/>
      <c r="P179" s="3905"/>
      <c r="Q179" s="3905"/>
      <c r="R179" s="3905"/>
      <c r="S179" s="3905"/>
      <c r="T179" s="3905"/>
      <c r="U179" s="3905"/>
      <c r="V179" s="3905"/>
    </row>
    <row r="180" spans="1:24" s="293" customFormat="1" ht="16.350000000000001" customHeight="1">
      <c r="B180" s="295" t="s">
        <v>4803</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631154</v>
      </c>
      <c r="K180" s="2600"/>
      <c r="L180" s="2601"/>
      <c r="M180" s="311"/>
      <c r="N180" s="2354"/>
      <c r="O180" s="2354"/>
      <c r="V180" s="3822"/>
      <c r="W180" s="3823"/>
      <c r="X180" s="3824"/>
    </row>
    <row r="181" spans="1:24" s="293" customFormat="1" ht="3" customHeight="1">
      <c r="J181" s="361"/>
      <c r="K181" s="361"/>
      <c r="L181" s="361"/>
      <c r="M181" s="311"/>
      <c r="N181" s="2354"/>
      <c r="O181" s="2354"/>
      <c r="V181" s="1029"/>
      <c r="W181" s="3880"/>
      <c r="X181" s="3881"/>
    </row>
    <row r="182" spans="1:24" s="293" customFormat="1" ht="16.350000000000001" customHeight="1">
      <c r="B182" s="295" t="s">
        <v>4804</v>
      </c>
      <c r="J182" s="3922">
        <v>625000</v>
      </c>
      <c r="K182" s="3923"/>
      <c r="L182" s="3924"/>
      <c r="M182" s="362" t="str">
        <f>IF(J180=0,"",IF(J182&gt;J180,"ALLOCATION CANNOT EXCEED MAXIMUM - REVISE REQUEST (Try Round Down)!",""))</f>
        <v/>
      </c>
      <c r="N182" s="2354"/>
      <c r="O182" s="2354"/>
      <c r="V182" s="3822"/>
      <c r="W182" s="3823"/>
      <c r="X182" s="3824"/>
    </row>
    <row r="183" spans="1:24" s="293" customFormat="1" ht="3" customHeight="1">
      <c r="J183" s="361"/>
      <c r="K183" s="361"/>
      <c r="L183" s="361"/>
      <c r="M183" s="311"/>
      <c r="N183" s="2354"/>
      <c r="O183" s="2354"/>
      <c r="V183" s="1029"/>
      <c r="W183" s="3880"/>
      <c r="X183" s="3881"/>
    </row>
    <row r="184" spans="1:24" s="293" customFormat="1" ht="16.350000000000001" customHeight="1">
      <c r="A184" s="419"/>
      <c r="B184" s="419" t="s">
        <v>4805</v>
      </c>
      <c r="D184" s="311"/>
      <c r="E184" s="311"/>
      <c r="F184" s="2343"/>
      <c r="J184" s="2612">
        <f>IF(J182="",0,+MIN(J180,J182))</f>
        <v>625000</v>
      </c>
      <c r="K184" s="2613"/>
      <c r="L184" s="2614"/>
      <c r="N184" s="3925"/>
      <c r="O184" s="3925"/>
      <c r="P184" s="3925"/>
      <c r="Q184" s="3925"/>
      <c r="R184" s="3925"/>
      <c r="S184" s="3925"/>
      <c r="T184" s="3925"/>
      <c r="V184" s="3822"/>
      <c r="W184" s="3823"/>
      <c r="X184" s="3824"/>
    </row>
    <row r="185" spans="1:24" ht="3" customHeight="1"/>
    <row r="186" spans="1:24" ht="6" customHeight="1"/>
    <row r="187" spans="1:24" ht="12" customHeight="1">
      <c r="A187" s="295" t="s">
        <v>1750</v>
      </c>
      <c r="B187" s="319" t="s">
        <v>555</v>
      </c>
      <c r="N187" s="295" t="s">
        <v>516</v>
      </c>
      <c r="O187" s="295" t="s">
        <v>77</v>
      </c>
    </row>
    <row r="188" spans="1:24" ht="352.5" customHeight="1">
      <c r="A188" s="3820" t="s">
        <v>7158</v>
      </c>
      <c r="B188" s="3820"/>
      <c r="C188" s="3820"/>
      <c r="D188" s="3820"/>
      <c r="E188" s="3820"/>
      <c r="F188" s="3820"/>
      <c r="G188" s="3820"/>
      <c r="H188" s="3820"/>
      <c r="I188" s="3820"/>
      <c r="J188" s="3820"/>
      <c r="K188" s="3820"/>
      <c r="L188" s="3820"/>
      <c r="M188" s="3820"/>
      <c r="N188" s="3926"/>
      <c r="O188" s="3926"/>
      <c r="P188" s="3926"/>
      <c r="Q188" s="3926"/>
      <c r="R188" s="3926"/>
      <c r="S188" s="3926"/>
      <c r="T188" s="3926"/>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jNXnFY+i04b2hYrjwkKmWcFWeperhBBa6x76k+U/4GriSpRu+CrxS9QzSs+T3ptzEgYsDj8G3kq+dXmLwz0t/w==" saltValue="WNcBt0IdVjxFtLhh2ipFZ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cfRule type="cellIs" dxfId="180" priority="7" operator="greaterThan">
      <formula>$G$35</formula>
    </cfRule>
  </conditionalFormatting>
  <conditionalFormatting sqref="M36:N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4"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2020-042 - Freedom's Path at Dublin  -  Dublin  -  Laurens,  County</v>
      </c>
      <c r="B1" s="2623"/>
      <c r="C1" s="2623"/>
      <c r="D1" s="2623"/>
      <c r="E1" s="2623"/>
      <c r="F1" s="2623"/>
      <c r="G1" s="2623"/>
      <c r="H1" s="2623"/>
      <c r="I1" s="900"/>
      <c r="J1" s="900"/>
      <c r="K1" s="900"/>
      <c r="L1" s="900"/>
      <c r="M1" s="900"/>
      <c r="N1" s="900"/>
    </row>
    <row r="2" spans="1:14" ht="9" customHeight="1"/>
    <row r="3" spans="1:14" ht="57" customHeight="1">
      <c r="A3" s="3927" t="s">
        <v>3533</v>
      </c>
      <c r="B3" s="3928"/>
      <c r="C3" s="3928"/>
      <c r="D3" s="3928"/>
      <c r="E3" s="3928"/>
      <c r="F3" s="3928"/>
      <c r="G3" s="3928"/>
      <c r="H3" s="3929"/>
    </row>
    <row r="4" spans="1:14" ht="6" customHeight="1"/>
    <row r="5" spans="1:14" ht="38.25" customHeight="1">
      <c r="A5" s="2624" t="s">
        <v>3623</v>
      </c>
      <c r="B5" s="2624"/>
      <c r="C5" s="2624"/>
      <c r="D5" s="2624"/>
      <c r="F5" s="901" t="s">
        <v>3524</v>
      </c>
      <c r="G5" s="537"/>
      <c r="H5" s="901" t="s">
        <v>3525</v>
      </c>
    </row>
    <row r="6" spans="1:14" ht="6.75" customHeight="1">
      <c r="A6" s="537"/>
      <c r="B6" s="537"/>
      <c r="C6" s="537"/>
      <c r="D6" s="537"/>
    </row>
    <row r="7" spans="1:14" s="3930" customFormat="1" ht="4.5" customHeight="1">
      <c r="A7" s="902"/>
      <c r="B7" s="902"/>
      <c r="C7" s="902"/>
      <c r="D7" s="902"/>
      <c r="E7" s="902"/>
      <c r="F7" s="902"/>
      <c r="G7" s="902"/>
    </row>
    <row r="8" spans="1:14" s="3930" customFormat="1">
      <c r="A8" s="911" t="s">
        <v>99</v>
      </c>
      <c r="B8" s="903"/>
      <c r="C8" s="903"/>
      <c r="D8" s="903"/>
      <c r="E8" s="903"/>
      <c r="F8" s="903"/>
      <c r="G8" s="903"/>
      <c r="H8" s="903"/>
    </row>
    <row r="9" spans="1:14" s="3930" customFormat="1" ht="41.25" customHeight="1">
      <c r="A9" s="2625" t="str">
        <f>'Part IV-A-Uses of Funds'!$C$14</f>
        <v>Physical Needs Assessment and Fannie Mae Worksheet Projection</v>
      </c>
      <c r="B9" s="2626"/>
      <c r="C9" s="2626"/>
      <c r="D9" s="2627"/>
      <c r="F9" s="3931" t="s">
        <v>7036</v>
      </c>
      <c r="G9" s="903"/>
      <c r="H9" s="3931" t="s">
        <v>7037</v>
      </c>
    </row>
    <row r="10" spans="1:14" s="3930" customFormat="1" ht="41.25" customHeight="1">
      <c r="A10" s="2628"/>
      <c r="B10" s="2629"/>
      <c r="C10" s="2629"/>
      <c r="D10" s="2630"/>
      <c r="F10" s="3932"/>
      <c r="G10" s="903"/>
      <c r="H10" s="3932"/>
    </row>
    <row r="11" spans="1:14" s="3930" customFormat="1" ht="4.5" customHeight="1">
      <c r="F11" s="3932"/>
      <c r="G11" s="903"/>
      <c r="H11" s="3932"/>
    </row>
    <row r="12" spans="1:14" s="3930" customFormat="1" ht="15" customHeight="1">
      <c r="A12" s="910" t="s">
        <v>3527</v>
      </c>
      <c r="B12" s="909">
        <f>'Part IV-A-Uses of Funds'!$G$14</f>
        <v>10000</v>
      </c>
      <c r="C12" s="910" t="s">
        <v>1746</v>
      </c>
      <c r="D12" s="909">
        <f>'Part IV-A-Uses of Funds'!$J$14+'Part IV-A-Uses of Funds'!$M$14+'Part IV-A-Uses of Funds'!$P$14</f>
        <v>10000</v>
      </c>
      <c r="F12" s="3932"/>
      <c r="G12" s="903"/>
      <c r="H12" s="3932"/>
    </row>
    <row r="13" spans="1:14" s="3930" customFormat="1" ht="6" customHeight="1">
      <c r="A13" s="903"/>
      <c r="B13" s="904"/>
      <c r="C13" s="903"/>
      <c r="D13" s="903"/>
      <c r="F13" s="3932"/>
      <c r="G13" s="905"/>
      <c r="H13" s="3932"/>
    </row>
    <row r="14" spans="1:14" s="3930" customFormat="1" ht="41.25" customHeight="1">
      <c r="A14" s="2625" t="str">
        <f>'Part IV-A-Uses of Funds'!$C$15</f>
        <v>Historic Consultant Part 1 and Part 2 Certifications</v>
      </c>
      <c r="B14" s="2626"/>
      <c r="C14" s="2626"/>
      <c r="D14" s="2627"/>
      <c r="F14" s="3932" t="s">
        <v>7038</v>
      </c>
      <c r="G14" s="903"/>
      <c r="H14" s="3932" t="s">
        <v>7039</v>
      </c>
    </row>
    <row r="15" spans="1:14" s="3930" customFormat="1" ht="41.25" customHeight="1">
      <c r="A15" s="2628"/>
      <c r="B15" s="2629"/>
      <c r="C15" s="2629"/>
      <c r="D15" s="2630"/>
      <c r="F15" s="3932"/>
      <c r="G15" s="903"/>
      <c r="H15" s="3932"/>
    </row>
    <row r="16" spans="1:14" s="3930" customFormat="1" ht="4.5" customHeight="1">
      <c r="F16" s="3932"/>
      <c r="G16" s="903"/>
      <c r="H16" s="3932"/>
    </row>
    <row r="17" spans="1:8" s="3930" customFormat="1" ht="15" customHeight="1">
      <c r="A17" s="910" t="s">
        <v>3527</v>
      </c>
      <c r="B17" s="909">
        <f>'Part IV-A-Uses of Funds'!$G$15</f>
        <v>37000</v>
      </c>
      <c r="C17" s="910" t="s">
        <v>1746</v>
      </c>
      <c r="D17" s="909">
        <f>'Part IV-A-Uses of Funds'!$J$15+'Part IV-A-Uses of Funds'!$M$15+'Part IV-A-Uses of Funds'!$P$15</f>
        <v>37000</v>
      </c>
      <c r="F17" s="3932"/>
      <c r="G17" s="903"/>
      <c r="H17" s="3932"/>
    </row>
    <row r="18" spans="1:8" s="3930" customFormat="1" ht="6" customHeight="1">
      <c r="A18" s="903"/>
      <c r="B18" s="904"/>
      <c r="C18" s="903"/>
      <c r="D18" s="903"/>
      <c r="F18" s="3932"/>
      <c r="G18" s="905"/>
      <c r="H18" s="3932"/>
    </row>
    <row r="19" spans="1:8" s="3930" customFormat="1" ht="41.25" customHeight="1">
      <c r="A19" s="2625" t="str">
        <f>'Part IV-A-Uses of Funds'!$C$16</f>
        <v>&lt;&lt; Enter description here; provide detail &amp; justification in tab Part IV-b &gt;&gt;</v>
      </c>
      <c r="B19" s="2626"/>
      <c r="C19" s="2626"/>
      <c r="D19" s="2627"/>
      <c r="F19" s="3932"/>
      <c r="G19" s="903"/>
      <c r="H19" s="3932"/>
    </row>
    <row r="20" spans="1:8" s="3930" customFormat="1" ht="41.25" customHeight="1">
      <c r="A20" s="2628"/>
      <c r="B20" s="2629"/>
      <c r="C20" s="2629"/>
      <c r="D20" s="2630"/>
      <c r="F20" s="3932"/>
      <c r="G20" s="903"/>
      <c r="H20" s="3932"/>
    </row>
    <row r="21" spans="1:8" s="3930" customFormat="1" ht="4.5" customHeight="1">
      <c r="F21" s="3932"/>
      <c r="G21" s="903"/>
      <c r="H21" s="3932"/>
    </row>
    <row r="22" spans="1:8" s="3930" customFormat="1" ht="15" customHeight="1">
      <c r="A22" s="910" t="s">
        <v>3527</v>
      </c>
      <c r="B22" s="909">
        <f>'Part IV-A-Uses of Funds'!$G$16</f>
        <v>0</v>
      </c>
      <c r="C22" s="910" t="s">
        <v>1746</v>
      </c>
      <c r="D22" s="909">
        <f>'Part IV-A-Uses of Funds'!$J$16+'Part IV-A-Uses of Funds'!$M$16+'Part IV-A-Uses of Funds'!$P$16</f>
        <v>0</v>
      </c>
      <c r="F22" s="3932"/>
      <c r="G22" s="903"/>
      <c r="H22" s="3932"/>
    </row>
    <row r="23" spans="1:8" s="3930" customFormat="1" ht="6" customHeight="1">
      <c r="A23" s="903"/>
      <c r="B23" s="904"/>
      <c r="C23" s="903"/>
      <c r="D23" s="903"/>
      <c r="F23" s="3933"/>
      <c r="G23" s="905"/>
      <c r="H23" s="3933"/>
    </row>
    <row r="24" spans="1:8" s="3930" customFormat="1">
      <c r="A24" s="911" t="s">
        <v>3526</v>
      </c>
      <c r="B24" s="903"/>
      <c r="C24" s="903"/>
      <c r="D24" s="903"/>
      <c r="E24" s="903"/>
      <c r="F24" s="903"/>
      <c r="G24" s="903"/>
    </row>
    <row r="25" spans="1:8" s="3930" customFormat="1" ht="41.25" customHeight="1">
      <c r="A25" s="2625" t="str">
        <f>'Part IV-A-Uses of Funds'!$C$41</f>
        <v>&lt;&lt; Enter description here; provide detail &amp; justification in tab Part IV-b &gt;&gt;</v>
      </c>
      <c r="B25" s="2626"/>
      <c r="C25" s="2626"/>
      <c r="D25" s="2627"/>
      <c r="E25" s="903"/>
      <c r="F25" s="3934"/>
      <c r="G25" s="903"/>
      <c r="H25" s="3934"/>
    </row>
    <row r="26" spans="1:8" s="3930" customFormat="1" ht="41.25" customHeight="1">
      <c r="A26" s="2628"/>
      <c r="B26" s="2629"/>
      <c r="C26" s="2629"/>
      <c r="D26" s="2630"/>
      <c r="E26" s="903"/>
      <c r="F26" s="3935"/>
      <c r="G26" s="903"/>
      <c r="H26" s="3935"/>
    </row>
    <row r="27" spans="1:8" s="3930" customFormat="1" ht="4.5" customHeight="1">
      <c r="A27" s="903"/>
      <c r="B27" s="903"/>
      <c r="C27" s="903"/>
      <c r="D27" s="903"/>
      <c r="E27" s="903"/>
      <c r="F27" s="3935"/>
      <c r="G27" s="903"/>
      <c r="H27" s="3935"/>
    </row>
    <row r="28" spans="1:8" s="3930" customFormat="1" ht="10.199999999999999">
      <c r="A28" s="910" t="s">
        <v>3527</v>
      </c>
      <c r="B28" s="909">
        <f>'Part IV-A-Uses of Funds'!$G$41</f>
        <v>0</v>
      </c>
      <c r="C28" s="910" t="s">
        <v>1746</v>
      </c>
      <c r="D28" s="909">
        <f>'Part IV-A-Uses of Funds'!$J$41+'Part IV-A-Uses of Funds'!$M$41+'Part IV-A-Uses of Funds'!$P$41</f>
        <v>0</v>
      </c>
      <c r="E28" s="903"/>
      <c r="F28" s="3935"/>
      <c r="G28" s="903"/>
      <c r="H28" s="3935"/>
    </row>
    <row r="29" spans="1:8" s="3930" customFormat="1" ht="6" customHeight="1">
      <c r="A29" s="903"/>
      <c r="B29" s="904"/>
      <c r="C29" s="903"/>
      <c r="D29" s="903"/>
      <c r="E29" s="903"/>
      <c r="F29" s="3936"/>
      <c r="G29" s="905"/>
      <c r="H29" s="3936"/>
    </row>
    <row r="30" spans="1:8" s="3930" customFormat="1">
      <c r="A30" s="911" t="s">
        <v>704</v>
      </c>
      <c r="B30" s="903"/>
      <c r="C30" s="903"/>
      <c r="D30" s="903"/>
      <c r="E30" s="903"/>
      <c r="F30" s="903"/>
      <c r="G30" s="903"/>
    </row>
    <row r="31" spans="1:8" s="3930" customFormat="1" ht="41.25" customHeight="1">
      <c r="A31" s="2631" t="str">
        <f>'Part IV-A-Uses of Funds'!$C$62</f>
        <v>&lt;&lt; Enter description here; provide detail &amp; justification in tab Part IV-b &gt;&gt;</v>
      </c>
      <c r="B31" s="2632"/>
      <c r="C31" s="2632"/>
      <c r="D31" s="2633"/>
      <c r="E31" s="903"/>
      <c r="F31" s="3931"/>
      <c r="G31" s="903"/>
      <c r="H31" s="3931"/>
    </row>
    <row r="32" spans="1:8" s="3930" customFormat="1" ht="41.25" customHeight="1">
      <c r="A32" s="2628"/>
      <c r="B32" s="2629"/>
      <c r="C32" s="2629"/>
      <c r="D32" s="2630"/>
      <c r="E32" s="903"/>
      <c r="F32" s="3932"/>
      <c r="G32" s="903"/>
      <c r="H32" s="3932"/>
    </row>
    <row r="33" spans="1:8" s="3930" customFormat="1" ht="4.5" customHeight="1">
      <c r="A33" s="903"/>
      <c r="B33" s="903"/>
      <c r="C33" s="903"/>
      <c r="D33" s="903"/>
      <c r="E33" s="903"/>
      <c r="F33" s="3932"/>
      <c r="G33" s="903"/>
      <c r="H33" s="3932"/>
    </row>
    <row r="34" spans="1:8" s="3930" customFormat="1" ht="14.25" customHeight="1">
      <c r="A34" s="910" t="s">
        <v>3527</v>
      </c>
      <c r="B34" s="909">
        <f>'Part IV-A-Uses of Funds'!$G$62</f>
        <v>0</v>
      </c>
      <c r="C34" s="910" t="s">
        <v>1746</v>
      </c>
      <c r="D34" s="909">
        <f>'Part IV-A-Uses of Funds'!$J$62+'Part IV-A-Uses of Funds'!$M$62+'Part IV-A-Uses of Funds'!$P$62</f>
        <v>0</v>
      </c>
      <c r="E34" s="903"/>
      <c r="F34" s="3932"/>
      <c r="G34" s="903"/>
      <c r="H34" s="3932"/>
    </row>
    <row r="35" spans="1:8" s="3930" customFormat="1" ht="6" customHeight="1">
      <c r="D35" s="903"/>
      <c r="E35" s="903"/>
      <c r="F35" s="3932"/>
      <c r="G35" s="905"/>
      <c r="H35" s="3932"/>
    </row>
    <row r="36" spans="1:8" s="3930" customFormat="1" ht="41.25" customHeight="1">
      <c r="A36" s="2631" t="str">
        <f>'Part IV-A-Uses of Funds'!$C$63</f>
        <v>&lt;&lt; Enter description here; provide detail &amp; justification in tab Part IV-b &gt;&gt;</v>
      </c>
      <c r="B36" s="2632"/>
      <c r="C36" s="2632"/>
      <c r="D36" s="2633"/>
      <c r="E36" s="903"/>
      <c r="F36" s="3932"/>
      <c r="G36" s="903"/>
      <c r="H36" s="3932"/>
    </row>
    <row r="37" spans="1:8" s="3930" customFormat="1" ht="41.25" customHeight="1">
      <c r="A37" s="2628"/>
      <c r="B37" s="2629"/>
      <c r="C37" s="2629"/>
      <c r="D37" s="2630"/>
      <c r="E37" s="903"/>
      <c r="F37" s="3932"/>
      <c r="G37" s="903"/>
      <c r="H37" s="3932"/>
    </row>
    <row r="38" spans="1:8" s="3930" customFormat="1" ht="4.5" customHeight="1">
      <c r="A38" s="903"/>
      <c r="B38" s="903"/>
      <c r="C38" s="903"/>
      <c r="D38" s="903"/>
      <c r="E38" s="903"/>
      <c r="F38" s="3932"/>
      <c r="G38" s="903"/>
      <c r="H38" s="3932"/>
    </row>
    <row r="39" spans="1:8" s="3930" customFormat="1" ht="14.25" customHeight="1">
      <c r="A39" s="910" t="s">
        <v>3527</v>
      </c>
      <c r="B39" s="909">
        <f>'Part IV-A-Uses of Funds'!$G$63</f>
        <v>0</v>
      </c>
      <c r="C39" s="910" t="s">
        <v>1746</v>
      </c>
      <c r="D39" s="909">
        <f>'Part IV-A-Uses of Funds'!$J$63+'Part IV-A-Uses of Funds'!$M$63+'Part IV-A-Uses of Funds'!$P$63</f>
        <v>0</v>
      </c>
      <c r="E39" s="903"/>
      <c r="F39" s="3932"/>
      <c r="G39" s="903"/>
      <c r="H39" s="3932"/>
    </row>
    <row r="40" spans="1:8" s="3930" customFormat="1" ht="6" customHeight="1">
      <c r="D40" s="903"/>
      <c r="E40" s="903"/>
      <c r="F40" s="3933"/>
      <c r="G40" s="905"/>
      <c r="H40" s="3933"/>
    </row>
    <row r="41" spans="1:8" s="3930" customFormat="1">
      <c r="A41" s="911" t="s">
        <v>467</v>
      </c>
      <c r="B41" s="903"/>
      <c r="C41" s="903"/>
      <c r="D41" s="903"/>
      <c r="E41" s="907"/>
      <c r="F41" s="907"/>
      <c r="G41" s="903"/>
    </row>
    <row r="42" spans="1:8" s="3930" customFormat="1" ht="41.25" customHeight="1">
      <c r="A42" s="2631" t="str">
        <f>'Part IV-A-Uses of Funds'!$C$76</f>
        <v>&lt;&lt; Enter description here; provide detail &amp; justification in tab Part IV-b &gt;&gt;</v>
      </c>
      <c r="B42" s="2632"/>
      <c r="C42" s="2632"/>
      <c r="D42" s="2633"/>
      <c r="F42" s="3934"/>
      <c r="G42" s="903"/>
      <c r="H42" s="3934"/>
    </row>
    <row r="43" spans="1:8" s="3930" customFormat="1" ht="41.25" customHeight="1">
      <c r="A43" s="2628"/>
      <c r="B43" s="2629"/>
      <c r="C43" s="2629"/>
      <c r="D43" s="2630"/>
      <c r="E43" s="903"/>
      <c r="F43" s="3935"/>
      <c r="G43" s="903"/>
      <c r="H43" s="3935"/>
    </row>
    <row r="44" spans="1:8" s="3930" customFormat="1" ht="4.5" customHeight="1">
      <c r="A44" s="903"/>
      <c r="B44" s="903"/>
      <c r="C44" s="903"/>
      <c r="D44" s="903"/>
      <c r="E44" s="903"/>
      <c r="F44" s="3935"/>
      <c r="G44" s="903"/>
      <c r="H44" s="3935"/>
    </row>
    <row r="45" spans="1:8" s="3930" customFormat="1" ht="13.5" customHeight="1">
      <c r="A45" s="910" t="s">
        <v>3527</v>
      </c>
      <c r="B45" s="909">
        <f>'Part IV-A-Uses of Funds'!$G$76</f>
        <v>0</v>
      </c>
      <c r="C45" s="910" t="s">
        <v>1746</v>
      </c>
      <c r="D45" s="909">
        <f>'Part IV-A-Uses of Funds'!$J$76+'Part IV-A-Uses of Funds'!$M$76+'Part IV-A-Uses of Funds'!$P$76</f>
        <v>0</v>
      </c>
      <c r="E45" s="903"/>
      <c r="F45" s="3935"/>
      <c r="G45" s="903"/>
      <c r="H45" s="3935"/>
    </row>
    <row r="46" spans="1:8" s="3930" customFormat="1" ht="6" customHeight="1">
      <c r="A46" s="903"/>
      <c r="B46" s="904"/>
      <c r="C46" s="903"/>
      <c r="D46" s="903"/>
      <c r="E46" s="903"/>
      <c r="F46" s="3936"/>
      <c r="G46" s="905"/>
      <c r="H46" s="3936"/>
    </row>
    <row r="47" spans="1:8" s="3930" customFormat="1">
      <c r="A47" s="911" t="s">
        <v>706</v>
      </c>
      <c r="B47" s="903"/>
      <c r="C47" s="903"/>
      <c r="D47" s="903"/>
      <c r="E47" s="903"/>
      <c r="F47" s="903"/>
      <c r="G47" s="903"/>
    </row>
    <row r="48" spans="1:8" s="3930" customFormat="1" ht="41.25" customHeight="1">
      <c r="A48" s="2631" t="str">
        <f>'Part IV-A-Uses of Funds'!$C$90</f>
        <v>&lt;&lt; Enter description here; provide detail &amp; justification in tab Part IV-b &gt;&gt;</v>
      </c>
      <c r="B48" s="2632"/>
      <c r="C48" s="2632"/>
      <c r="D48" s="2633"/>
      <c r="F48" s="3934"/>
      <c r="G48" s="903"/>
    </row>
    <row r="49" spans="1:7" s="3930" customFormat="1" ht="41.25" customHeight="1">
      <c r="A49" s="2628"/>
      <c r="B49" s="2629"/>
      <c r="C49" s="2629"/>
      <c r="D49" s="2630"/>
      <c r="E49" s="903"/>
      <c r="F49" s="3935"/>
      <c r="G49" s="903"/>
    </row>
    <row r="50" spans="1:7" s="3930" customFormat="1" ht="3" customHeight="1">
      <c r="A50" s="903"/>
      <c r="B50" s="903"/>
      <c r="C50" s="903"/>
      <c r="D50" s="903"/>
      <c r="E50" s="903"/>
      <c r="F50" s="3935"/>
      <c r="G50" s="903"/>
    </row>
    <row r="51" spans="1:7" s="3930" customFormat="1" ht="13.5" customHeight="1">
      <c r="A51" s="910" t="s">
        <v>3527</v>
      </c>
      <c r="B51" s="909">
        <f>'Part IV-A-Uses of Funds'!$G$90</f>
        <v>0</v>
      </c>
      <c r="C51" s="906"/>
      <c r="D51" s="906"/>
      <c r="E51" s="903"/>
      <c r="F51" s="3935"/>
      <c r="G51" s="903"/>
    </row>
    <row r="52" spans="1:7" s="3930" customFormat="1" ht="3.75" customHeight="1">
      <c r="A52" s="903"/>
      <c r="B52" s="903"/>
      <c r="C52" s="903"/>
      <c r="D52" s="903"/>
      <c r="E52" s="903"/>
      <c r="F52" s="3936"/>
      <c r="G52" s="905"/>
    </row>
    <row r="53" spans="1:7" s="3930" customFormat="1">
      <c r="A53" s="911" t="s">
        <v>3528</v>
      </c>
      <c r="B53" s="903"/>
      <c r="C53" s="903"/>
      <c r="D53" s="903"/>
      <c r="E53" s="903"/>
      <c r="F53" s="903"/>
      <c r="G53" s="903"/>
    </row>
    <row r="54" spans="1:7" s="3930" customFormat="1" ht="41.25" customHeight="1">
      <c r="A54" s="2631" t="str">
        <f>'Part IV-A-Uses of Funds'!$C$103</f>
        <v>&lt;&lt; Enter description here; provide detail &amp; justification in tab Part IV-b &gt;&gt;</v>
      </c>
      <c r="B54" s="2632"/>
      <c r="C54" s="2632"/>
      <c r="D54" s="2633"/>
      <c r="F54" s="3931"/>
      <c r="G54" s="903"/>
    </row>
    <row r="55" spans="1:7" s="3930" customFormat="1" ht="41.25" customHeight="1">
      <c r="A55" s="2628"/>
      <c r="B55" s="2629"/>
      <c r="C55" s="2629"/>
      <c r="D55" s="2630"/>
      <c r="E55" s="903"/>
      <c r="F55" s="3932"/>
      <c r="G55" s="903"/>
    </row>
    <row r="56" spans="1:7" s="3930" customFormat="1" ht="3" customHeight="1">
      <c r="A56" s="903"/>
      <c r="B56" s="903"/>
      <c r="C56" s="903"/>
      <c r="D56" s="903"/>
      <c r="E56" s="903"/>
      <c r="F56" s="3932"/>
      <c r="G56" s="903"/>
    </row>
    <row r="57" spans="1:7" s="3930" customFormat="1" ht="10.199999999999999">
      <c r="A57" s="910" t="s">
        <v>3527</v>
      </c>
      <c r="B57" s="909">
        <f>'Part IV-A-Uses of Funds'!$G$103</f>
        <v>0</v>
      </c>
      <c r="C57" s="906"/>
      <c r="D57" s="906"/>
      <c r="E57" s="903"/>
      <c r="F57" s="3932"/>
      <c r="G57" s="903"/>
    </row>
    <row r="58" spans="1:7" s="3930" customFormat="1" ht="3.75" customHeight="1">
      <c r="A58" s="902"/>
      <c r="B58" s="902"/>
      <c r="C58" s="902"/>
      <c r="D58" s="902"/>
      <c r="E58" s="902"/>
      <c r="F58" s="3932"/>
      <c r="G58" s="905"/>
    </row>
    <row r="59" spans="1:7" s="3930" customFormat="1" ht="41.25" customHeight="1">
      <c r="A59" s="2631" t="str">
        <f>'Part IV-A-Uses of Funds'!$C$104</f>
        <v>&lt;&lt; Enter description here; provide detail &amp; justification in tab Part IV-b &gt;&gt;</v>
      </c>
      <c r="B59" s="2632"/>
      <c r="C59" s="2632"/>
      <c r="D59" s="2633"/>
      <c r="F59" s="3932"/>
      <c r="G59" s="903"/>
    </row>
    <row r="60" spans="1:7" s="3930" customFormat="1" ht="41.25" customHeight="1">
      <c r="A60" s="2628"/>
      <c r="B60" s="2629"/>
      <c r="C60" s="2629"/>
      <c r="D60" s="2630"/>
      <c r="E60" s="903"/>
      <c r="F60" s="3932"/>
      <c r="G60" s="903"/>
    </row>
    <row r="61" spans="1:7" s="3930" customFormat="1" ht="3" customHeight="1">
      <c r="A61" s="903"/>
      <c r="B61" s="903"/>
      <c r="C61" s="903"/>
      <c r="D61" s="903"/>
      <c r="E61" s="903"/>
      <c r="F61" s="3932"/>
      <c r="G61" s="903"/>
    </row>
    <row r="62" spans="1:7" s="3930" customFormat="1" ht="10.199999999999999">
      <c r="A62" s="910" t="s">
        <v>3527</v>
      </c>
      <c r="B62" s="909">
        <f>'Part IV-A-Uses of Funds'!$G$104</f>
        <v>0</v>
      </c>
      <c r="C62" s="906"/>
      <c r="D62" s="906"/>
      <c r="E62" s="903"/>
      <c r="F62" s="3932"/>
      <c r="G62" s="903"/>
    </row>
    <row r="63" spans="1:7" s="3930" customFormat="1" ht="3.75" customHeight="1">
      <c r="A63" s="902"/>
      <c r="B63" s="902"/>
      <c r="C63" s="902"/>
      <c r="D63" s="902"/>
      <c r="E63" s="902"/>
      <c r="F63" s="3933"/>
      <c r="G63" s="905"/>
    </row>
    <row r="64" spans="1:7" s="3930" customFormat="1">
      <c r="A64" s="911" t="s">
        <v>3529</v>
      </c>
      <c r="B64" s="903"/>
      <c r="C64" s="903"/>
      <c r="D64" s="903"/>
      <c r="E64" s="903"/>
      <c r="F64" s="903"/>
      <c r="G64" s="903"/>
    </row>
    <row r="65" spans="1:8" s="3930" customFormat="1" ht="41.25" customHeight="1">
      <c r="A65" s="2631" t="str">
        <f>'Part IV-A-Uses of Funds'!$C$110</f>
        <v>&lt;&lt; Enter description here; provide detail &amp; justification in tab Part IV-b &gt;&gt;</v>
      </c>
      <c r="B65" s="2632"/>
      <c r="C65" s="2632"/>
      <c r="D65" s="2633"/>
      <c r="F65" s="3934"/>
      <c r="G65" s="903"/>
    </row>
    <row r="66" spans="1:8" s="3930" customFormat="1" ht="41.25" customHeight="1">
      <c r="A66" s="2628"/>
      <c r="B66" s="2629"/>
      <c r="C66" s="2629"/>
      <c r="D66" s="2630"/>
      <c r="E66" s="903"/>
      <c r="F66" s="3935"/>
      <c r="G66" s="903"/>
    </row>
    <row r="67" spans="1:8" s="3930" customFormat="1" ht="3" customHeight="1">
      <c r="A67" s="903"/>
      <c r="B67" s="903"/>
      <c r="C67" s="903"/>
      <c r="D67" s="903"/>
      <c r="E67" s="903"/>
      <c r="F67" s="3935"/>
      <c r="G67" s="903"/>
    </row>
    <row r="68" spans="1:8" s="3930" customFormat="1" ht="10.199999999999999">
      <c r="A68" s="910" t="s">
        <v>3527</v>
      </c>
      <c r="B68" s="909">
        <f>'Part IV-A-Uses of Funds'!$G$110</f>
        <v>0</v>
      </c>
      <c r="C68" s="906"/>
      <c r="D68" s="906"/>
      <c r="E68" s="903"/>
      <c r="F68" s="3935"/>
      <c r="G68" s="903"/>
    </row>
    <row r="69" spans="1:8" s="3930" customFormat="1" ht="3.75" customHeight="1">
      <c r="A69" s="903"/>
      <c r="B69" s="904"/>
      <c r="C69" s="903"/>
      <c r="D69" s="903"/>
      <c r="E69" s="903"/>
      <c r="F69" s="3936"/>
      <c r="G69" s="905"/>
    </row>
    <row r="70" spans="1:8" s="3930" customFormat="1">
      <c r="A70" s="911" t="s">
        <v>1282</v>
      </c>
      <c r="B70" s="903"/>
      <c r="C70" s="903"/>
      <c r="D70" s="903"/>
      <c r="E70" s="903"/>
      <c r="F70" s="903"/>
      <c r="G70" s="903"/>
    </row>
    <row r="71" spans="1:8" s="3930" customFormat="1" ht="41.25" customHeight="1">
      <c r="A71" s="2631" t="str">
        <f>'Part IV-A-Uses of Funds'!$C$125</f>
        <v>&lt;&lt; Enter description here; provide detail &amp; justification in tab Part IV-b &gt;&gt;</v>
      </c>
      <c r="B71" s="2632"/>
      <c r="C71" s="2632"/>
      <c r="D71" s="2633"/>
      <c r="F71" s="3934"/>
      <c r="G71" s="903"/>
      <c r="H71" s="3934"/>
    </row>
    <row r="72" spans="1:8" s="3930" customFormat="1" ht="41.25" customHeight="1">
      <c r="A72" s="2628"/>
      <c r="B72" s="2629"/>
      <c r="C72" s="2629"/>
      <c r="D72" s="2630"/>
      <c r="E72" s="903"/>
      <c r="F72" s="3935"/>
      <c r="G72" s="903"/>
      <c r="H72" s="3935"/>
    </row>
    <row r="73" spans="1:8" s="3930" customFormat="1" ht="4.5" customHeight="1">
      <c r="A73" s="903"/>
      <c r="B73" s="903"/>
      <c r="C73" s="903"/>
      <c r="D73" s="903"/>
      <c r="E73" s="903"/>
      <c r="F73" s="3935"/>
      <c r="G73" s="903"/>
      <c r="H73" s="3935"/>
    </row>
    <row r="74" spans="1:8" s="3930" customFormat="1" ht="12.75" customHeight="1">
      <c r="A74" s="910" t="s">
        <v>3527</v>
      </c>
      <c r="B74" s="909">
        <f>'Part IV-A-Uses of Funds'!$G$125</f>
        <v>0</v>
      </c>
      <c r="C74" s="910" t="s">
        <v>1746</v>
      </c>
      <c r="D74" s="909">
        <f>'Part IV-A-Uses of Funds'!$J$125+'Part IV-A-Uses of Funds'!$M$125+'Part IV-A-Uses of Funds'!$P$125</f>
        <v>0</v>
      </c>
      <c r="E74" s="903"/>
      <c r="F74" s="3935"/>
      <c r="G74" s="903"/>
      <c r="H74" s="3935"/>
    </row>
    <row r="75" spans="1:8" s="3930" customFormat="1" ht="6" customHeight="1">
      <c r="A75" s="903"/>
      <c r="B75" s="904"/>
      <c r="C75" s="903"/>
      <c r="D75" s="903"/>
      <c r="E75" s="903"/>
      <c r="F75" s="3936"/>
      <c r="G75" s="905"/>
      <c r="H75" s="3936"/>
    </row>
    <row r="76" spans="1:8" s="3930" customFormat="1">
      <c r="A76" s="911" t="s">
        <v>3530</v>
      </c>
      <c r="B76" s="904"/>
      <c r="C76" s="903"/>
      <c r="D76" s="903"/>
      <c r="E76" s="903"/>
      <c r="F76" s="903"/>
      <c r="G76" s="905"/>
    </row>
    <row r="77" spans="1:8" s="3930" customFormat="1" ht="41.25" customHeight="1">
      <c r="A77" s="2631" t="str">
        <f>'Part IV-A-Uses of Funds'!$C$129</f>
        <v>&lt;&lt; Enter description here; provide detail &amp; justification in tab Part IV-b &gt;&gt;</v>
      </c>
      <c r="B77" s="2632"/>
      <c r="C77" s="2632"/>
      <c r="D77" s="2633"/>
      <c r="F77" s="3934"/>
      <c r="G77" s="903"/>
      <c r="H77" s="3934"/>
    </row>
    <row r="78" spans="1:8" s="3930" customFormat="1" ht="41.25" customHeight="1">
      <c r="A78" s="2628"/>
      <c r="B78" s="2629"/>
      <c r="C78" s="2629"/>
      <c r="D78" s="2630"/>
      <c r="E78" s="903"/>
      <c r="F78" s="3935"/>
      <c r="G78" s="903"/>
      <c r="H78" s="3935"/>
    </row>
    <row r="79" spans="1:8" s="3930" customFormat="1" ht="4.5" customHeight="1">
      <c r="A79" s="903"/>
      <c r="B79" s="903"/>
      <c r="C79" s="903"/>
      <c r="D79" s="903"/>
      <c r="E79" s="903"/>
      <c r="F79" s="3935"/>
      <c r="G79" s="903"/>
      <c r="H79" s="3935"/>
    </row>
    <row r="80" spans="1:8" s="3930" customFormat="1" ht="12.75" customHeight="1">
      <c r="A80" s="910" t="s">
        <v>3527</v>
      </c>
      <c r="B80" s="909">
        <f>'Part IV-A-Uses of Funds'!$G$129</f>
        <v>0</v>
      </c>
      <c r="C80" s="910" t="s">
        <v>1746</v>
      </c>
      <c r="D80" s="909">
        <f>'Part IV-A-Uses of Funds'!$J$129+'Part IV-A-Uses of Funds'!$M$129+'Part IV-A-Uses of Funds'!$P$129</f>
        <v>0</v>
      </c>
      <c r="E80" s="908"/>
      <c r="F80" s="3935"/>
      <c r="G80" s="903"/>
      <c r="H80" s="3935"/>
    </row>
    <row r="81" spans="4:8" s="3930" customFormat="1" ht="6" customHeight="1">
      <c r="D81" s="3937"/>
      <c r="E81" s="3938"/>
      <c r="F81" s="3936"/>
      <c r="G81" s="905"/>
      <c r="H81" s="3936"/>
    </row>
    <row r="82" spans="4:8" s="3930" customFormat="1" ht="10.199999999999999"/>
    <row r="83" spans="4:8" s="3930" customFormat="1" ht="10.199999999999999"/>
    <row r="84" spans="4:8" s="3930" customFormat="1" ht="10.199999999999999"/>
    <row r="85" spans="4:8" s="3930" customFormat="1" ht="10.199999999999999"/>
    <row r="86" spans="4:8" s="3930" customFormat="1" ht="10.199999999999999"/>
    <row r="87" spans="4:8" s="3930" customFormat="1" ht="10.199999999999999"/>
    <row r="88" spans="4:8" s="3930" customFormat="1" ht="10.199999999999999"/>
    <row r="89" spans="4:8" s="3930" customFormat="1" ht="10.199999999999999"/>
    <row r="90" spans="4:8" s="3930" customFormat="1" ht="10.199999999999999"/>
    <row r="91" spans="4:8" s="3930" customFormat="1" ht="10.199999999999999"/>
    <row r="92" spans="4:8" s="3930" customFormat="1" ht="10.199999999999999"/>
  </sheetData>
  <sheetProtection algorithmName="SHA-512" hashValue="yAk37ttIJ1tBSO1ScgX2omXHoUqsDUNTAcK5UIoLdxr4byeUc//B+dy9ued6tjRRn30Jk2P+t6C7caS4pn83Dg==" saltValue="34loMur3TuDVojTEEF0/z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Normal="100" workbookViewId="0">
      <selection activeCell="A22"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2020-042 Freedom's Path at Dublin, Dublin, Laurens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4116</v>
      </c>
      <c r="I3" s="2369" t="str">
        <f>VLOOKUP('Part I-Project Information'!$J$39,'DCA Underwriting Assumptions'!$G$173:$H$332,2)</f>
        <v>North</v>
      </c>
    </row>
    <row r="4" spans="1:20" s="8" customFormat="1" ht="6" customHeight="1"/>
    <row r="5" spans="1:20">
      <c r="A5" s="251" t="s">
        <v>3610</v>
      </c>
    </row>
    <row r="6" spans="1:20" ht="6" customHeight="1">
      <c r="A6" s="8"/>
    </row>
    <row r="7" spans="1:20" s="8" customFormat="1">
      <c r="A7" s="13" t="s">
        <v>598</v>
      </c>
      <c r="B7" s="13" t="s">
        <v>2170</v>
      </c>
      <c r="F7" s="1" t="s">
        <v>2452</v>
      </c>
      <c r="G7" s="1"/>
      <c r="H7" s="1"/>
      <c r="I7" s="3939" t="s">
        <v>7040</v>
      </c>
      <c r="J7" s="3940"/>
      <c r="K7" s="3940"/>
      <c r="L7" s="3940"/>
      <c r="M7" s="3941"/>
    </row>
    <row r="8" spans="1:20" s="8" customFormat="1" ht="13.35" customHeight="1">
      <c r="A8" s="13"/>
      <c r="F8" s="1" t="s">
        <v>618</v>
      </c>
      <c r="G8" s="1"/>
      <c r="H8" s="33"/>
      <c r="I8" s="3942"/>
      <c r="J8" s="3943"/>
      <c r="K8" s="6" t="s">
        <v>525</v>
      </c>
      <c r="L8" s="3944" t="s">
        <v>2537</v>
      </c>
      <c r="M8" s="3945"/>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68" t="s">
        <v>624</v>
      </c>
      <c r="G11" s="2368" t="s">
        <v>1803</v>
      </c>
      <c r="I11" s="246" t="s">
        <v>551</v>
      </c>
      <c r="J11" s="247">
        <v>1</v>
      </c>
      <c r="K11" s="247">
        <v>2</v>
      </c>
      <c r="L11" s="247">
        <v>3</v>
      </c>
      <c r="M11" s="247">
        <v>4</v>
      </c>
    </row>
    <row r="12" spans="1:20" s="8" customFormat="1" ht="12" customHeight="1">
      <c r="B12" s="1539" t="s">
        <v>1805</v>
      </c>
      <c r="C12" s="1540"/>
      <c r="D12" s="3946" t="s">
        <v>1342</v>
      </c>
      <c r="E12" s="3947"/>
      <c r="F12" s="3948"/>
      <c r="G12" s="3948" t="s">
        <v>433</v>
      </c>
      <c r="H12" s="993"/>
      <c r="I12" s="3949"/>
      <c r="J12" s="3949"/>
      <c r="K12" s="3949"/>
      <c r="L12" s="3949"/>
      <c r="M12" s="3949"/>
      <c r="O12" s="2639" t="s">
        <v>3622</v>
      </c>
      <c r="P12" s="2639"/>
    </row>
    <row r="13" spans="1:20" s="8" customFormat="1" ht="12" customHeight="1">
      <c r="B13" s="1541" t="s">
        <v>1564</v>
      </c>
      <c r="C13" s="1542"/>
      <c r="D13" s="3950" t="s">
        <v>1563</v>
      </c>
      <c r="E13" s="3951"/>
      <c r="F13" s="3952"/>
      <c r="G13" s="3952" t="s">
        <v>433</v>
      </c>
      <c r="H13" s="992"/>
      <c r="I13" s="3953"/>
      <c r="J13" s="3953"/>
      <c r="K13" s="3953"/>
      <c r="L13" s="3954"/>
      <c r="M13" s="3954"/>
      <c r="O13" s="2639"/>
      <c r="P13" s="2639"/>
    </row>
    <row r="14" spans="1:20" s="8" customFormat="1" ht="12" customHeight="1">
      <c r="B14" s="1543" t="s">
        <v>1565</v>
      </c>
      <c r="C14" s="1544"/>
      <c r="D14" s="3950" t="s">
        <v>1342</v>
      </c>
      <c r="E14" s="3951"/>
      <c r="F14" s="3952"/>
      <c r="G14" s="3952" t="s">
        <v>433</v>
      </c>
      <c r="H14" s="248"/>
      <c r="I14" s="3953"/>
      <c r="J14" s="3953"/>
      <c r="K14" s="3953"/>
      <c r="L14" s="3954"/>
      <c r="M14" s="3954"/>
      <c r="O14" s="2639"/>
      <c r="P14" s="2639"/>
    </row>
    <row r="15" spans="1:20" s="8" customFormat="1" ht="12" customHeight="1">
      <c r="B15" s="1545" t="s">
        <v>458</v>
      </c>
      <c r="C15" s="1546"/>
      <c r="D15" s="1545" t="s">
        <v>1563</v>
      </c>
      <c r="E15" s="249"/>
      <c r="F15" s="3952"/>
      <c r="G15" s="3952" t="s">
        <v>433</v>
      </c>
      <c r="H15" s="991"/>
      <c r="I15" s="3953"/>
      <c r="J15" s="3953"/>
      <c r="K15" s="3953"/>
      <c r="L15" s="3954"/>
      <c r="M15" s="3954"/>
      <c r="O15" s="2639"/>
      <c r="P15" s="2639"/>
    </row>
    <row r="16" spans="1:20" s="8" customFormat="1" ht="12" customHeight="1">
      <c r="B16" s="1547" t="s">
        <v>3607</v>
      </c>
      <c r="C16" s="1542"/>
      <c r="D16" s="1541" t="s">
        <v>1563</v>
      </c>
      <c r="E16" s="990"/>
      <c r="F16" s="3952"/>
      <c r="G16" s="3952" t="s">
        <v>433</v>
      </c>
      <c r="H16" s="992"/>
      <c r="I16" s="3953"/>
      <c r="J16" s="3953"/>
      <c r="K16" s="3953"/>
      <c r="L16" s="3954"/>
      <c r="M16" s="3954"/>
      <c r="O16" s="2639"/>
      <c r="P16" s="2639"/>
    </row>
    <row r="17" spans="1:19" s="8" customFormat="1" ht="12" customHeight="1">
      <c r="B17" s="1547" t="s">
        <v>3608</v>
      </c>
      <c r="C17" s="1542"/>
      <c r="D17" s="1541" t="s">
        <v>1563</v>
      </c>
      <c r="E17" s="990"/>
      <c r="F17" s="3952"/>
      <c r="G17" s="3952" t="s">
        <v>433</v>
      </c>
      <c r="H17" s="992"/>
      <c r="I17" s="3953"/>
      <c r="J17" s="3953"/>
      <c r="K17" s="3953"/>
      <c r="L17" s="3954"/>
      <c r="M17" s="3954"/>
      <c r="O17" s="2639"/>
      <c r="P17" s="2639"/>
    </row>
    <row r="18" spans="1:19" s="8" customFormat="1" ht="12" customHeight="1">
      <c r="B18" s="1548" t="s">
        <v>3609</v>
      </c>
      <c r="C18" s="1544"/>
      <c r="D18" s="1543" t="s">
        <v>1563</v>
      </c>
      <c r="E18" s="990"/>
      <c r="F18" s="3952"/>
      <c r="G18" s="3952" t="s">
        <v>433</v>
      </c>
      <c r="H18" s="248"/>
      <c r="I18" s="3953"/>
      <c r="J18" s="3953"/>
      <c r="K18" s="3953"/>
      <c r="L18" s="3954"/>
      <c r="M18" s="3954"/>
      <c r="O18" s="2639"/>
      <c r="P18" s="2639"/>
    </row>
    <row r="19" spans="1:19" s="8" customFormat="1" ht="12" customHeight="1">
      <c r="B19" s="1545" t="s">
        <v>1343</v>
      </c>
      <c r="C19" s="1546"/>
      <c r="D19" s="1551" t="s">
        <v>3350</v>
      </c>
      <c r="E19" s="3955" t="s">
        <v>2885</v>
      </c>
      <c r="F19" s="3952"/>
      <c r="G19" s="3952" t="s">
        <v>433</v>
      </c>
      <c r="H19" s="991"/>
      <c r="I19" s="3953"/>
      <c r="J19" s="3953"/>
      <c r="K19" s="3953"/>
      <c r="L19" s="3954"/>
      <c r="M19" s="3954"/>
      <c r="O19" s="2639"/>
      <c r="P19" s="2639"/>
    </row>
    <row r="20" spans="1:19" s="8" customFormat="1" ht="12" customHeight="1">
      <c r="B20" s="1549" t="s">
        <v>1804</v>
      </c>
      <c r="C20" s="1550"/>
      <c r="D20" s="250"/>
      <c r="E20" s="222"/>
      <c r="F20" s="3952"/>
      <c r="G20" s="3952" t="s">
        <v>433</v>
      </c>
      <c r="H20" s="992"/>
      <c r="I20" s="3953"/>
      <c r="J20" s="3953"/>
      <c r="K20" s="3953"/>
      <c r="L20" s="3954"/>
      <c r="M20" s="3954"/>
      <c r="O20" s="2639"/>
      <c r="P20" s="2639"/>
    </row>
    <row r="21" spans="1:19" s="8" customFormat="1" ht="12" customHeight="1">
      <c r="B21" s="1549" t="s">
        <v>723</v>
      </c>
      <c r="C21" s="3085"/>
      <c r="D21" s="3086"/>
      <c r="E21" s="3087"/>
      <c r="F21" s="3956"/>
      <c r="G21" s="3956"/>
      <c r="H21" s="994"/>
      <c r="I21" s="3957"/>
      <c r="J21" s="3957"/>
      <c r="K21" s="3957"/>
      <c r="L21" s="3958"/>
      <c r="M21" s="3958"/>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9"/>
      <c r="J24" s="3940"/>
      <c r="K24" s="3940"/>
      <c r="L24" s="3940"/>
      <c r="M24" s="3941"/>
    </row>
    <row r="25" spans="1:19" s="8" customFormat="1" ht="13.35" customHeight="1">
      <c r="A25" s="13"/>
      <c r="B25" s="13"/>
      <c r="F25" s="1" t="s">
        <v>618</v>
      </c>
      <c r="G25" s="1"/>
      <c r="H25" s="33"/>
      <c r="I25" s="3942"/>
      <c r="J25" s="3943"/>
      <c r="K25" s="6" t="s">
        <v>525</v>
      </c>
      <c r="L25" s="3944"/>
      <c r="M25" s="3945"/>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68" t="s">
        <v>624</v>
      </c>
      <c r="G28" s="2368" t="s">
        <v>1803</v>
      </c>
      <c r="I28" s="246" t="s">
        <v>551</v>
      </c>
      <c r="J28" s="247">
        <v>1</v>
      </c>
      <c r="K28" s="247">
        <v>2</v>
      </c>
      <c r="L28" s="247">
        <v>3</v>
      </c>
      <c r="M28" s="247">
        <v>4</v>
      </c>
    </row>
    <row r="29" spans="1:19" s="8" customFormat="1" ht="12" customHeight="1">
      <c r="B29" s="1539" t="s">
        <v>1805</v>
      </c>
      <c r="C29" s="1540"/>
      <c r="D29" s="3946" t="s">
        <v>1774</v>
      </c>
      <c r="E29" s="3947"/>
      <c r="F29" s="3948"/>
      <c r="G29" s="3948"/>
      <c r="H29" s="993"/>
      <c r="I29" s="3949"/>
      <c r="J29" s="3949"/>
      <c r="K29" s="3949"/>
      <c r="L29" s="3949"/>
      <c r="M29" s="3949"/>
      <c r="O29" s="2639" t="s">
        <v>3622</v>
      </c>
      <c r="P29" s="2639"/>
    </row>
    <row r="30" spans="1:19" s="8" customFormat="1" ht="12" customHeight="1">
      <c r="B30" s="1541" t="s">
        <v>1564</v>
      </c>
      <c r="C30" s="1542"/>
      <c r="D30" s="3950" t="s">
        <v>1774</v>
      </c>
      <c r="E30" s="3951"/>
      <c r="F30" s="3952"/>
      <c r="G30" s="3952"/>
      <c r="H30" s="992"/>
      <c r="I30" s="3953"/>
      <c r="J30" s="3953"/>
      <c r="K30" s="3953"/>
      <c r="L30" s="3954"/>
      <c r="M30" s="3954"/>
      <c r="O30" s="2639"/>
      <c r="P30" s="2639"/>
    </row>
    <row r="31" spans="1:19" s="8" customFormat="1" ht="12" customHeight="1">
      <c r="B31" s="1543" t="s">
        <v>1565</v>
      </c>
      <c r="C31" s="1544"/>
      <c r="D31" s="3950" t="s">
        <v>1774</v>
      </c>
      <c r="E31" s="3951"/>
      <c r="F31" s="3952"/>
      <c r="G31" s="3952"/>
      <c r="H31" s="248"/>
      <c r="I31" s="3953"/>
      <c r="J31" s="3953"/>
      <c r="K31" s="3953"/>
      <c r="L31" s="3954"/>
      <c r="M31" s="3954"/>
      <c r="O31" s="2639"/>
      <c r="P31" s="2639"/>
    </row>
    <row r="32" spans="1:19" s="8" customFormat="1" ht="12" customHeight="1">
      <c r="B32" s="1545" t="s">
        <v>458</v>
      </c>
      <c r="C32" s="1546"/>
      <c r="D32" s="1545" t="s">
        <v>1563</v>
      </c>
      <c r="E32" s="249"/>
      <c r="F32" s="3952"/>
      <c r="G32" s="3952"/>
      <c r="H32" s="991"/>
      <c r="I32" s="3953"/>
      <c r="J32" s="3953"/>
      <c r="K32" s="3953"/>
      <c r="L32" s="3954"/>
      <c r="M32" s="3954"/>
      <c r="O32" s="2639"/>
      <c r="P32" s="2639"/>
    </row>
    <row r="33" spans="1:19" s="8" customFormat="1" ht="12" customHeight="1">
      <c r="B33" s="1547" t="s">
        <v>3607</v>
      </c>
      <c r="C33" s="1542"/>
      <c r="D33" s="1541" t="s">
        <v>1563</v>
      </c>
      <c r="E33" s="990"/>
      <c r="F33" s="3952"/>
      <c r="G33" s="3952"/>
      <c r="H33" s="992"/>
      <c r="I33" s="3953"/>
      <c r="J33" s="3953"/>
      <c r="K33" s="3953"/>
      <c r="L33" s="3954"/>
      <c r="M33" s="3954"/>
      <c r="O33" s="2639"/>
      <c r="P33" s="2639"/>
    </row>
    <row r="34" spans="1:19" s="8" customFormat="1" ht="12" customHeight="1">
      <c r="B34" s="1547" t="s">
        <v>3608</v>
      </c>
      <c r="C34" s="1542"/>
      <c r="D34" s="1541" t="s">
        <v>1563</v>
      </c>
      <c r="E34" s="990"/>
      <c r="F34" s="3952"/>
      <c r="G34" s="3952"/>
      <c r="H34" s="992"/>
      <c r="I34" s="3953"/>
      <c r="J34" s="3953"/>
      <c r="K34" s="3953"/>
      <c r="L34" s="3954"/>
      <c r="M34" s="3954"/>
      <c r="O34" s="2639"/>
      <c r="P34" s="2639"/>
    </row>
    <row r="35" spans="1:19" s="8" customFormat="1" ht="12" customHeight="1">
      <c r="B35" s="1548" t="s">
        <v>3609</v>
      </c>
      <c r="C35" s="1544"/>
      <c r="D35" s="1543" t="s">
        <v>1563</v>
      </c>
      <c r="E35" s="990"/>
      <c r="F35" s="3952"/>
      <c r="G35" s="3952"/>
      <c r="H35" s="248"/>
      <c r="I35" s="3953"/>
      <c r="J35" s="3953"/>
      <c r="K35" s="3953"/>
      <c r="L35" s="3954"/>
      <c r="M35" s="3954"/>
      <c r="O35" s="2639"/>
      <c r="P35" s="2639"/>
    </row>
    <row r="36" spans="1:19" s="8" customFormat="1" ht="12" customHeight="1">
      <c r="B36" s="1545" t="s">
        <v>1343</v>
      </c>
      <c r="C36" s="1546"/>
      <c r="D36" s="1551" t="s">
        <v>3350</v>
      </c>
      <c r="E36" s="3955" t="s">
        <v>197</v>
      </c>
      <c r="F36" s="3952"/>
      <c r="G36" s="3952"/>
      <c r="H36" s="991"/>
      <c r="I36" s="3953"/>
      <c r="J36" s="3953"/>
      <c r="K36" s="3953"/>
      <c r="L36" s="3954"/>
      <c r="M36" s="3954"/>
      <c r="O36" s="2639"/>
      <c r="P36" s="2639"/>
    </row>
    <row r="37" spans="1:19" s="8" customFormat="1" ht="12" customHeight="1">
      <c r="B37" s="1549" t="s">
        <v>1804</v>
      </c>
      <c r="C37" s="1550"/>
      <c r="D37" s="250"/>
      <c r="E37" s="222"/>
      <c r="F37" s="3952"/>
      <c r="G37" s="3952"/>
      <c r="H37" s="992"/>
      <c r="I37" s="3953"/>
      <c r="J37" s="3953"/>
      <c r="K37" s="3953"/>
      <c r="L37" s="3954"/>
      <c r="M37" s="3954"/>
      <c r="O37" s="2639"/>
      <c r="P37" s="2639"/>
    </row>
    <row r="38" spans="1:19" s="8" customFormat="1" ht="12" customHeight="1">
      <c r="B38" s="1549" t="s">
        <v>723</v>
      </c>
      <c r="C38" s="3085"/>
      <c r="D38" s="3086"/>
      <c r="E38" s="3087"/>
      <c r="F38" s="3956"/>
      <c r="G38" s="3956"/>
      <c r="H38" s="994"/>
      <c r="I38" s="3957"/>
      <c r="J38" s="3957"/>
      <c r="K38" s="3957"/>
      <c r="L38" s="3958"/>
      <c r="M38" s="3958"/>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68"/>
      <c r="J41" s="2368"/>
      <c r="K41" s="2368"/>
      <c r="L41" s="2368"/>
      <c r="M41" s="2368"/>
    </row>
    <row r="42" spans="1:19" s="8" customFormat="1" ht="12" customHeight="1">
      <c r="A42" s="13"/>
      <c r="B42" s="13" t="s">
        <v>555</v>
      </c>
      <c r="M42" s="27"/>
      <c r="N42" s="27"/>
      <c r="O42" s="27"/>
      <c r="P42" s="27"/>
      <c r="Q42" s="27"/>
      <c r="R42" s="27"/>
      <c r="S42" s="27"/>
    </row>
    <row r="43" spans="1:19" s="8" customFormat="1" ht="24.75" customHeight="1">
      <c r="B43" s="3960" t="s">
        <v>7041</v>
      </c>
      <c r="C43" s="3961"/>
      <c r="D43" s="3961"/>
      <c r="E43" s="3961"/>
      <c r="F43" s="3961"/>
      <c r="G43" s="3961"/>
      <c r="H43" s="3961"/>
      <c r="I43" s="3961"/>
      <c r="J43" s="3961"/>
      <c r="K43" s="3961"/>
      <c r="L43" s="3961"/>
      <c r="M43" s="3962"/>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3"/>
      <c r="C46" s="3964"/>
      <c r="D46" s="3964"/>
      <c r="E46" s="3964"/>
      <c r="F46" s="3964"/>
      <c r="G46" s="3964"/>
      <c r="H46" s="3964"/>
      <c r="I46" s="3964"/>
      <c r="J46" s="3964"/>
      <c r="K46" s="3964"/>
      <c r="L46" s="3964"/>
      <c r="M46" s="3965"/>
      <c r="N46" s="27"/>
      <c r="O46" s="2401"/>
      <c r="P46" s="2401"/>
      <c r="Q46" s="2401"/>
      <c r="R46" s="2401"/>
      <c r="S46" s="2401"/>
    </row>
  </sheetData>
  <sheetProtection algorithmName="SHA-512" hashValue="b38uXZqzhFIGCxi8CgEir/moYWOnAfBou2cKsTLqnmgZbH4ihzsBId5+Eb/8v7M5xsl8/nGE0JW8QFaoRLA+8A==" saltValue="0JpsBk7Catug5dJakC/Fl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2020-06-16T18:52:06Z</cp:lastPrinted>
  <dcterms:created xsi:type="dcterms:W3CDTF">2005-09-15T20:51:37Z</dcterms:created>
  <dcterms:modified xsi:type="dcterms:W3CDTF">2020-09-25T18:36:55Z</dcterms:modified>
</cp:coreProperties>
</file>